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7" sheetId="1" r:id="rId4"/>
    <sheet state="visible" name="Improvise" sheetId="2" r:id="rId5"/>
  </sheets>
  <definedNames/>
  <calcPr/>
</workbook>
</file>

<file path=xl/sharedStrings.xml><?xml version="1.0" encoding="utf-8"?>
<sst xmlns="http://schemas.openxmlformats.org/spreadsheetml/2006/main" count="2195" uniqueCount="763">
  <si>
    <t>Yea this aint it</t>
  </si>
  <si>
    <t>$ cd /</t>
  </si>
  <si>
    <t>$ ls</t>
  </si>
  <si>
    <t>dir fts</t>
  </si>
  <si>
    <t>dir jnwr</t>
  </si>
  <si>
    <t>dir lrvl</t>
  </si>
  <si>
    <t>dir nzgprvw</t>
  </si>
  <si>
    <t>dir snwqjgj</t>
  </si>
  <si>
    <t>16394 tllvcdr.sjl</t>
  </si>
  <si>
    <t>195891 zbdp.gqb</t>
  </si>
  <si>
    <t>dir zddrb</t>
  </si>
  <si>
    <t>$ cd fts</t>
  </si>
  <si>
    <t>dir dlqtffw</t>
  </si>
  <si>
    <t>dir rbfmmjvd</t>
  </si>
  <si>
    <t>254713 wvwhrb.dhh</t>
  </si>
  <si>
    <t>$ cd dlqtffw</t>
  </si>
  <si>
    <t>73533 nqbvg.fgd</t>
  </si>
  <si>
    <t>$ cd ..</t>
  </si>
  <si>
    <t>$ cd rbfmmjvd</t>
  </si>
  <si>
    <t>290697 zcgrgff.fnf</t>
  </si>
  <si>
    <t>$ cd jnwr</t>
  </si>
  <si>
    <t>323577 ghmtnzr</t>
  </si>
  <si>
    <t>57588 tdcbdpnr</t>
  </si>
  <si>
    <t>dir wbv</t>
  </si>
  <si>
    <t>dir zzbvdcf</t>
  </si>
  <si>
    <t>$ cd wbv</t>
  </si>
  <si>
    <t>dir nmdwbnnr</t>
  </si>
  <si>
    <t>253584 slzdbm.ncn</t>
  </si>
  <si>
    <t>$ cd nmdwbnnr</t>
  </si>
  <si>
    <t>208370 scbcsb.pjg</t>
  </si>
  <si>
    <t>$ cd zzbvdcf</t>
  </si>
  <si>
    <t>8052 ssssrhwz</t>
  </si>
  <si>
    <t>$ cd lrvl</t>
  </si>
  <si>
    <t>dir bqqltcg</t>
  </si>
  <si>
    <t>189288 cwpwh</t>
  </si>
  <si>
    <t>90813 jhnddzml.lww</t>
  </si>
  <si>
    <t>dir pwc</t>
  </si>
  <si>
    <t>dir rjl</t>
  </si>
  <si>
    <t>dir rzvqvv</t>
  </si>
  <si>
    <t>dir slzdbm</t>
  </si>
  <si>
    <t>dir tcbjmq</t>
  </si>
  <si>
    <t>140665 zbdp.gqb</t>
  </si>
  <si>
    <t>dir zhbpqlnd</t>
  </si>
  <si>
    <t>$ cd bqqltcg</t>
  </si>
  <si>
    <t>dir dlbjblbf</t>
  </si>
  <si>
    <t>dir fdlw</t>
  </si>
  <si>
    <t>dir zcgrgff</t>
  </si>
  <si>
    <t>$ cd dlbjblbf</t>
  </si>
  <si>
    <t>11732 rnsrrf.rtv</t>
  </si>
  <si>
    <t>$ cd fdlw</t>
  </si>
  <si>
    <t>dir hlvpfw</t>
  </si>
  <si>
    <t>228436 mzsfcvgv.pqw</t>
  </si>
  <si>
    <t>$ cd hlvpfw</t>
  </si>
  <si>
    <t>dir dhwq</t>
  </si>
  <si>
    <t>$ cd dhwq</t>
  </si>
  <si>
    <t>127459 cgdpqh.tct</t>
  </si>
  <si>
    <t>58310 jnwr.nqt</t>
  </si>
  <si>
    <t>305998 ssssrhwz</t>
  </si>
  <si>
    <t>129135 vrt.qdt</t>
  </si>
  <si>
    <t>86204 wnvm.bld</t>
  </si>
  <si>
    <t>$ cd slzdbm</t>
  </si>
  <si>
    <t>40915 zbdp.gqb</t>
  </si>
  <si>
    <t>120991 zsvffwlt.rbp</t>
  </si>
  <si>
    <t>$ cd zcgrgff</t>
  </si>
  <si>
    <t>94614 jnwr.mqm</t>
  </si>
  <si>
    <t>191626 zbdp.gqb</t>
  </si>
  <si>
    <t>dir ztrslh</t>
  </si>
  <si>
    <t>$ cd ztrslh</t>
  </si>
  <si>
    <t>dir bhzn</t>
  </si>
  <si>
    <t>201167 dvcjtzvs.rvd</t>
  </si>
  <si>
    <t>dir szrth</t>
  </si>
  <si>
    <t>dir zcp</t>
  </si>
  <si>
    <t>$ cd bhzn</t>
  </si>
  <si>
    <t>119164 qbgmrqw</t>
  </si>
  <si>
    <t>102090 zbdp.gqb</t>
  </si>
  <si>
    <t>124928 gtdq</t>
  </si>
  <si>
    <t>$ cd szrth</t>
  </si>
  <si>
    <t>dir hpbbsq</t>
  </si>
  <si>
    <t>dir vlwlsdjp</t>
  </si>
  <si>
    <t>$ cd hpbbsq</t>
  </si>
  <si>
    <t>151717 qsdhff.jsv</t>
  </si>
  <si>
    <t>$ cd vlwlsdjp</t>
  </si>
  <si>
    <t>15049 glpdjtq.mwm</t>
  </si>
  <si>
    <t>302526 jnwr.tds</t>
  </si>
  <si>
    <t>9550 lhwtbh</t>
  </si>
  <si>
    <t>22857 ssssrhwz</t>
  </si>
  <si>
    <t>73640 mpq.cdn</t>
  </si>
  <si>
    <t>115955 rssmrfbq.trs</t>
  </si>
  <si>
    <t>$ cd zcp</t>
  </si>
  <si>
    <t>dir qdjtmwrr</t>
  </si>
  <si>
    <t>dir wpdjttm</t>
  </si>
  <si>
    <t>$ cd qdjtmwrr</t>
  </si>
  <si>
    <t>138185 jnwr</t>
  </si>
  <si>
    <t>$ cd wpdjttm</t>
  </si>
  <si>
    <t>207755 vvwtghjb</t>
  </si>
  <si>
    <t>$ cd pwc</t>
  </si>
  <si>
    <t>15911 fqw</t>
  </si>
  <si>
    <t>$ cd rjl</t>
  </si>
  <si>
    <t>119274 ssssrhwz</t>
  </si>
  <si>
    <t>$ cd rzvqvv</t>
  </si>
  <si>
    <t>273935 ssssrhwz</t>
  </si>
  <si>
    <t>290414 lgzbzjvd.glj</t>
  </si>
  <si>
    <t>dir ljpmphn</t>
  </si>
  <si>
    <t>316440 slzdbm.tsj</t>
  </si>
  <si>
    <t>dir mhvmszgh</t>
  </si>
  <si>
    <t>107004 slzdbm</t>
  </si>
  <si>
    <t>$ cd mhvmszgh</t>
  </si>
  <si>
    <t>dir tftstdp</t>
  </si>
  <si>
    <t>$ cd tftstdp</t>
  </si>
  <si>
    <t>176794 mpq.cdn</t>
  </si>
  <si>
    <t>$ cd ljpmphn</t>
  </si>
  <si>
    <t>37528 slfdb.bqt</t>
  </si>
  <si>
    <t>$ cd tcbjmq</t>
  </si>
  <si>
    <t>96506 lrz.nhb</t>
  </si>
  <si>
    <t>$ cd zhbpqlnd</t>
  </si>
  <si>
    <t>14027 ccswrthv.pfd</t>
  </si>
  <si>
    <t>dir clnqtjz</t>
  </si>
  <si>
    <t>dir fdsqmnn</t>
  </si>
  <si>
    <t>dir fwdt</t>
  </si>
  <si>
    <t>dir nljb</t>
  </si>
  <si>
    <t>dir npmsdrgp</t>
  </si>
  <si>
    <t>57812 slfdb.bqt</t>
  </si>
  <si>
    <t>184299 wmlmg</t>
  </si>
  <si>
    <t>241025 zcgrgff.wbh</t>
  </si>
  <si>
    <t>dir zggqfj</t>
  </si>
  <si>
    <t>$ cd clnqtjz</t>
  </si>
  <si>
    <t>62391 cbhw.wgr</t>
  </si>
  <si>
    <t>309318 jlm.lfq</t>
  </si>
  <si>
    <t>dir mzsfcvgv</t>
  </si>
  <si>
    <t>dir rrn</t>
  </si>
  <si>
    <t>307583 ssssrhwz</t>
  </si>
  <si>
    <t>$ cd mzsfcvgv</t>
  </si>
  <si>
    <t>1356 hrbh.wpz</t>
  </si>
  <si>
    <t>dir vnwqstw</t>
  </si>
  <si>
    <t>$ cd vnwqstw</t>
  </si>
  <si>
    <t>184434 hnhzdshl.lrl</t>
  </si>
  <si>
    <t>150624 wsrnprdb.pjf</t>
  </si>
  <si>
    <t>$ cd rrn</t>
  </si>
  <si>
    <t>105792 dzprqqc.rbh</t>
  </si>
  <si>
    <t>107482 ffdjdbc</t>
  </si>
  <si>
    <t>dir hnr</t>
  </si>
  <si>
    <t>dir rdmgtf</t>
  </si>
  <si>
    <t>dir rgrwp</t>
  </si>
  <si>
    <t>325147 shqr.pdj</t>
  </si>
  <si>
    <t>43186 slfdb.bqt</t>
  </si>
  <si>
    <t>236667 zcgrgff</t>
  </si>
  <si>
    <t>$ cd hnr</t>
  </si>
  <si>
    <t>dir gljrlhjm</t>
  </si>
  <si>
    <t>250526 mzsfcvgv.nsb</t>
  </si>
  <si>
    <t>43164 ssssrhwz</t>
  </si>
  <si>
    <t>$ cd gljrlhjm</t>
  </si>
  <si>
    <t>dir wjwqrnj</t>
  </si>
  <si>
    <t>$ cd wjwqrnj</t>
  </si>
  <si>
    <t>142366 gshl.qfc</t>
  </si>
  <si>
    <t>$ cd rdmgtf</t>
  </si>
  <si>
    <t>193562 gdrdnc.vml</t>
  </si>
  <si>
    <t>123723 hmqfdht</t>
  </si>
  <si>
    <t>dir lzfntb</t>
  </si>
  <si>
    <t>dir mjfwsmgd</t>
  </si>
  <si>
    <t>208819 nqbgcn.qfq</t>
  </si>
  <si>
    <t>dir tqh</t>
  </si>
  <si>
    <t>$ cd lzfntb</t>
  </si>
  <si>
    <t>dir gwnpsvw</t>
  </si>
  <si>
    <t>dir rsgwzhp</t>
  </si>
  <si>
    <t>103487 scvllbjh.pnw</t>
  </si>
  <si>
    <t>$ cd gwnpsvw</t>
  </si>
  <si>
    <t>dir lqnz</t>
  </si>
  <si>
    <t>81937 zbdp.gqb</t>
  </si>
  <si>
    <t>$ cd lqnz</t>
  </si>
  <si>
    <t>27250 zcgrgff</t>
  </si>
  <si>
    <t>$ cd rsgwzhp</t>
  </si>
  <si>
    <t>dir hhz</t>
  </si>
  <si>
    <t>$ cd hhz</t>
  </si>
  <si>
    <t>46435 djvfz</t>
  </si>
  <si>
    <t>$ cd mjfwsmgd</t>
  </si>
  <si>
    <t>25726 clcvm</t>
  </si>
  <si>
    <t>170085 zbdp.gqb</t>
  </si>
  <si>
    <t>$ cd tqh</t>
  </si>
  <si>
    <t>111272 gdq.llg</t>
  </si>
  <si>
    <t>3215 hdghs</t>
  </si>
  <si>
    <t>dir lpdcdr</t>
  </si>
  <si>
    <t>dir vhfr</t>
  </si>
  <si>
    <t>$ cd lpdcdr</t>
  </si>
  <si>
    <t>203902 hmqfdht</t>
  </si>
  <si>
    <t>$ cd vhfr</t>
  </si>
  <si>
    <t>91584 hmqfdht</t>
  </si>
  <si>
    <t>dir stmvj</t>
  </si>
  <si>
    <t>$ cd stmvj</t>
  </si>
  <si>
    <t>315660 wwpq.ffq</t>
  </si>
  <si>
    <t>$ cd rgrwp</t>
  </si>
  <si>
    <t>dir dhwtfld</t>
  </si>
  <si>
    <t>187439 hmqfdht</t>
  </si>
  <si>
    <t>dir npr</t>
  </si>
  <si>
    <t>dir sdsppq</t>
  </si>
  <si>
    <t>228581 twd.nnc</t>
  </si>
  <si>
    <t>42349 wbf.cwb</t>
  </si>
  <si>
    <t>194162 zbdp.gqb</t>
  </si>
  <si>
    <t>224441 zcgrgff.qpg</t>
  </si>
  <si>
    <t>$ cd dhwtfld</t>
  </si>
  <si>
    <t>152381 dqdrd</t>
  </si>
  <si>
    <t>229758 hmvw.gdz</t>
  </si>
  <si>
    <t>92710 mzsfcvgv.cdd</t>
  </si>
  <si>
    <t>79954 stjtn.gft</t>
  </si>
  <si>
    <t>89831 zbdp.gqb</t>
  </si>
  <si>
    <t>$ cd npr</t>
  </si>
  <si>
    <t>52767 hlvpfw.rqb</t>
  </si>
  <si>
    <t>dir nrbjzvgq</t>
  </si>
  <si>
    <t>270579 pbsq.msg</t>
  </si>
  <si>
    <t>240181 slfdb.bqt</t>
  </si>
  <si>
    <t>dir znbwnh</t>
  </si>
  <si>
    <t>$ cd nrbjzvgq</t>
  </si>
  <si>
    <t>295237 bwqqvn</t>
  </si>
  <si>
    <t>229608 dhrjnvtt.lvm</t>
  </si>
  <si>
    <t>55391 nlvn</t>
  </si>
  <si>
    <t>124604 hlvpfw.mlw</t>
  </si>
  <si>
    <t>$ cd znbwnh</t>
  </si>
  <si>
    <t>228293 zcgrgff</t>
  </si>
  <si>
    <t>$ cd sdsppq</t>
  </si>
  <si>
    <t>235741 bcsdzpfj.lvd</t>
  </si>
  <si>
    <t>dir njtrhrfm</t>
  </si>
  <si>
    <t>dir tvq</t>
  </si>
  <si>
    <t>dir wshgn</t>
  </si>
  <si>
    <t>273541 brcps</t>
  </si>
  <si>
    <t>dir gjt</t>
  </si>
  <si>
    <t>dir nbsdvpnj</t>
  </si>
  <si>
    <t>$ cd gjt</t>
  </si>
  <si>
    <t>184707 zbdp.gqb</t>
  </si>
  <si>
    <t>242810 zcgrgff</t>
  </si>
  <si>
    <t>$ cd nbsdvpnj</t>
  </si>
  <si>
    <t>181797 hlvpfw.gsd</t>
  </si>
  <si>
    <t>294284 hmqfdht</t>
  </si>
  <si>
    <t>215098 mqbclwwq</t>
  </si>
  <si>
    <t>188814 hmqfdht</t>
  </si>
  <si>
    <t>$ cd njtrhrfm</t>
  </si>
  <si>
    <t>dir dqpjdztt</t>
  </si>
  <si>
    <t>$ cd dqpjdztt</t>
  </si>
  <si>
    <t>178036 vwg</t>
  </si>
  <si>
    <t>$ cd tvq</t>
  </si>
  <si>
    <t>233085 rmq.zgq</t>
  </si>
  <si>
    <t>215613 slzdbm.wvf</t>
  </si>
  <si>
    <t>$ cd wshgn</t>
  </si>
  <si>
    <t>209007 jnwr.hsr</t>
  </si>
  <si>
    <t>dir ntrlll</t>
  </si>
  <si>
    <t>$ cd ntrlll</t>
  </si>
  <si>
    <t>245558 jnwr.tbr</t>
  </si>
  <si>
    <t>$ cd fdsqmnn</t>
  </si>
  <si>
    <t>dir dfl</t>
  </si>
  <si>
    <t>dir hqffnmq</t>
  </si>
  <si>
    <t>268076 zcgrgff.cfm</t>
  </si>
  <si>
    <t>dir ztc</t>
  </si>
  <si>
    <t>$ cd dfl</t>
  </si>
  <si>
    <t>5553 bbvqpgf</t>
  </si>
  <si>
    <t>128390 lqtvvc.tdj</t>
  </si>
  <si>
    <t>190189 vnmfcdws</t>
  </si>
  <si>
    <t>$ cd hqffnmq</t>
  </si>
  <si>
    <t>28438 ssssrhwz</t>
  </si>
  <si>
    <t>$ cd ztc</t>
  </si>
  <si>
    <t>247470 slfdb.bqt</t>
  </si>
  <si>
    <t>$ cd fwdt</t>
  </si>
  <si>
    <t>60342 bdwbzpzz</t>
  </si>
  <si>
    <t>dir cdcc</t>
  </si>
  <si>
    <t>dir jldlzttm</t>
  </si>
  <si>
    <t>261042 ssssrhwz</t>
  </si>
  <si>
    <t>dir sws</t>
  </si>
  <si>
    <t>293090 zbdp.gqb</t>
  </si>
  <si>
    <t>93624 zcgrgff.vgh</t>
  </si>
  <si>
    <t>$ cd cdcc</t>
  </si>
  <si>
    <t>dir cwpfczr</t>
  </si>
  <si>
    <t>dir lsrgfml</t>
  </si>
  <si>
    <t>$ cd cwpfczr</t>
  </si>
  <si>
    <t>303853 wzz.chs</t>
  </si>
  <si>
    <t>$ cd lsrgfml</t>
  </si>
  <si>
    <t>63205 hmqfdht</t>
  </si>
  <si>
    <t>$ cd jldlzttm</t>
  </si>
  <si>
    <t>184715 brclwptp</t>
  </si>
  <si>
    <t>309967 gdbfh.vhn</t>
  </si>
  <si>
    <t>5460 hlvpfw.fwb</t>
  </si>
  <si>
    <t>46159 jnwr.ggw</t>
  </si>
  <si>
    <t>173896 zbdp.gqb</t>
  </si>
  <si>
    <t>$ cd sws</t>
  </si>
  <si>
    <t>75133 nqrp.jdg</t>
  </si>
  <si>
    <t>71403 cvdd.whl</t>
  </si>
  <si>
    <t>$ cd nljb</t>
  </si>
  <si>
    <t>105380 lrhmdl</t>
  </si>
  <si>
    <t>$ cd npmsdrgp</t>
  </si>
  <si>
    <t>176062 bhm.gfd</t>
  </si>
  <si>
    <t>dir dgdl</t>
  </si>
  <si>
    <t>24535 fdfmntpt.qvp</t>
  </si>
  <si>
    <t>279503 ssssrhwz</t>
  </si>
  <si>
    <t>4671 zbdp.gqb</t>
  </si>
  <si>
    <t>$ cd dgdl</t>
  </si>
  <si>
    <t>4624 qqcp.rcg</t>
  </si>
  <si>
    <t>dir cvw</t>
  </si>
  <si>
    <t>122648 hmqfdht</t>
  </si>
  <si>
    <t>26565 jnwr.fst</t>
  </si>
  <si>
    <t>271544 jnwr.tqb</t>
  </si>
  <si>
    <t>170968 mpq.cdn</t>
  </si>
  <si>
    <t>dir ncqflwrb</t>
  </si>
  <si>
    <t>103826 qgzlff.frl</t>
  </si>
  <si>
    <t>dir wclwg</t>
  </si>
  <si>
    <t>dir wtcfswt</t>
  </si>
  <si>
    <t>$ cd cvw</t>
  </si>
  <si>
    <t>58583 pjthqdbr.zzh</t>
  </si>
  <si>
    <t>398 ssssrhwz</t>
  </si>
  <si>
    <t>$ cd ncqflwrb</t>
  </si>
  <si>
    <t>105747 wwstfng.cdl</t>
  </si>
  <si>
    <t>$ cd wclwg</t>
  </si>
  <si>
    <t>75020 wbq</t>
  </si>
  <si>
    <t>$ cd wtcfswt</t>
  </si>
  <si>
    <t>182813 dnln</t>
  </si>
  <si>
    <t>255923 hmqfdht</t>
  </si>
  <si>
    <t>$ cd zggqfj</t>
  </si>
  <si>
    <t>dir gpnfpv</t>
  </si>
  <si>
    <t>dir gzfsnbv</t>
  </si>
  <si>
    <t>186684 jnwr</t>
  </si>
  <si>
    <t>dir msrz</t>
  </si>
  <si>
    <t>$ cd gpnfpv</t>
  </si>
  <si>
    <t>186814 bgqpn</t>
  </si>
  <si>
    <t>41444 mzsfcvgv.qpp</t>
  </si>
  <si>
    <t>292879 zcgrgff</t>
  </si>
  <si>
    <t>$ cd gzfsnbv</t>
  </si>
  <si>
    <t>321796 jnwr.ghb</t>
  </si>
  <si>
    <t>dir sdgwjtf</t>
  </si>
  <si>
    <t>$ cd sdgwjtf</t>
  </si>
  <si>
    <t>127216 mzsfcvgv.qlv</t>
  </si>
  <si>
    <t>$ cd msrz</t>
  </si>
  <si>
    <t>dir fzl</t>
  </si>
  <si>
    <t>32371 jqtgpzw.thg</t>
  </si>
  <si>
    <t>271389 slfdb.bqt</t>
  </si>
  <si>
    <t>270845 tchtnp.rsw</t>
  </si>
  <si>
    <t>146371 zmwbmj</t>
  </si>
  <si>
    <t>$ cd fzl</t>
  </si>
  <si>
    <t>140610 ssssrhwz</t>
  </si>
  <si>
    <t>$ cd nzgprvw</t>
  </si>
  <si>
    <t>dir hgfdbf</t>
  </si>
  <si>
    <t>218138 mpq.cdn</t>
  </si>
  <si>
    <t>73419 slfdb.bqt</t>
  </si>
  <si>
    <t>dir vfztvnjm</t>
  </si>
  <si>
    <t>269866 wldptfv.bbb</t>
  </si>
  <si>
    <t>dir zgdsgh</t>
  </si>
  <si>
    <t>$ cd hgfdbf</t>
  </si>
  <si>
    <t>163792 ssssrhwz</t>
  </si>
  <si>
    <t>262305 zcgrgff</t>
  </si>
  <si>
    <t>$ cd vfztvnjm</t>
  </si>
  <si>
    <t>139863 hlvpfw</t>
  </si>
  <si>
    <t>138410 hmqfdht</t>
  </si>
  <si>
    <t>$ cd zgdsgh</t>
  </si>
  <si>
    <t>194820 dhp.tgt</t>
  </si>
  <si>
    <t>dir sdllphqd</t>
  </si>
  <si>
    <t>44509 hmqfdht</t>
  </si>
  <si>
    <t>$ cd sdllphqd</t>
  </si>
  <si>
    <t>47133 mpq.cdn</t>
  </si>
  <si>
    <t>186613 jrrpljrc</t>
  </si>
  <si>
    <t>$ cd snwqjgj</t>
  </si>
  <si>
    <t>dir zldscsc</t>
  </si>
  <si>
    <t>21422 dplgjzvs.nrn</t>
  </si>
  <si>
    <t>175310 zcgrgff.dfq</t>
  </si>
  <si>
    <t>dir rrfhvjf</t>
  </si>
  <si>
    <t>275455 vwnvj.nhb</t>
  </si>
  <si>
    <t>$ cd rrfhvjf</t>
  </si>
  <si>
    <t>69149 mqmwv.jmr</t>
  </si>
  <si>
    <t>183398 hmqfdht</t>
  </si>
  <si>
    <t>93968 sdhmwd</t>
  </si>
  <si>
    <t>$ cd zldscsc</t>
  </si>
  <si>
    <t>dir fmzvccvg</t>
  </si>
  <si>
    <t>299187 mpq.cdn</t>
  </si>
  <si>
    <t>324288 mzsfcvgv.srz</t>
  </si>
  <si>
    <t>dir prdfldrf</t>
  </si>
  <si>
    <t>dir sgpdqw</t>
  </si>
  <si>
    <t>289150 ssssrhwz</t>
  </si>
  <si>
    <t>3330 vwwj</t>
  </si>
  <si>
    <t>133537 wbb.fdl</t>
  </si>
  <si>
    <t>dir wjdpws</t>
  </si>
  <si>
    <t>$ cd fmzvccvg</t>
  </si>
  <si>
    <t>dir brrlg</t>
  </si>
  <si>
    <t>dir crm</t>
  </si>
  <si>
    <t>$ cd brrlg</t>
  </si>
  <si>
    <t>17776 jnwr.qqz</t>
  </si>
  <si>
    <t>$ cd crm</t>
  </si>
  <si>
    <t>220545 mltrj</t>
  </si>
  <si>
    <t>177044 mzsfcvgv.thj</t>
  </si>
  <si>
    <t>51223 pdnbml.qpg</t>
  </si>
  <si>
    <t>$ cd prdfldrf</t>
  </si>
  <si>
    <t>213872 ftw</t>
  </si>
  <si>
    <t>$ cd sgpdqw</t>
  </si>
  <si>
    <t>205684 whrfvw.dph</t>
  </si>
  <si>
    <t>$ cd wjdpws</t>
  </si>
  <si>
    <t>324522 zbdp.gqb</t>
  </si>
  <si>
    <t>$ cd zddrb</t>
  </si>
  <si>
    <t>238213 dhrdjfzl.npj</t>
  </si>
  <si>
    <t>28938 hlvpfw</t>
  </si>
  <si>
    <t>313900 hlvpfw.bwd</t>
  </si>
  <si>
    <t>dir pgbgpn</t>
  </si>
  <si>
    <t>132967 rrhsr</t>
  </si>
  <si>
    <t>142210 wlvpwjjz</t>
  </si>
  <si>
    <t>dir zdhcp</t>
  </si>
  <si>
    <t>$ cd pgbgpn</t>
  </si>
  <si>
    <t>dir jpmvrvt</t>
  </si>
  <si>
    <t>154268 mpq.cdn</t>
  </si>
  <si>
    <t>dir vvmwgngv</t>
  </si>
  <si>
    <t>$ cd jpmvrvt</t>
  </si>
  <si>
    <t>150157 ghcvqm</t>
  </si>
  <si>
    <t>93810 mjglpwbc.tvt</t>
  </si>
  <si>
    <t>174522 slzdbm.ncl</t>
  </si>
  <si>
    <t>183686 rpwjvc</t>
  </si>
  <si>
    <t>$ cd vvmwgngv</t>
  </si>
  <si>
    <t>dir bqc</t>
  </si>
  <si>
    <t>dir qgj</t>
  </si>
  <si>
    <t>dir wfjzls</t>
  </si>
  <si>
    <t>$ cd bqc</t>
  </si>
  <si>
    <t>191442 bqsn</t>
  </si>
  <si>
    <t>dir lmnvtg</t>
  </si>
  <si>
    <t>278861 mpq.cdn</t>
  </si>
  <si>
    <t>191779 mthgd.mjp</t>
  </si>
  <si>
    <t>dir twzq</t>
  </si>
  <si>
    <t>$ cd lmnvtg</t>
  </si>
  <si>
    <t>dir dzdd</t>
  </si>
  <si>
    <t>7920 hmqfdht</t>
  </si>
  <si>
    <t>dir rnlctfm</t>
  </si>
  <si>
    <t>213184 zcgrgff.vln</t>
  </si>
  <si>
    <t>$ cd dzdd</t>
  </si>
  <si>
    <t>71772 hlvpfw</t>
  </si>
  <si>
    <t>$ cd rnlctfm</t>
  </si>
  <si>
    <t>282289 jvnmblr.mdc</t>
  </si>
  <si>
    <t>24454 ssssrhwz</t>
  </si>
  <si>
    <t>316131 mzsfcvgv.czz</t>
  </si>
  <si>
    <t>dir nsvn</t>
  </si>
  <si>
    <t>dir plj</t>
  </si>
  <si>
    <t>dir tvmv</t>
  </si>
  <si>
    <t>$ cd nsvn</t>
  </si>
  <si>
    <t>dir bcmd</t>
  </si>
  <si>
    <t>dir jcjsp</t>
  </si>
  <si>
    <t>$ cd bcmd</t>
  </si>
  <si>
    <t>206778 cpljbvm.vws</t>
  </si>
  <si>
    <t>86096 lfgjnzhw.rtm</t>
  </si>
  <si>
    <t>$ cd jcjsp</t>
  </si>
  <si>
    <t>188389 zbdp.gqb</t>
  </si>
  <si>
    <t>293633 jhh.wtj</t>
  </si>
  <si>
    <t>$ cd plj</t>
  </si>
  <si>
    <t>323119 qgs</t>
  </si>
  <si>
    <t>221100 ssssrhwz</t>
  </si>
  <si>
    <t>264549 zbdp.gqb</t>
  </si>
  <si>
    <t>$ cd tvmv</t>
  </si>
  <si>
    <t>198197 mpq.cdn</t>
  </si>
  <si>
    <t>$ cd twzq</t>
  </si>
  <si>
    <t>dir hwgndwpj</t>
  </si>
  <si>
    <t>$ cd hwgndwpj</t>
  </si>
  <si>
    <t>dir srdzqqf</t>
  </si>
  <si>
    <t>$ cd srdzqqf</t>
  </si>
  <si>
    <t>101738 slzdbm</t>
  </si>
  <si>
    <t>dir vbdw</t>
  </si>
  <si>
    <t>270309 wncrt</t>
  </si>
  <si>
    <t>$ cd vbdw</t>
  </si>
  <si>
    <t>dir csw</t>
  </si>
  <si>
    <t>$ cd csw</t>
  </si>
  <si>
    <t>231750 dcjr.jgb</t>
  </si>
  <si>
    <t>297504 mpq.cdn</t>
  </si>
  <si>
    <t>215564 plm.rtl</t>
  </si>
  <si>
    <t>$ cd qgj</t>
  </si>
  <si>
    <t>192181 hmqfdht</t>
  </si>
  <si>
    <t>dir lmp</t>
  </si>
  <si>
    <t>250495 mpq.cdn</t>
  </si>
  <si>
    <t>253262 ssssrhwz</t>
  </si>
  <si>
    <t>dir tzth</t>
  </si>
  <si>
    <t>$ cd lmp</t>
  </si>
  <si>
    <t>284951 zcgrgff.slq</t>
  </si>
  <si>
    <t>266715 hzbq.plc</t>
  </si>
  <si>
    <t>11379 mzsfcvgv.rbw</t>
  </si>
  <si>
    <t>108636 mpq.cdn</t>
  </si>
  <si>
    <t>324035 zzvmlrj.rrl</t>
  </si>
  <si>
    <t>68393 zbdp.gqb</t>
  </si>
  <si>
    <t>$ cd tzth</t>
  </si>
  <si>
    <t>12884 hlvpfw.gwl</t>
  </si>
  <si>
    <t>146470 jnwr</t>
  </si>
  <si>
    <t>$ cd wfjzls</t>
  </si>
  <si>
    <t>191088 hlvpfw.prw</t>
  </si>
  <si>
    <t>64712 mpq.cdn</t>
  </si>
  <si>
    <t>103828 pjhg.qmc</t>
  </si>
  <si>
    <t>dir qvmdt</t>
  </si>
  <si>
    <t>$ cd qvmdt</t>
  </si>
  <si>
    <t>244001 ssssrhwz</t>
  </si>
  <si>
    <t>dir hsvbbbp</t>
  </si>
  <si>
    <t>dir jdtrdgqs</t>
  </si>
  <si>
    <t>dir lrldsqcr</t>
  </si>
  <si>
    <t>194137 mzsfcvgv.hnv</t>
  </si>
  <si>
    <t>dir nzcbqzdz</t>
  </si>
  <si>
    <t>$ cd hsvbbbp</t>
  </si>
  <si>
    <t>104752 rcfpnh.vlr</t>
  </si>
  <si>
    <t>185473 slzdbm.dbr</t>
  </si>
  <si>
    <t>dir vpwf</t>
  </si>
  <si>
    <t>dir zhngz</t>
  </si>
  <si>
    <t>$ cd vpwf</t>
  </si>
  <si>
    <t>266988 frhvp.ltf</t>
  </si>
  <si>
    <t>82931 mpq.cdn</t>
  </si>
  <si>
    <t>$ cd zhngz</t>
  </si>
  <si>
    <t>181282 drtfhrhp</t>
  </si>
  <si>
    <t>$ cd jdtrdgqs</t>
  </si>
  <si>
    <t>37106 hdjl.rrr</t>
  </si>
  <si>
    <t>$ cd lrldsqcr</t>
  </si>
  <si>
    <t>dir brwcprn</t>
  </si>
  <si>
    <t>dir wrmr</t>
  </si>
  <si>
    <t>dir zjrdgf</t>
  </si>
  <si>
    <t>dir zrpqf</t>
  </si>
  <si>
    <t>$ cd brwcprn</t>
  </si>
  <si>
    <t>dir bmjwts</t>
  </si>
  <si>
    <t>$ cd bmjwts</t>
  </si>
  <si>
    <t>157148 jwbd</t>
  </si>
  <si>
    <t>251396 qtgc</t>
  </si>
  <si>
    <t>121723 zbdp.gqb</t>
  </si>
  <si>
    <t>240747 gfrrtdh</t>
  </si>
  <si>
    <t>176832 jnwr</t>
  </si>
  <si>
    <t>36125 ltwmzw.fdl</t>
  </si>
  <si>
    <t>132059 plqmwhr.hhv</t>
  </si>
  <si>
    <t>85540 slzdbm.wzm</t>
  </si>
  <si>
    <t>23459 zhbwh.cds</t>
  </si>
  <si>
    <t>$ cd wrmr</t>
  </si>
  <si>
    <t>90357 zbdp.gqb</t>
  </si>
  <si>
    <t>$ cd zjrdgf</t>
  </si>
  <si>
    <t>301679 qbmt.vhh</t>
  </si>
  <si>
    <t>12942 slfdb.bqt</t>
  </si>
  <si>
    <t>$ cd zrpqf</t>
  </si>
  <si>
    <t>241851 pnsdlbs.brw</t>
  </si>
  <si>
    <t>$ cd nzcbqzdz</t>
  </si>
  <si>
    <t>182963 qgg.zsc</t>
  </si>
  <si>
    <t>dir qwjgb</t>
  </si>
  <si>
    <t>301344 slfdb.bqt</t>
  </si>
  <si>
    <t>299029 zbdp.gqb</t>
  </si>
  <si>
    <t>$ cd qwjgb</t>
  </si>
  <si>
    <t>223978 rprrjp.hfd</t>
  </si>
  <si>
    <t>164106 wlq.rcq</t>
  </si>
  <si>
    <t>$ cd zdhcp</t>
  </si>
  <si>
    <t>dir hbggp</t>
  </si>
  <si>
    <t>dir zdsvth</t>
  </si>
  <si>
    <t>$ cd hbggp</t>
  </si>
  <si>
    <t>302339 qcmfdhvm</t>
  </si>
  <si>
    <t>112806 rpb.vfl</t>
  </si>
  <si>
    <t>dir gpz</t>
  </si>
  <si>
    <t>dir zvjv</t>
  </si>
  <si>
    <t>$ cd gpz</t>
  </si>
  <si>
    <t>290264 fdl</t>
  </si>
  <si>
    <t>158548 slfdb.bqt</t>
  </si>
  <si>
    <t>dir zdcthssc</t>
  </si>
  <si>
    <t>49287 zbdp.gqb</t>
  </si>
  <si>
    <t>dir gnmtggs</t>
  </si>
  <si>
    <t>103244 jnwr.gtn</t>
  </si>
  <si>
    <t>263736 slfdb.bqt</t>
  </si>
  <si>
    <t>$ cd gnmtggs</t>
  </si>
  <si>
    <t>31665 qhthp.lfh</t>
  </si>
  <si>
    <t>$ cd zdcthssc</t>
  </si>
  <si>
    <t>64408 cgbnzc.cgn</t>
  </si>
  <si>
    <t>$ cd zvjv</t>
  </si>
  <si>
    <t>6088 gnpsb.dml</t>
  </si>
  <si>
    <t>145405 llp.cbm</t>
  </si>
  <si>
    <t>dir mgcg</t>
  </si>
  <si>
    <t>dir nwl</t>
  </si>
  <si>
    <t>dir rqznjmt</t>
  </si>
  <si>
    <t>128194 zbdp.gqb</t>
  </si>
  <si>
    <t>$ cd mgcg</t>
  </si>
  <si>
    <t>dir ngwvm</t>
  </si>
  <si>
    <t>dir smd</t>
  </si>
  <si>
    <t>dir smr</t>
  </si>
  <si>
    <t>$ cd ngwvm</t>
  </si>
  <si>
    <t>49186 hmqfdht</t>
  </si>
  <si>
    <t>44434 rdcb</t>
  </si>
  <si>
    <t>$ cd smd</t>
  </si>
  <si>
    <t>dir fjd</t>
  </si>
  <si>
    <t>dir rscdvnwt</t>
  </si>
  <si>
    <t>dir wbhp</t>
  </si>
  <si>
    <t>318166 zbdp.gqb</t>
  </si>
  <si>
    <t>$ cd fjd</t>
  </si>
  <si>
    <t>14084 hlvpfw.ghn</t>
  </si>
  <si>
    <t>$ cd rscdvnwt</t>
  </si>
  <si>
    <t>6432 fzwpmjm.ntl</t>
  </si>
  <si>
    <t>$ cd wbhp</t>
  </si>
  <si>
    <t>dir czv</t>
  </si>
  <si>
    <t>217474 dnq.cpq</t>
  </si>
  <si>
    <t>36009 jnwr.zdv</t>
  </si>
  <si>
    <t>32123 mpq.cdn</t>
  </si>
  <si>
    <t>27607 mrm.sgs</t>
  </si>
  <si>
    <t>107593 zbdp.gqb</t>
  </si>
  <si>
    <t>$ cd czv</t>
  </si>
  <si>
    <t>60750 zcgrgff.mnr</t>
  </si>
  <si>
    <t>$ cd smr</t>
  </si>
  <si>
    <t>47204 zcgrgff.vsl</t>
  </si>
  <si>
    <t>317050 hjtfb</t>
  </si>
  <si>
    <t>110272 jrbcbvjw</t>
  </si>
  <si>
    <t>290867 ltfj.dvl</t>
  </si>
  <si>
    <t>130694 wnc.rnr</t>
  </si>
  <si>
    <t>206448 zbdp.gqb</t>
  </si>
  <si>
    <t>20405 bjpvssjt</t>
  </si>
  <si>
    <t>$ cd nwl</t>
  </si>
  <si>
    <t>254439 dlv</t>
  </si>
  <si>
    <t>193910 hlvpfw</t>
  </si>
  <si>
    <t>13603 hnsdntn.trz</t>
  </si>
  <si>
    <t>2990 mpq.cdn</t>
  </si>
  <si>
    <t>$ cd rqznjmt</t>
  </si>
  <si>
    <t>250114 hlvpfw</t>
  </si>
  <si>
    <t>189732 mzsfcvgv.vqv</t>
  </si>
  <si>
    <t>144688 zcgrgff</t>
  </si>
  <si>
    <t>$ cd zdsvth</t>
  </si>
  <si>
    <t>150609 jnwr.rtr</t>
  </si>
  <si>
    <t>173402 nftm.nwd</t>
  </si>
  <si>
    <t>dir njhjrgmf</t>
  </si>
  <si>
    <t>$ cd njhjrgmf</t>
  </si>
  <si>
    <t>295762 nchztlh.lcs</t>
  </si>
  <si>
    <t>$cd /</t>
  </si>
  <si>
    <t>/</t>
  </si>
  <si>
    <t>Part 1</t>
  </si>
  <si>
    <t>Part 2</t>
  </si>
  <si>
    <t>$ls</t>
  </si>
  <si>
    <t>$cd fts</t>
  </si>
  <si>
    <t>$cd dlqtffw</t>
  </si>
  <si>
    <t>$cd ..</t>
  </si>
  <si>
    <t>$cd rbfmmjvd</t>
  </si>
  <si>
    <t>$cd jnwr</t>
  </si>
  <si>
    <t>$cd wbv</t>
  </si>
  <si>
    <t>$cd nmdwbnnr</t>
  </si>
  <si>
    <t>$cd zzbvdcf</t>
  </si>
  <si>
    <t>$cd lrvl</t>
  </si>
  <si>
    <t>$cd bqqltcg</t>
  </si>
  <si>
    <t>$cd dlbjblbf</t>
  </si>
  <si>
    <t>$cd fdlw</t>
  </si>
  <si>
    <t>$cd hlvpfw</t>
  </si>
  <si>
    <t>$cd dhwq</t>
  </si>
  <si>
    <t>$cd slzdbm</t>
  </si>
  <si>
    <t>$cd zcgrgff</t>
  </si>
  <si>
    <t>$cd ztrslh</t>
  </si>
  <si>
    <t>$cd bhzn</t>
  </si>
  <si>
    <t>$cd szrth</t>
  </si>
  <si>
    <t>$cd hpbbsq</t>
  </si>
  <si>
    <t>$cd vlwlsdjp</t>
  </si>
  <si>
    <t>$cd zcp</t>
  </si>
  <si>
    <t>$cd qdjtmwrr</t>
  </si>
  <si>
    <t>$cd wpdjttm</t>
  </si>
  <si>
    <t>$cd pwc</t>
  </si>
  <si>
    <t>$cd rjl</t>
  </si>
  <si>
    <t>$cd rzvqvv</t>
  </si>
  <si>
    <t>$cd mhvmszgh</t>
  </si>
  <si>
    <t>$cd tftstdp</t>
  </si>
  <si>
    <t>$cd ljpmphn</t>
  </si>
  <si>
    <t>$cd tcbjmq</t>
  </si>
  <si>
    <t>$cd zhbpqlnd</t>
  </si>
  <si>
    <t>$cd clnqtjz</t>
  </si>
  <si>
    <t>$cd mzsfcvgv</t>
  </si>
  <si>
    <t>$cd vnwqstw</t>
  </si>
  <si>
    <t>$cd rrn</t>
  </si>
  <si>
    <t>$cd hnr</t>
  </si>
  <si>
    <t>$cd gljrlhjm</t>
  </si>
  <si>
    <t>$cd wjwqrnj</t>
  </si>
  <si>
    <t>$cd rdmgtf</t>
  </si>
  <si>
    <t>$cd lzfntb</t>
  </si>
  <si>
    <t>$cd gwnpsvw</t>
  </si>
  <si>
    <t>$cd lqnz</t>
  </si>
  <si>
    <t>$cd rsgwzhp</t>
  </si>
  <si>
    <t>$cd hhz</t>
  </si>
  <si>
    <t>$cd mjfwsmgd</t>
  </si>
  <si>
    <t>$cd tqh</t>
  </si>
  <si>
    <t>$cd lpdcdr</t>
  </si>
  <si>
    <t>$cd vhfr</t>
  </si>
  <si>
    <t>$cd stmvj</t>
  </si>
  <si>
    <t>$cd rgrwp</t>
  </si>
  <si>
    <t>$cd dhwtfld</t>
  </si>
  <si>
    <t>$cd npr</t>
  </si>
  <si>
    <t>$cd nrbjzvgq</t>
  </si>
  <si>
    <t>$cd znbwnh</t>
  </si>
  <si>
    <t>$cd sdsppq</t>
  </si>
  <si>
    <t>$cd gjt</t>
  </si>
  <si>
    <t>$cd nbsdvpnj</t>
  </si>
  <si>
    <t>$cd njtrhrfm</t>
  </si>
  <si>
    <t>$cd dqpjdztt</t>
  </si>
  <si>
    <t>$cd tvq</t>
  </si>
  <si>
    <t>$cd wshgn</t>
  </si>
  <si>
    <t>$cd ntrlll</t>
  </si>
  <si>
    <t>$cd fdsqmnn</t>
  </si>
  <si>
    <t>$cd dfl</t>
  </si>
  <si>
    <t>$cd hqffnmq</t>
  </si>
  <si>
    <t>$cd ztc</t>
  </si>
  <si>
    <t>$cd fwdt</t>
  </si>
  <si>
    <t>$cd cdcc</t>
  </si>
  <si>
    <t>$cd cwpfczr</t>
  </si>
  <si>
    <t>$cd lsrgfml</t>
  </si>
  <si>
    <t>$cd jldlzttm</t>
  </si>
  <si>
    <t>$cd sws</t>
  </si>
  <si>
    <t>$cd nljb</t>
  </si>
  <si>
    <t>$cd npmsdrgp</t>
  </si>
  <si>
    <t>$cd dgdl</t>
  </si>
  <si>
    <t>$cd cvw</t>
  </si>
  <si>
    <t>$cd ncqflwrb</t>
  </si>
  <si>
    <t>$cd wclwg</t>
  </si>
  <si>
    <t>$cd wtcfswt</t>
  </si>
  <si>
    <t>$cd zggqfj</t>
  </si>
  <si>
    <t>$cd gpnfpv</t>
  </si>
  <si>
    <t>$cd gzfsnbv</t>
  </si>
  <si>
    <t>$cd sdgwjtf</t>
  </si>
  <si>
    <t>$cd msrz</t>
  </si>
  <si>
    <t>$cd fzl</t>
  </si>
  <si>
    <t>$cd nzgprvw</t>
  </si>
  <si>
    <t>$cd hgfdbf</t>
  </si>
  <si>
    <t>$cd vfztvnjm</t>
  </si>
  <si>
    <t>$cd zgdsgh</t>
  </si>
  <si>
    <t>$cd sdllphqd</t>
  </si>
  <si>
    <t>$cd snwqjgj</t>
  </si>
  <si>
    <t>$cd rrfhvjf</t>
  </si>
  <si>
    <t>$cd zldscsc</t>
  </si>
  <si>
    <t>$cd fmzvccvg</t>
  </si>
  <si>
    <t>$cd brrlg</t>
  </si>
  <si>
    <t>$cd crm</t>
  </si>
  <si>
    <t>$cd prdfldrf</t>
  </si>
  <si>
    <t>$cd sgpdqw</t>
  </si>
  <si>
    <t>$cd wjdpws</t>
  </si>
  <si>
    <t>$cd zddrb</t>
  </si>
  <si>
    <t>$cd pgbgpn</t>
  </si>
  <si>
    <t>$cd jpmvrvt</t>
  </si>
  <si>
    <t>$cd vvmwgngv</t>
  </si>
  <si>
    <t>$cd bqc</t>
  </si>
  <si>
    <t>$cd lmnvtg</t>
  </si>
  <si>
    <t>$cd dzdd</t>
  </si>
  <si>
    <t>$cd rnlctfm</t>
  </si>
  <si>
    <t>$cd nsvn</t>
  </si>
  <si>
    <t>$cd bcmd</t>
  </si>
  <si>
    <t>$cd jcjsp</t>
  </si>
  <si>
    <t>$cd plj</t>
  </si>
  <si>
    <t>$cd tvmv</t>
  </si>
  <si>
    <t>$cd twzq</t>
  </si>
  <si>
    <t>$cd hwgndwpj</t>
  </si>
  <si>
    <t>$cd srdzqqf</t>
  </si>
  <si>
    <t>$cd vbdw</t>
  </si>
  <si>
    <t>$cd csw</t>
  </si>
  <si>
    <t>$cd qgj</t>
  </si>
  <si>
    <t>$cd lmp</t>
  </si>
  <si>
    <t>$cd tzth</t>
  </si>
  <si>
    <t>$cd wfjzls</t>
  </si>
  <si>
    <t>$cd qvmdt</t>
  </si>
  <si>
    <t>$cd hsvbbbp</t>
  </si>
  <si>
    <t>$cd vpwf</t>
  </si>
  <si>
    <t>$cd zhngz</t>
  </si>
  <si>
    <t>$cd jdtrdgqs</t>
  </si>
  <si>
    <t>$cd lrldsqcr</t>
  </si>
  <si>
    <t>$cd brwcprn</t>
  </si>
  <si>
    <t>$cd bmjwts</t>
  </si>
  <si>
    <t>$cd wrmr</t>
  </si>
  <si>
    <t>$cd zjrdgf</t>
  </si>
  <si>
    <t>$cd zrpqf</t>
  </si>
  <si>
    <t>$cd nzcbqzdz</t>
  </si>
  <si>
    <t>$cd qwjgb</t>
  </si>
  <si>
    <t>$cd zdhcp</t>
  </si>
  <si>
    <t>$cd hbggp</t>
  </si>
  <si>
    <t>$cd gpz</t>
  </si>
  <si>
    <t>$cd gnmtggs</t>
  </si>
  <si>
    <t>$cd zdcthssc</t>
  </si>
  <si>
    <t>$cd zvjv</t>
  </si>
  <si>
    <t>$cd mgcg</t>
  </si>
  <si>
    <t>$cd ngwvm</t>
  </si>
  <si>
    <t>$cd smd</t>
  </si>
  <si>
    <t>$cd fjd</t>
  </si>
  <si>
    <t>$cd rscdvnwt</t>
  </si>
  <si>
    <t>$cd wbhp</t>
  </si>
  <si>
    <t>$cd czv</t>
  </si>
  <si>
    <t>$cd smr</t>
  </si>
  <si>
    <t>$cd nwl</t>
  </si>
  <si>
    <t>$cd rqznjmt</t>
  </si>
  <si>
    <t>$cd zdsvth</t>
  </si>
  <si>
    <t>$cd njhjrgmf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</si>
</sst>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/>
    </row>
    <row r="3">
      <c r="A3" s="1"/>
    </row>
    <row r="4">
      <c r="A4" s="1" t="s">
        <v>1</v>
      </c>
      <c r="B4" s="2" t="str">
        <f t="shared" ref="B4:B1094" si="1">IF(SEARCH("dir",A4),A4)</f>
        <v>#VALUE!</v>
      </c>
      <c r="C4" s="2" t="str">
        <f>IFERROR(__xludf.DUMMYFUNCTION("SPLIT(B4,"" "")"),"#VALUE!")</f>
        <v>#VALUE!</v>
      </c>
      <c r="E4" s="2" t="str">
        <f t="shared" ref="E4:E1094" si="2">IF(SEARCH("cd",A4),A4)</f>
        <v>$ cd /</v>
      </c>
      <c r="F4" s="2" t="str">
        <f>IFERROR(__xludf.DUMMYFUNCTION("SPLIT(E4,"" "")"),"$")</f>
        <v>$</v>
      </c>
      <c r="G4" s="2" t="str">
        <f>IFERROR(__xludf.DUMMYFUNCTION("""COMPUTED_VALUE"""),"cd")</f>
        <v>cd</v>
      </c>
      <c r="H4" s="2" t="str">
        <f>IFERROR(__xludf.DUMMYFUNCTION("""COMPUTED_VALUE"""),"/")</f>
        <v>/</v>
      </c>
      <c r="I4" s="2" t="str">
        <f t="shared" ref="I4:I1094" si="3">IF(SEARCH(".",A4),A4)</f>
        <v>#VALUE!</v>
      </c>
      <c r="J4" s="2" t="str">
        <f>IFERROR(__xludf.DUMMYFUNCTION("SPLIT(I4,"" "")"),"#VALUE!")</f>
        <v>#VALUE!</v>
      </c>
      <c r="M4" s="2" t="b">
        <f t="shared" ref="M4:M1094" si="4">ISNUMBER(J4)</f>
        <v>0</v>
      </c>
      <c r="N4" s="2" t="b">
        <f>IFERROR(__xludf.DUMMYFUNCTION("IF(AND(REGEXMATCH($G$4, ""cd""),M4),N3+J4)"),FALSE)</f>
        <v>0</v>
      </c>
      <c r="O4" s="2" t="str">
        <f t="shared" ref="O4:O1094" si="5">IFS(ISBLANK(H4),O3,H4&lt;&gt;O3,H4)</f>
        <v>/</v>
      </c>
    </row>
    <row r="5">
      <c r="A5" s="1" t="s">
        <v>2</v>
      </c>
      <c r="B5" s="2" t="str">
        <f t="shared" si="1"/>
        <v>#VALUE!</v>
      </c>
      <c r="C5" s="2" t="str">
        <f>IFERROR(__xludf.DUMMYFUNCTION("SPLIT(B5,"" "")"),"#VALUE!")</f>
        <v>#VALUE!</v>
      </c>
      <c r="E5" s="2" t="str">
        <f t="shared" si="2"/>
        <v>#VALUE!</v>
      </c>
      <c r="F5" s="2" t="str">
        <f>IFERROR(__xludf.DUMMYFUNCTION("SPLIT(E5,"" "")"),"#VALUE!")</f>
        <v>#VALUE!</v>
      </c>
      <c r="I5" s="2" t="str">
        <f t="shared" si="3"/>
        <v>#VALUE!</v>
      </c>
      <c r="J5" s="2" t="str">
        <f>IFERROR(__xludf.DUMMYFUNCTION("SPLIT(I5,"" "")"),"#VALUE!")</f>
        <v>#VALUE!</v>
      </c>
      <c r="M5" s="2" t="b">
        <f t="shared" si="4"/>
        <v>0</v>
      </c>
      <c r="N5" s="2" t="b">
        <f>IFERROR(__xludf.DUMMYFUNCTION("IF(AND(REGEXMATCH($G$4, ""cd""),M5),N4+J5)"),FALSE)</f>
        <v>0</v>
      </c>
      <c r="O5" s="2" t="str">
        <f t="shared" si="5"/>
        <v>/</v>
      </c>
    </row>
    <row r="6">
      <c r="A6" s="1" t="s">
        <v>3</v>
      </c>
      <c r="B6" s="2" t="str">
        <f t="shared" si="1"/>
        <v>dir fts</v>
      </c>
      <c r="C6" s="2" t="str">
        <f>IFERROR(__xludf.DUMMYFUNCTION("SPLIT(B6,"" "")"),"dir")</f>
        <v>dir</v>
      </c>
      <c r="D6" s="2" t="str">
        <f>IFERROR(__xludf.DUMMYFUNCTION("""COMPUTED_VALUE"""),"fts")</f>
        <v>fts</v>
      </c>
      <c r="E6" s="2" t="str">
        <f t="shared" si="2"/>
        <v>#VALUE!</v>
      </c>
      <c r="F6" s="2" t="str">
        <f>IFERROR(__xludf.DUMMYFUNCTION("SPLIT(E6,"" "")"),"#VALUE!")</f>
        <v>#VALUE!</v>
      </c>
      <c r="I6" s="2" t="str">
        <f t="shared" si="3"/>
        <v>#VALUE!</v>
      </c>
      <c r="J6" s="2" t="str">
        <f>IFERROR(__xludf.DUMMYFUNCTION("SPLIT(I6,"" "")"),"#VALUE!")</f>
        <v>#VALUE!</v>
      </c>
      <c r="M6" s="2" t="b">
        <f t="shared" si="4"/>
        <v>0</v>
      </c>
      <c r="N6" s="2" t="b">
        <f>IFERROR(__xludf.DUMMYFUNCTION("IF(AND(REGEXMATCH($G$4, ""cd""),M6),N5+J6)"),FALSE)</f>
        <v>0</v>
      </c>
      <c r="O6" s="2" t="str">
        <f t="shared" si="5"/>
        <v>/</v>
      </c>
    </row>
    <row r="7">
      <c r="A7" s="1" t="s">
        <v>4</v>
      </c>
      <c r="B7" s="2" t="str">
        <f t="shared" si="1"/>
        <v>dir jnwr</v>
      </c>
      <c r="C7" s="2" t="str">
        <f>IFERROR(__xludf.DUMMYFUNCTION("SPLIT(B7,"" "")"),"dir")</f>
        <v>dir</v>
      </c>
      <c r="D7" s="2" t="str">
        <f>IFERROR(__xludf.DUMMYFUNCTION("""COMPUTED_VALUE"""),"jnwr")</f>
        <v>jnwr</v>
      </c>
      <c r="E7" s="2" t="str">
        <f t="shared" si="2"/>
        <v>#VALUE!</v>
      </c>
      <c r="F7" s="2" t="str">
        <f>IFERROR(__xludf.DUMMYFUNCTION("SPLIT(E7,"" "")"),"#VALUE!")</f>
        <v>#VALUE!</v>
      </c>
      <c r="I7" s="2" t="str">
        <f t="shared" si="3"/>
        <v>#VALUE!</v>
      </c>
      <c r="J7" s="2" t="str">
        <f>IFERROR(__xludf.DUMMYFUNCTION("SPLIT(I7,"" "")"),"#VALUE!")</f>
        <v>#VALUE!</v>
      </c>
      <c r="M7" s="2" t="b">
        <f t="shared" si="4"/>
        <v>0</v>
      </c>
      <c r="N7" s="2" t="b">
        <f>IFERROR(__xludf.DUMMYFUNCTION("IF(AND(REGEXMATCH($G$4, ""cd""),M7),N6+J7)"),FALSE)</f>
        <v>0</v>
      </c>
      <c r="O7" s="2" t="str">
        <f t="shared" si="5"/>
        <v>/</v>
      </c>
    </row>
    <row r="8">
      <c r="A8" s="1" t="s">
        <v>5</v>
      </c>
      <c r="B8" s="2" t="str">
        <f t="shared" si="1"/>
        <v>dir lrvl</v>
      </c>
      <c r="C8" s="2" t="str">
        <f>IFERROR(__xludf.DUMMYFUNCTION("SPLIT(B8,"" "")"),"dir")</f>
        <v>dir</v>
      </c>
      <c r="D8" s="2" t="str">
        <f>IFERROR(__xludf.DUMMYFUNCTION("""COMPUTED_VALUE"""),"lrvl")</f>
        <v>lrvl</v>
      </c>
      <c r="E8" s="2" t="str">
        <f t="shared" si="2"/>
        <v>#VALUE!</v>
      </c>
      <c r="F8" s="2" t="str">
        <f>IFERROR(__xludf.DUMMYFUNCTION("SPLIT(E8,"" "")"),"#VALUE!")</f>
        <v>#VALUE!</v>
      </c>
      <c r="I8" s="2" t="str">
        <f t="shared" si="3"/>
        <v>#VALUE!</v>
      </c>
      <c r="J8" s="2" t="str">
        <f>IFERROR(__xludf.DUMMYFUNCTION("SPLIT(I8,"" "")"),"#VALUE!")</f>
        <v>#VALUE!</v>
      </c>
      <c r="M8" s="2" t="b">
        <f t="shared" si="4"/>
        <v>0</v>
      </c>
      <c r="N8" s="2" t="b">
        <f>IFERROR(__xludf.DUMMYFUNCTION("IF(AND(REGEXMATCH($G$4, ""cd""),M8),N7+J8)"),FALSE)</f>
        <v>0</v>
      </c>
      <c r="O8" s="2" t="str">
        <f t="shared" si="5"/>
        <v>/</v>
      </c>
    </row>
    <row r="9">
      <c r="A9" s="1" t="s">
        <v>6</v>
      </c>
      <c r="B9" s="2" t="str">
        <f t="shared" si="1"/>
        <v>dir nzgprvw</v>
      </c>
      <c r="C9" s="2" t="str">
        <f>IFERROR(__xludf.DUMMYFUNCTION("SPLIT(B9,"" "")"),"dir")</f>
        <v>dir</v>
      </c>
      <c r="D9" s="2" t="str">
        <f>IFERROR(__xludf.DUMMYFUNCTION("""COMPUTED_VALUE"""),"nzgprvw")</f>
        <v>nzgprvw</v>
      </c>
      <c r="E9" s="2" t="str">
        <f t="shared" si="2"/>
        <v>#VALUE!</v>
      </c>
      <c r="F9" s="2" t="str">
        <f>IFERROR(__xludf.DUMMYFUNCTION("SPLIT(E9,"" "")"),"#VALUE!")</f>
        <v>#VALUE!</v>
      </c>
      <c r="I9" s="2" t="str">
        <f t="shared" si="3"/>
        <v>#VALUE!</v>
      </c>
      <c r="J9" s="2" t="str">
        <f>IFERROR(__xludf.DUMMYFUNCTION("SPLIT(I9,"" "")"),"#VALUE!")</f>
        <v>#VALUE!</v>
      </c>
      <c r="M9" s="2" t="b">
        <f t="shared" si="4"/>
        <v>0</v>
      </c>
      <c r="N9" s="2" t="b">
        <f>IFERROR(__xludf.DUMMYFUNCTION("IF(AND(REGEXMATCH($G$4, ""cd""),M9),N8+J9)"),FALSE)</f>
        <v>0</v>
      </c>
      <c r="O9" s="2" t="str">
        <f t="shared" si="5"/>
        <v>/</v>
      </c>
    </row>
    <row r="10">
      <c r="A10" s="1" t="s">
        <v>7</v>
      </c>
      <c r="B10" s="2" t="str">
        <f t="shared" si="1"/>
        <v>dir snwqjgj</v>
      </c>
      <c r="C10" s="2" t="str">
        <f>IFERROR(__xludf.DUMMYFUNCTION("SPLIT(B10,"" "")"),"dir")</f>
        <v>dir</v>
      </c>
      <c r="D10" s="2" t="str">
        <f>IFERROR(__xludf.DUMMYFUNCTION("""COMPUTED_VALUE"""),"snwqjgj")</f>
        <v>snwqjgj</v>
      </c>
      <c r="E10" s="2" t="str">
        <f t="shared" si="2"/>
        <v>#VALUE!</v>
      </c>
      <c r="F10" s="2" t="str">
        <f>IFERROR(__xludf.DUMMYFUNCTION("SPLIT(E10,"" "")"),"#VALUE!")</f>
        <v>#VALUE!</v>
      </c>
      <c r="I10" s="2" t="str">
        <f t="shared" si="3"/>
        <v>#VALUE!</v>
      </c>
      <c r="J10" s="2" t="str">
        <f>IFERROR(__xludf.DUMMYFUNCTION("SPLIT(I10,"" "")"),"#VALUE!")</f>
        <v>#VALUE!</v>
      </c>
      <c r="M10" s="2" t="b">
        <f t="shared" si="4"/>
        <v>0</v>
      </c>
      <c r="N10" s="2" t="b">
        <f>IFERROR(__xludf.DUMMYFUNCTION("IF(AND(REGEXMATCH($G$4, ""cd""),M10),N9+J10)"),FALSE)</f>
        <v>0</v>
      </c>
      <c r="O10" s="2" t="str">
        <f t="shared" si="5"/>
        <v>/</v>
      </c>
    </row>
    <row r="11">
      <c r="A11" s="1" t="s">
        <v>8</v>
      </c>
      <c r="B11" s="2" t="str">
        <f t="shared" si="1"/>
        <v>#VALUE!</v>
      </c>
      <c r="C11" s="2" t="str">
        <f>IFERROR(__xludf.DUMMYFUNCTION("SPLIT(B11,"" "")"),"#VALUE!")</f>
        <v>#VALUE!</v>
      </c>
      <c r="E11" s="2" t="str">
        <f t="shared" si="2"/>
        <v>16394 tllvcdr.sjl</v>
      </c>
      <c r="F11" s="2">
        <f>IFERROR(__xludf.DUMMYFUNCTION("SPLIT(E11,"" "")"),16394.0)</f>
        <v>16394</v>
      </c>
      <c r="G11" s="2" t="str">
        <f>IFERROR(__xludf.DUMMYFUNCTION("""COMPUTED_VALUE"""),"tllvcdr.sjl")</f>
        <v>tllvcdr.sjl</v>
      </c>
      <c r="I11" s="2" t="str">
        <f t="shared" si="3"/>
        <v>16394 tllvcdr.sjl</v>
      </c>
      <c r="J11" s="2">
        <f>IFERROR(__xludf.DUMMYFUNCTION("SPLIT(I11,"" "")"),16394.0)</f>
        <v>16394</v>
      </c>
      <c r="K11" s="2" t="str">
        <f>IFERROR(__xludf.DUMMYFUNCTION("""COMPUTED_VALUE"""),"tllvcdr.sjl")</f>
        <v>tllvcdr.sjl</v>
      </c>
      <c r="M11" s="2" t="b">
        <f t="shared" si="4"/>
        <v>1</v>
      </c>
      <c r="N11" s="2">
        <f>IFERROR(__xludf.DUMMYFUNCTION("IF(AND(REGEXMATCH($G$4, ""cd""),M11),N10+J11)"),16394.0)</f>
        <v>16394</v>
      </c>
      <c r="O11" s="2" t="str">
        <f t="shared" si="5"/>
        <v>/</v>
      </c>
    </row>
    <row r="12">
      <c r="A12" s="1" t="s">
        <v>9</v>
      </c>
      <c r="B12" s="2" t="str">
        <f t="shared" si="1"/>
        <v>#VALUE!</v>
      </c>
      <c r="C12" s="2" t="str">
        <f>IFERROR(__xludf.DUMMYFUNCTION("SPLIT(B12,"" "")"),"#VALUE!")</f>
        <v>#VALUE!</v>
      </c>
      <c r="E12" s="2" t="str">
        <f t="shared" si="2"/>
        <v>#VALUE!</v>
      </c>
      <c r="F12" s="2" t="str">
        <f>IFERROR(__xludf.DUMMYFUNCTION("SPLIT(E12,"" "")"),"#VALUE!")</f>
        <v>#VALUE!</v>
      </c>
      <c r="I12" s="2" t="str">
        <f t="shared" si="3"/>
        <v>195891 zbdp.gqb</v>
      </c>
      <c r="J12" s="2">
        <f>IFERROR(__xludf.DUMMYFUNCTION("SPLIT(I12,"" "")"),195891.0)</f>
        <v>195891</v>
      </c>
      <c r="K12" s="2" t="str">
        <f>IFERROR(__xludf.DUMMYFUNCTION("""COMPUTED_VALUE"""),"zbdp.gqb")</f>
        <v>zbdp.gqb</v>
      </c>
      <c r="M12" s="2" t="b">
        <f t="shared" si="4"/>
        <v>1</v>
      </c>
      <c r="N12" s="2">
        <f>IFERROR(__xludf.DUMMYFUNCTION("IF(AND(REGEXMATCH($G$4, ""cd""),M12),N11+J12)"),212285.0)</f>
        <v>212285</v>
      </c>
      <c r="O12" s="2" t="str">
        <f t="shared" si="5"/>
        <v>/</v>
      </c>
    </row>
    <row r="13">
      <c r="A13" s="1" t="s">
        <v>10</v>
      </c>
      <c r="B13" s="2" t="str">
        <f t="shared" si="1"/>
        <v>dir zddrb</v>
      </c>
      <c r="C13" s="2" t="str">
        <f>IFERROR(__xludf.DUMMYFUNCTION("SPLIT(B13,"" "")"),"dir")</f>
        <v>dir</v>
      </c>
      <c r="D13" s="2" t="str">
        <f>IFERROR(__xludf.DUMMYFUNCTION("""COMPUTED_VALUE"""),"zddrb")</f>
        <v>zddrb</v>
      </c>
      <c r="E13" s="2" t="str">
        <f t="shared" si="2"/>
        <v>#VALUE!</v>
      </c>
      <c r="F13" s="2" t="str">
        <f>IFERROR(__xludf.DUMMYFUNCTION("SPLIT(E13,"" "")"),"#VALUE!")</f>
        <v>#VALUE!</v>
      </c>
      <c r="I13" s="2" t="str">
        <f t="shared" si="3"/>
        <v>#VALUE!</v>
      </c>
      <c r="J13" s="2" t="str">
        <f>IFERROR(__xludf.DUMMYFUNCTION("SPLIT(I13,"" "")"),"#VALUE!")</f>
        <v>#VALUE!</v>
      </c>
      <c r="M13" s="2" t="b">
        <f t="shared" si="4"/>
        <v>0</v>
      </c>
      <c r="N13" s="2" t="b">
        <f>IFERROR(__xludf.DUMMYFUNCTION("IF(AND(REGEXMATCH($G$4, ""cd""),M13),N12+J13)"),FALSE)</f>
        <v>0</v>
      </c>
      <c r="O13" s="2" t="str">
        <f t="shared" si="5"/>
        <v>/</v>
      </c>
    </row>
    <row r="14">
      <c r="A14" s="1" t="s">
        <v>11</v>
      </c>
      <c r="B14" s="2" t="str">
        <f t="shared" si="1"/>
        <v>#VALUE!</v>
      </c>
      <c r="C14" s="2" t="str">
        <f>IFERROR(__xludf.DUMMYFUNCTION("SPLIT(B14,"" "")"),"#VALUE!")</f>
        <v>#VALUE!</v>
      </c>
      <c r="E14" s="2" t="str">
        <f t="shared" si="2"/>
        <v>$ cd fts</v>
      </c>
      <c r="F14" s="2" t="str">
        <f>IFERROR(__xludf.DUMMYFUNCTION("SPLIT(E14,"" "")"),"$")</f>
        <v>$</v>
      </c>
      <c r="G14" s="2" t="str">
        <f>IFERROR(__xludf.DUMMYFUNCTION("""COMPUTED_VALUE"""),"cd")</f>
        <v>cd</v>
      </c>
      <c r="H14" s="2" t="str">
        <f>IFERROR(__xludf.DUMMYFUNCTION("""COMPUTED_VALUE"""),"fts")</f>
        <v>fts</v>
      </c>
      <c r="I14" s="2" t="str">
        <f t="shared" si="3"/>
        <v>#VALUE!</v>
      </c>
      <c r="J14" s="2" t="str">
        <f>IFERROR(__xludf.DUMMYFUNCTION("SPLIT(I14,"" "")"),"#VALUE!")</f>
        <v>#VALUE!</v>
      </c>
      <c r="M14" s="2" t="b">
        <f t="shared" si="4"/>
        <v>0</v>
      </c>
      <c r="N14" s="2" t="b">
        <f>IFERROR(__xludf.DUMMYFUNCTION("IF(AND(REGEXMATCH($G$4, ""cd""),M14),N13+J14)"),FALSE)</f>
        <v>0</v>
      </c>
      <c r="O14" s="2" t="str">
        <f t="shared" si="5"/>
        <v>fts</v>
      </c>
    </row>
    <row r="15">
      <c r="A15" s="1" t="s">
        <v>2</v>
      </c>
      <c r="B15" s="2" t="str">
        <f t="shared" si="1"/>
        <v>#VALUE!</v>
      </c>
      <c r="C15" s="2" t="str">
        <f>IFERROR(__xludf.DUMMYFUNCTION("SPLIT(B15,"" "")"),"#VALUE!")</f>
        <v>#VALUE!</v>
      </c>
      <c r="E15" s="2" t="str">
        <f t="shared" si="2"/>
        <v>#VALUE!</v>
      </c>
      <c r="F15" s="2" t="str">
        <f>IFERROR(__xludf.DUMMYFUNCTION("SPLIT(E15,"" "")"),"#VALUE!")</f>
        <v>#VALUE!</v>
      </c>
      <c r="I15" s="2" t="str">
        <f t="shared" si="3"/>
        <v>#VALUE!</v>
      </c>
      <c r="J15" s="2" t="str">
        <f>IFERROR(__xludf.DUMMYFUNCTION("SPLIT(I15,"" "")"),"#VALUE!")</f>
        <v>#VALUE!</v>
      </c>
      <c r="M15" s="2" t="b">
        <f t="shared" si="4"/>
        <v>0</v>
      </c>
      <c r="N15" s="2" t="b">
        <f>IFERROR(__xludf.DUMMYFUNCTION("IF(AND(REGEXMATCH($G$4, ""cd""),M15),N14+J15)"),FALSE)</f>
        <v>0</v>
      </c>
      <c r="O15" s="2" t="str">
        <f t="shared" si="5"/>
        <v>fts</v>
      </c>
    </row>
    <row r="16">
      <c r="A16" s="1" t="s">
        <v>12</v>
      </c>
      <c r="B16" s="2" t="str">
        <f t="shared" si="1"/>
        <v>dir dlqtffw</v>
      </c>
      <c r="C16" s="2" t="str">
        <f>IFERROR(__xludf.DUMMYFUNCTION("SPLIT(B16,"" "")"),"dir")</f>
        <v>dir</v>
      </c>
      <c r="D16" s="2" t="str">
        <f>IFERROR(__xludf.DUMMYFUNCTION("""COMPUTED_VALUE"""),"dlqtffw")</f>
        <v>dlqtffw</v>
      </c>
      <c r="E16" s="2" t="str">
        <f t="shared" si="2"/>
        <v>#VALUE!</v>
      </c>
      <c r="F16" s="2" t="str">
        <f>IFERROR(__xludf.DUMMYFUNCTION("SPLIT(E16,"" "")"),"#VALUE!")</f>
        <v>#VALUE!</v>
      </c>
      <c r="I16" s="2" t="str">
        <f t="shared" si="3"/>
        <v>#VALUE!</v>
      </c>
      <c r="J16" s="2" t="str">
        <f>IFERROR(__xludf.DUMMYFUNCTION("SPLIT(I16,"" "")"),"#VALUE!")</f>
        <v>#VALUE!</v>
      </c>
      <c r="M16" s="2" t="b">
        <f t="shared" si="4"/>
        <v>0</v>
      </c>
      <c r="N16" s="2" t="b">
        <f>IFERROR(__xludf.DUMMYFUNCTION("IF(AND(REGEXMATCH($G$4, ""cd""),M16),N15+J16)"),FALSE)</f>
        <v>0</v>
      </c>
      <c r="O16" s="2" t="str">
        <f t="shared" si="5"/>
        <v>fts</v>
      </c>
    </row>
    <row r="17">
      <c r="A17" s="1" t="s">
        <v>13</v>
      </c>
      <c r="B17" s="2" t="str">
        <f t="shared" si="1"/>
        <v>dir rbfmmjvd</v>
      </c>
      <c r="C17" s="2" t="str">
        <f>IFERROR(__xludf.DUMMYFUNCTION("SPLIT(B17,"" "")"),"dir")</f>
        <v>dir</v>
      </c>
      <c r="D17" s="2" t="str">
        <f>IFERROR(__xludf.DUMMYFUNCTION("""COMPUTED_VALUE"""),"rbfmmjvd")</f>
        <v>rbfmmjvd</v>
      </c>
      <c r="E17" s="2" t="str">
        <f t="shared" si="2"/>
        <v>#VALUE!</v>
      </c>
      <c r="F17" s="2" t="str">
        <f>IFERROR(__xludf.DUMMYFUNCTION("SPLIT(E17,"" "")"),"#VALUE!")</f>
        <v>#VALUE!</v>
      </c>
      <c r="I17" s="2" t="str">
        <f t="shared" si="3"/>
        <v>#VALUE!</v>
      </c>
      <c r="J17" s="2" t="str">
        <f>IFERROR(__xludf.DUMMYFUNCTION("SPLIT(I17,"" "")"),"#VALUE!")</f>
        <v>#VALUE!</v>
      </c>
      <c r="M17" s="2" t="b">
        <f t="shared" si="4"/>
        <v>0</v>
      </c>
      <c r="N17" s="2" t="b">
        <f>IFERROR(__xludf.DUMMYFUNCTION("IF(AND(REGEXMATCH($G$4, ""cd""),M17),N16+J17)"),FALSE)</f>
        <v>0</v>
      </c>
      <c r="O17" s="2" t="str">
        <f t="shared" si="5"/>
        <v>fts</v>
      </c>
    </row>
    <row r="18">
      <c r="A18" s="1" t="s">
        <v>14</v>
      </c>
      <c r="B18" s="2" t="str">
        <f t="shared" si="1"/>
        <v>#VALUE!</v>
      </c>
      <c r="C18" s="2" t="str">
        <f>IFERROR(__xludf.DUMMYFUNCTION("SPLIT(B18,"" "")"),"#VALUE!")</f>
        <v>#VALUE!</v>
      </c>
      <c r="E18" s="2" t="str">
        <f t="shared" si="2"/>
        <v>#VALUE!</v>
      </c>
      <c r="F18" s="2" t="str">
        <f>IFERROR(__xludf.DUMMYFUNCTION("SPLIT(E18,"" "")"),"#VALUE!")</f>
        <v>#VALUE!</v>
      </c>
      <c r="I18" s="2" t="str">
        <f t="shared" si="3"/>
        <v>254713 wvwhrb.dhh</v>
      </c>
      <c r="J18" s="2">
        <f>IFERROR(__xludf.DUMMYFUNCTION("SPLIT(I18,"" "")"),254713.0)</f>
        <v>254713</v>
      </c>
      <c r="K18" s="2" t="str">
        <f>IFERROR(__xludf.DUMMYFUNCTION("""COMPUTED_VALUE"""),"wvwhrb.dhh")</f>
        <v>wvwhrb.dhh</v>
      </c>
      <c r="M18" s="2" t="b">
        <f t="shared" si="4"/>
        <v>1</v>
      </c>
      <c r="N18" s="2">
        <f>IFERROR(__xludf.DUMMYFUNCTION("IF(AND(REGEXMATCH($G$4, ""cd""),M18),N17+J18)"),254713.0)</f>
        <v>254713</v>
      </c>
      <c r="O18" s="2" t="str">
        <f t="shared" si="5"/>
        <v>fts</v>
      </c>
    </row>
    <row r="19">
      <c r="A19" s="1" t="s">
        <v>15</v>
      </c>
      <c r="B19" s="2" t="str">
        <f t="shared" si="1"/>
        <v>#VALUE!</v>
      </c>
      <c r="C19" s="2" t="str">
        <f>IFERROR(__xludf.DUMMYFUNCTION("SPLIT(B19,"" "")"),"#VALUE!")</f>
        <v>#VALUE!</v>
      </c>
      <c r="E19" s="2" t="str">
        <f t="shared" si="2"/>
        <v>$ cd dlqtffw</v>
      </c>
      <c r="F19" s="2" t="str">
        <f>IFERROR(__xludf.DUMMYFUNCTION("SPLIT(E19,"" "")"),"$")</f>
        <v>$</v>
      </c>
      <c r="G19" s="2" t="str">
        <f>IFERROR(__xludf.DUMMYFUNCTION("""COMPUTED_VALUE"""),"cd")</f>
        <v>cd</v>
      </c>
      <c r="H19" s="2" t="str">
        <f>IFERROR(__xludf.DUMMYFUNCTION("""COMPUTED_VALUE"""),"dlqtffw")</f>
        <v>dlqtffw</v>
      </c>
      <c r="I19" s="2" t="str">
        <f t="shared" si="3"/>
        <v>#VALUE!</v>
      </c>
      <c r="J19" s="2" t="str">
        <f>IFERROR(__xludf.DUMMYFUNCTION("SPLIT(I19,"" "")"),"#VALUE!")</f>
        <v>#VALUE!</v>
      </c>
      <c r="M19" s="2" t="b">
        <f t="shared" si="4"/>
        <v>0</v>
      </c>
      <c r="N19" s="2" t="b">
        <f>IFERROR(__xludf.DUMMYFUNCTION("IF(AND(REGEXMATCH($G$4, ""cd""),M19),N18+J19)"),FALSE)</f>
        <v>0</v>
      </c>
      <c r="O19" s="2" t="str">
        <f t="shared" si="5"/>
        <v>dlqtffw</v>
      </c>
    </row>
    <row r="20">
      <c r="A20" s="1" t="s">
        <v>2</v>
      </c>
      <c r="B20" s="2" t="str">
        <f t="shared" si="1"/>
        <v>#VALUE!</v>
      </c>
      <c r="C20" s="2" t="str">
        <f>IFERROR(__xludf.DUMMYFUNCTION("SPLIT(B20,"" "")"),"#VALUE!")</f>
        <v>#VALUE!</v>
      </c>
      <c r="E20" s="2" t="str">
        <f t="shared" si="2"/>
        <v>#VALUE!</v>
      </c>
      <c r="F20" s="2" t="str">
        <f>IFERROR(__xludf.DUMMYFUNCTION("SPLIT(E20,"" "")"),"#VALUE!")</f>
        <v>#VALUE!</v>
      </c>
      <c r="I20" s="2" t="str">
        <f t="shared" si="3"/>
        <v>#VALUE!</v>
      </c>
      <c r="J20" s="2" t="str">
        <f>IFERROR(__xludf.DUMMYFUNCTION("SPLIT(I20,"" "")"),"#VALUE!")</f>
        <v>#VALUE!</v>
      </c>
      <c r="M20" s="2" t="b">
        <f t="shared" si="4"/>
        <v>0</v>
      </c>
      <c r="N20" s="2" t="b">
        <f>IFERROR(__xludf.DUMMYFUNCTION("IF(AND(REGEXMATCH($G$4, ""cd""),M20),N19+J20)"),FALSE)</f>
        <v>0</v>
      </c>
      <c r="O20" s="2" t="str">
        <f t="shared" si="5"/>
        <v>dlqtffw</v>
      </c>
    </row>
    <row r="21">
      <c r="A21" s="1" t="s">
        <v>16</v>
      </c>
      <c r="B21" s="2" t="str">
        <f t="shared" si="1"/>
        <v>#VALUE!</v>
      </c>
      <c r="C21" s="2" t="str">
        <f>IFERROR(__xludf.DUMMYFUNCTION("SPLIT(B21,"" "")"),"#VALUE!")</f>
        <v>#VALUE!</v>
      </c>
      <c r="E21" s="2" t="str">
        <f t="shared" si="2"/>
        <v>#VALUE!</v>
      </c>
      <c r="F21" s="2" t="str">
        <f>IFERROR(__xludf.DUMMYFUNCTION("SPLIT(E21,"" "")"),"#VALUE!")</f>
        <v>#VALUE!</v>
      </c>
      <c r="I21" s="2" t="str">
        <f t="shared" si="3"/>
        <v>73533 nqbvg.fgd</v>
      </c>
      <c r="J21" s="2">
        <f>IFERROR(__xludf.DUMMYFUNCTION("SPLIT(I21,"" "")"),73533.0)</f>
        <v>73533</v>
      </c>
      <c r="K21" s="2" t="str">
        <f>IFERROR(__xludf.DUMMYFUNCTION("""COMPUTED_VALUE"""),"nqbvg.fgd")</f>
        <v>nqbvg.fgd</v>
      </c>
      <c r="M21" s="2" t="b">
        <f t="shared" si="4"/>
        <v>1</v>
      </c>
      <c r="N21" s="2">
        <f>IFERROR(__xludf.DUMMYFUNCTION("IF(AND(REGEXMATCH($G$4, ""cd""),M21),N20+J21)"),73533.0)</f>
        <v>73533</v>
      </c>
      <c r="O21" s="2" t="str">
        <f t="shared" si="5"/>
        <v>dlqtffw</v>
      </c>
    </row>
    <row r="22">
      <c r="A22" s="1" t="s">
        <v>17</v>
      </c>
      <c r="B22" s="2" t="str">
        <f t="shared" si="1"/>
        <v>#VALUE!</v>
      </c>
      <c r="C22" s="2" t="str">
        <f>IFERROR(__xludf.DUMMYFUNCTION("SPLIT(B22,"" "")"),"#VALUE!")</f>
        <v>#VALUE!</v>
      </c>
      <c r="E22" s="2" t="str">
        <f t="shared" si="2"/>
        <v>$ cd ..</v>
      </c>
      <c r="F22" s="2" t="str">
        <f>IFERROR(__xludf.DUMMYFUNCTION("SPLIT(E22,"" "")"),"$")</f>
        <v>$</v>
      </c>
      <c r="G22" s="2" t="str">
        <f>IFERROR(__xludf.DUMMYFUNCTION("""COMPUTED_VALUE"""),"cd")</f>
        <v>cd</v>
      </c>
      <c r="H22" s="2" t="str">
        <f>IFERROR(__xludf.DUMMYFUNCTION("""COMPUTED_VALUE"""),"..")</f>
        <v>..</v>
      </c>
      <c r="I22" s="2" t="str">
        <f t="shared" si="3"/>
        <v>$ cd ..</v>
      </c>
      <c r="J22" s="2" t="str">
        <f>IFERROR(__xludf.DUMMYFUNCTION("SPLIT(I22,"" "")"),"$")</f>
        <v>$</v>
      </c>
      <c r="K22" s="2" t="str">
        <f>IFERROR(__xludf.DUMMYFUNCTION("""COMPUTED_VALUE"""),"cd")</f>
        <v>cd</v>
      </c>
      <c r="L22" s="2" t="str">
        <f>IFERROR(__xludf.DUMMYFUNCTION("""COMPUTED_VALUE"""),"..")</f>
        <v>..</v>
      </c>
      <c r="M22" s="2" t="b">
        <f t="shared" si="4"/>
        <v>0</v>
      </c>
      <c r="N22" s="2" t="b">
        <f>IFERROR(__xludf.DUMMYFUNCTION("IF(AND(REGEXMATCH($G$4, ""cd""),M22),N21+J22)"),FALSE)</f>
        <v>0</v>
      </c>
      <c r="O22" s="2" t="str">
        <f t="shared" si="5"/>
        <v>..</v>
      </c>
    </row>
    <row r="23">
      <c r="A23" s="1" t="s">
        <v>18</v>
      </c>
      <c r="B23" s="2" t="str">
        <f t="shared" si="1"/>
        <v>#VALUE!</v>
      </c>
      <c r="C23" s="2" t="str">
        <f>IFERROR(__xludf.DUMMYFUNCTION("SPLIT(B23,"" "")"),"#VALUE!")</f>
        <v>#VALUE!</v>
      </c>
      <c r="E23" s="2" t="str">
        <f t="shared" si="2"/>
        <v>$ cd rbfmmjvd</v>
      </c>
      <c r="F23" s="2" t="str">
        <f>IFERROR(__xludf.DUMMYFUNCTION("SPLIT(E23,"" "")"),"$")</f>
        <v>$</v>
      </c>
      <c r="G23" s="2" t="str">
        <f>IFERROR(__xludf.DUMMYFUNCTION("""COMPUTED_VALUE"""),"cd")</f>
        <v>cd</v>
      </c>
      <c r="H23" s="2" t="str">
        <f>IFERROR(__xludf.DUMMYFUNCTION("""COMPUTED_VALUE"""),"rbfmmjvd")</f>
        <v>rbfmmjvd</v>
      </c>
      <c r="I23" s="2" t="str">
        <f t="shared" si="3"/>
        <v>#VALUE!</v>
      </c>
      <c r="J23" s="2" t="str">
        <f>IFERROR(__xludf.DUMMYFUNCTION("SPLIT(I23,"" "")"),"#VALUE!")</f>
        <v>#VALUE!</v>
      </c>
      <c r="M23" s="2" t="b">
        <f t="shared" si="4"/>
        <v>0</v>
      </c>
      <c r="N23" s="2" t="b">
        <f>IFERROR(__xludf.DUMMYFUNCTION("IF(AND(REGEXMATCH($G$4, ""cd""),M23),N22+J23)"),FALSE)</f>
        <v>0</v>
      </c>
      <c r="O23" s="2" t="str">
        <f t="shared" si="5"/>
        <v>rbfmmjvd</v>
      </c>
    </row>
    <row r="24">
      <c r="A24" s="1" t="s">
        <v>2</v>
      </c>
      <c r="B24" s="2" t="str">
        <f t="shared" si="1"/>
        <v>#VALUE!</v>
      </c>
      <c r="C24" s="2" t="str">
        <f>IFERROR(__xludf.DUMMYFUNCTION("SPLIT(B24,"" "")"),"#VALUE!")</f>
        <v>#VALUE!</v>
      </c>
      <c r="E24" s="2" t="str">
        <f t="shared" si="2"/>
        <v>#VALUE!</v>
      </c>
      <c r="F24" s="2" t="str">
        <f>IFERROR(__xludf.DUMMYFUNCTION("SPLIT(E24,"" "")"),"#VALUE!")</f>
        <v>#VALUE!</v>
      </c>
      <c r="I24" s="2" t="str">
        <f t="shared" si="3"/>
        <v>#VALUE!</v>
      </c>
      <c r="J24" s="2" t="str">
        <f>IFERROR(__xludf.DUMMYFUNCTION("SPLIT(I24,"" "")"),"#VALUE!")</f>
        <v>#VALUE!</v>
      </c>
      <c r="M24" s="2" t="b">
        <f t="shared" si="4"/>
        <v>0</v>
      </c>
      <c r="N24" s="2" t="b">
        <f>IFERROR(__xludf.DUMMYFUNCTION("IF(AND(REGEXMATCH($G$4, ""cd""),M24),N23+J24)"),FALSE)</f>
        <v>0</v>
      </c>
      <c r="O24" s="2" t="str">
        <f t="shared" si="5"/>
        <v>rbfmmjvd</v>
      </c>
    </row>
    <row r="25">
      <c r="A25" s="1" t="s">
        <v>19</v>
      </c>
      <c r="B25" s="2" t="str">
        <f t="shared" si="1"/>
        <v>#VALUE!</v>
      </c>
      <c r="C25" s="2" t="str">
        <f>IFERROR(__xludf.DUMMYFUNCTION("SPLIT(B25,"" "")"),"#VALUE!")</f>
        <v>#VALUE!</v>
      </c>
      <c r="E25" s="2" t="str">
        <f t="shared" si="2"/>
        <v>#VALUE!</v>
      </c>
      <c r="F25" s="2" t="str">
        <f>IFERROR(__xludf.DUMMYFUNCTION("SPLIT(E25,"" "")"),"#VALUE!")</f>
        <v>#VALUE!</v>
      </c>
      <c r="I25" s="2" t="str">
        <f t="shared" si="3"/>
        <v>290697 zcgrgff.fnf</v>
      </c>
      <c r="J25" s="2">
        <f>IFERROR(__xludf.DUMMYFUNCTION("SPLIT(I25,"" "")"),290697.0)</f>
        <v>290697</v>
      </c>
      <c r="K25" s="2" t="str">
        <f>IFERROR(__xludf.DUMMYFUNCTION("""COMPUTED_VALUE"""),"zcgrgff.fnf")</f>
        <v>zcgrgff.fnf</v>
      </c>
      <c r="M25" s="2" t="b">
        <f t="shared" si="4"/>
        <v>1</v>
      </c>
      <c r="N25" s="2">
        <f>IFERROR(__xludf.DUMMYFUNCTION("IF(AND(REGEXMATCH($G$4, ""cd""),M25),N24+J25)"),290697.0)</f>
        <v>290697</v>
      </c>
      <c r="O25" s="2" t="str">
        <f t="shared" si="5"/>
        <v>rbfmmjvd</v>
      </c>
    </row>
    <row r="26">
      <c r="A26" s="1" t="s">
        <v>17</v>
      </c>
      <c r="B26" s="2" t="str">
        <f t="shared" si="1"/>
        <v>#VALUE!</v>
      </c>
      <c r="C26" s="2" t="str">
        <f>IFERROR(__xludf.DUMMYFUNCTION("SPLIT(B26,"" "")"),"#VALUE!")</f>
        <v>#VALUE!</v>
      </c>
      <c r="E26" s="2" t="str">
        <f t="shared" si="2"/>
        <v>$ cd ..</v>
      </c>
      <c r="F26" s="2" t="str">
        <f>IFERROR(__xludf.DUMMYFUNCTION("SPLIT(E26,"" "")"),"$")</f>
        <v>$</v>
      </c>
      <c r="G26" s="2" t="str">
        <f>IFERROR(__xludf.DUMMYFUNCTION("""COMPUTED_VALUE"""),"cd")</f>
        <v>cd</v>
      </c>
      <c r="H26" s="2" t="str">
        <f>IFERROR(__xludf.DUMMYFUNCTION("""COMPUTED_VALUE"""),"..")</f>
        <v>..</v>
      </c>
      <c r="I26" s="2" t="str">
        <f t="shared" si="3"/>
        <v>$ cd ..</v>
      </c>
      <c r="J26" s="2" t="str">
        <f>IFERROR(__xludf.DUMMYFUNCTION("SPLIT(I26,"" "")"),"$")</f>
        <v>$</v>
      </c>
      <c r="K26" s="2" t="str">
        <f>IFERROR(__xludf.DUMMYFUNCTION("""COMPUTED_VALUE"""),"cd")</f>
        <v>cd</v>
      </c>
      <c r="L26" s="2" t="str">
        <f>IFERROR(__xludf.DUMMYFUNCTION("""COMPUTED_VALUE"""),"..")</f>
        <v>..</v>
      </c>
      <c r="M26" s="2" t="b">
        <f t="shared" si="4"/>
        <v>0</v>
      </c>
      <c r="N26" s="2" t="b">
        <f>IFERROR(__xludf.DUMMYFUNCTION("IF(AND(REGEXMATCH($G$4, ""cd""),M26),N25+J26)"),FALSE)</f>
        <v>0</v>
      </c>
      <c r="O26" s="2" t="str">
        <f t="shared" si="5"/>
        <v>..</v>
      </c>
    </row>
    <row r="27">
      <c r="A27" s="1" t="s">
        <v>17</v>
      </c>
      <c r="B27" s="2" t="str">
        <f t="shared" si="1"/>
        <v>#VALUE!</v>
      </c>
      <c r="C27" s="2" t="str">
        <f>IFERROR(__xludf.DUMMYFUNCTION("SPLIT(B27,"" "")"),"#VALUE!")</f>
        <v>#VALUE!</v>
      </c>
      <c r="E27" s="2" t="str">
        <f t="shared" si="2"/>
        <v>$ cd ..</v>
      </c>
      <c r="F27" s="2" t="str">
        <f>IFERROR(__xludf.DUMMYFUNCTION("SPLIT(E27,"" "")"),"$")</f>
        <v>$</v>
      </c>
      <c r="G27" s="2" t="str">
        <f>IFERROR(__xludf.DUMMYFUNCTION("""COMPUTED_VALUE"""),"cd")</f>
        <v>cd</v>
      </c>
      <c r="H27" s="2" t="str">
        <f>IFERROR(__xludf.DUMMYFUNCTION("""COMPUTED_VALUE"""),"..")</f>
        <v>..</v>
      </c>
      <c r="I27" s="2" t="str">
        <f t="shared" si="3"/>
        <v>$ cd ..</v>
      </c>
      <c r="J27" s="2" t="str">
        <f>IFERROR(__xludf.DUMMYFUNCTION("SPLIT(I27,"" "")"),"$")</f>
        <v>$</v>
      </c>
      <c r="K27" s="2" t="str">
        <f>IFERROR(__xludf.DUMMYFUNCTION("""COMPUTED_VALUE"""),"cd")</f>
        <v>cd</v>
      </c>
      <c r="L27" s="2" t="str">
        <f>IFERROR(__xludf.DUMMYFUNCTION("""COMPUTED_VALUE"""),"..")</f>
        <v>..</v>
      </c>
      <c r="M27" s="2" t="b">
        <f t="shared" si="4"/>
        <v>0</v>
      </c>
      <c r="N27" s="2" t="b">
        <f>IFERROR(__xludf.DUMMYFUNCTION("IF(AND(REGEXMATCH($G$4, ""cd""),M27),N26+J27)"),FALSE)</f>
        <v>0</v>
      </c>
      <c r="O27" s="2" t="str">
        <f t="shared" si="5"/>
        <v>#N/A</v>
      </c>
    </row>
    <row r="28">
      <c r="A28" s="1" t="s">
        <v>20</v>
      </c>
      <c r="B28" s="2" t="str">
        <f t="shared" si="1"/>
        <v>#VALUE!</v>
      </c>
      <c r="C28" s="2" t="str">
        <f>IFERROR(__xludf.DUMMYFUNCTION("SPLIT(B28,"" "")"),"#VALUE!")</f>
        <v>#VALUE!</v>
      </c>
      <c r="E28" s="2" t="str">
        <f t="shared" si="2"/>
        <v>$ cd jnwr</v>
      </c>
      <c r="F28" s="2" t="str">
        <f>IFERROR(__xludf.DUMMYFUNCTION("SPLIT(E28,"" "")"),"$")</f>
        <v>$</v>
      </c>
      <c r="G28" s="2" t="str">
        <f>IFERROR(__xludf.DUMMYFUNCTION("""COMPUTED_VALUE"""),"cd")</f>
        <v>cd</v>
      </c>
      <c r="H28" s="2" t="str">
        <f>IFERROR(__xludf.DUMMYFUNCTION("""COMPUTED_VALUE"""),"jnwr")</f>
        <v>jnwr</v>
      </c>
      <c r="I28" s="2" t="str">
        <f t="shared" si="3"/>
        <v>#VALUE!</v>
      </c>
      <c r="J28" s="2" t="str">
        <f>IFERROR(__xludf.DUMMYFUNCTION("SPLIT(I28,"" "")"),"#VALUE!")</f>
        <v>#VALUE!</v>
      </c>
      <c r="M28" s="2" t="b">
        <f t="shared" si="4"/>
        <v>0</v>
      </c>
      <c r="N28" s="2" t="b">
        <f>IFERROR(__xludf.DUMMYFUNCTION("IF(AND(REGEXMATCH($G$4, ""cd""),M28),N27+J28)"),FALSE)</f>
        <v>0</v>
      </c>
      <c r="O28" s="2" t="str">
        <f t="shared" si="5"/>
        <v>#N/A</v>
      </c>
    </row>
    <row r="29">
      <c r="A29" s="1" t="s">
        <v>2</v>
      </c>
      <c r="B29" s="2" t="str">
        <f t="shared" si="1"/>
        <v>#VALUE!</v>
      </c>
      <c r="C29" s="2" t="str">
        <f>IFERROR(__xludf.DUMMYFUNCTION("SPLIT(B29,"" "")"),"#VALUE!")</f>
        <v>#VALUE!</v>
      </c>
      <c r="E29" s="2" t="str">
        <f t="shared" si="2"/>
        <v>#VALUE!</v>
      </c>
      <c r="F29" s="2" t="str">
        <f>IFERROR(__xludf.DUMMYFUNCTION("SPLIT(E29,"" "")"),"#VALUE!")</f>
        <v>#VALUE!</v>
      </c>
      <c r="I29" s="2" t="str">
        <f t="shared" si="3"/>
        <v>#VALUE!</v>
      </c>
      <c r="J29" s="2" t="str">
        <f>IFERROR(__xludf.DUMMYFUNCTION("SPLIT(I29,"" "")"),"#VALUE!")</f>
        <v>#VALUE!</v>
      </c>
      <c r="M29" s="2" t="b">
        <f t="shared" si="4"/>
        <v>0</v>
      </c>
      <c r="N29" s="2" t="b">
        <f>IFERROR(__xludf.DUMMYFUNCTION("IF(AND(REGEXMATCH($G$4, ""cd""),M29),N28+J29)"),FALSE)</f>
        <v>0</v>
      </c>
      <c r="O29" s="2" t="str">
        <f t="shared" si="5"/>
        <v>#N/A</v>
      </c>
    </row>
    <row r="30">
      <c r="A30" s="1" t="s">
        <v>21</v>
      </c>
      <c r="B30" s="2" t="str">
        <f t="shared" si="1"/>
        <v>#VALUE!</v>
      </c>
      <c r="C30" s="2" t="str">
        <f>IFERROR(__xludf.DUMMYFUNCTION("SPLIT(B30,"" "")"),"#VALUE!")</f>
        <v>#VALUE!</v>
      </c>
      <c r="E30" s="2" t="str">
        <f t="shared" si="2"/>
        <v>#VALUE!</v>
      </c>
      <c r="F30" s="2" t="str">
        <f>IFERROR(__xludf.DUMMYFUNCTION("SPLIT(E30,"" "")"),"#VALUE!")</f>
        <v>#VALUE!</v>
      </c>
      <c r="I30" s="2" t="str">
        <f t="shared" si="3"/>
        <v>#VALUE!</v>
      </c>
      <c r="J30" s="2" t="str">
        <f>IFERROR(__xludf.DUMMYFUNCTION("SPLIT(I30,"" "")"),"#VALUE!")</f>
        <v>#VALUE!</v>
      </c>
      <c r="M30" s="2" t="b">
        <f t="shared" si="4"/>
        <v>0</v>
      </c>
      <c r="N30" s="2" t="b">
        <f>IFERROR(__xludf.DUMMYFUNCTION("IF(AND(REGEXMATCH($G$4, ""cd""),M30),N29+J30)"),FALSE)</f>
        <v>0</v>
      </c>
      <c r="O30" s="2" t="str">
        <f t="shared" si="5"/>
        <v>#N/A</v>
      </c>
    </row>
    <row r="31">
      <c r="A31" s="1" t="s">
        <v>22</v>
      </c>
      <c r="B31" s="2" t="str">
        <f t="shared" si="1"/>
        <v>#VALUE!</v>
      </c>
      <c r="C31" s="2" t="str">
        <f>IFERROR(__xludf.DUMMYFUNCTION("SPLIT(B31,"" "")"),"#VALUE!")</f>
        <v>#VALUE!</v>
      </c>
      <c r="E31" s="2" t="str">
        <f t="shared" si="2"/>
        <v>#VALUE!</v>
      </c>
      <c r="F31" s="2" t="str">
        <f>IFERROR(__xludf.DUMMYFUNCTION("SPLIT(E31,"" "")"),"#VALUE!")</f>
        <v>#VALUE!</v>
      </c>
      <c r="I31" s="2" t="str">
        <f t="shared" si="3"/>
        <v>#VALUE!</v>
      </c>
      <c r="J31" s="2" t="str">
        <f>IFERROR(__xludf.DUMMYFUNCTION("SPLIT(I31,"" "")"),"#VALUE!")</f>
        <v>#VALUE!</v>
      </c>
      <c r="M31" s="2" t="b">
        <f t="shared" si="4"/>
        <v>0</v>
      </c>
      <c r="N31" s="2" t="b">
        <f>IFERROR(__xludf.DUMMYFUNCTION("IF(AND(REGEXMATCH($G$4, ""cd""),M31),N30+J31)"),FALSE)</f>
        <v>0</v>
      </c>
      <c r="O31" s="2" t="str">
        <f t="shared" si="5"/>
        <v>#N/A</v>
      </c>
    </row>
    <row r="32">
      <c r="A32" s="1" t="s">
        <v>23</v>
      </c>
      <c r="B32" s="2" t="str">
        <f t="shared" si="1"/>
        <v>dir wbv</v>
      </c>
      <c r="C32" s="2" t="str">
        <f>IFERROR(__xludf.DUMMYFUNCTION("SPLIT(B32,"" "")"),"dir")</f>
        <v>dir</v>
      </c>
      <c r="D32" s="2" t="str">
        <f>IFERROR(__xludf.DUMMYFUNCTION("""COMPUTED_VALUE"""),"wbv")</f>
        <v>wbv</v>
      </c>
      <c r="E32" s="2" t="str">
        <f t="shared" si="2"/>
        <v>#VALUE!</v>
      </c>
      <c r="F32" s="2" t="str">
        <f>IFERROR(__xludf.DUMMYFUNCTION("SPLIT(E32,"" "")"),"#VALUE!")</f>
        <v>#VALUE!</v>
      </c>
      <c r="I32" s="2" t="str">
        <f t="shared" si="3"/>
        <v>#VALUE!</v>
      </c>
      <c r="J32" s="2" t="str">
        <f>IFERROR(__xludf.DUMMYFUNCTION("SPLIT(I32,"" "")"),"#VALUE!")</f>
        <v>#VALUE!</v>
      </c>
      <c r="M32" s="2" t="b">
        <f t="shared" si="4"/>
        <v>0</v>
      </c>
      <c r="N32" s="2" t="b">
        <f>IFERROR(__xludf.DUMMYFUNCTION("IF(AND(REGEXMATCH($G$4, ""cd""),M32),N31+J32)"),FALSE)</f>
        <v>0</v>
      </c>
      <c r="O32" s="2" t="str">
        <f t="shared" si="5"/>
        <v>#N/A</v>
      </c>
    </row>
    <row r="33">
      <c r="A33" s="1" t="s">
        <v>24</v>
      </c>
      <c r="B33" s="2" t="str">
        <f t="shared" si="1"/>
        <v>dir zzbvdcf</v>
      </c>
      <c r="C33" s="2" t="str">
        <f>IFERROR(__xludf.DUMMYFUNCTION("SPLIT(B33,"" "")"),"dir")</f>
        <v>dir</v>
      </c>
      <c r="D33" s="2" t="str">
        <f>IFERROR(__xludf.DUMMYFUNCTION("""COMPUTED_VALUE"""),"zzbvdcf")</f>
        <v>zzbvdcf</v>
      </c>
      <c r="E33" s="2" t="str">
        <f t="shared" si="2"/>
        <v>#VALUE!</v>
      </c>
      <c r="F33" s="2" t="str">
        <f>IFERROR(__xludf.DUMMYFUNCTION("SPLIT(E33,"" "")"),"#VALUE!")</f>
        <v>#VALUE!</v>
      </c>
      <c r="I33" s="2" t="str">
        <f t="shared" si="3"/>
        <v>#VALUE!</v>
      </c>
      <c r="J33" s="2" t="str">
        <f>IFERROR(__xludf.DUMMYFUNCTION("SPLIT(I33,"" "")"),"#VALUE!")</f>
        <v>#VALUE!</v>
      </c>
      <c r="M33" s="2" t="b">
        <f t="shared" si="4"/>
        <v>0</v>
      </c>
      <c r="N33" s="2" t="b">
        <f>IFERROR(__xludf.DUMMYFUNCTION("IF(AND(REGEXMATCH($G$4, ""cd""),M33),N32+J33)"),FALSE)</f>
        <v>0</v>
      </c>
      <c r="O33" s="2" t="str">
        <f t="shared" si="5"/>
        <v>#N/A</v>
      </c>
    </row>
    <row r="34">
      <c r="A34" s="1" t="s">
        <v>25</v>
      </c>
      <c r="B34" s="2" t="str">
        <f t="shared" si="1"/>
        <v>#VALUE!</v>
      </c>
      <c r="C34" s="2" t="str">
        <f>IFERROR(__xludf.DUMMYFUNCTION("SPLIT(B34,"" "")"),"#VALUE!")</f>
        <v>#VALUE!</v>
      </c>
      <c r="E34" s="2" t="str">
        <f t="shared" si="2"/>
        <v>$ cd wbv</v>
      </c>
      <c r="F34" s="2" t="str">
        <f>IFERROR(__xludf.DUMMYFUNCTION("SPLIT(E34,"" "")"),"$")</f>
        <v>$</v>
      </c>
      <c r="G34" s="2" t="str">
        <f>IFERROR(__xludf.DUMMYFUNCTION("""COMPUTED_VALUE"""),"cd")</f>
        <v>cd</v>
      </c>
      <c r="H34" s="2" t="str">
        <f>IFERROR(__xludf.DUMMYFUNCTION("""COMPUTED_VALUE"""),"wbv")</f>
        <v>wbv</v>
      </c>
      <c r="I34" s="2" t="str">
        <f t="shared" si="3"/>
        <v>#VALUE!</v>
      </c>
      <c r="J34" s="2" t="str">
        <f>IFERROR(__xludf.DUMMYFUNCTION("SPLIT(I34,"" "")"),"#VALUE!")</f>
        <v>#VALUE!</v>
      </c>
      <c r="M34" s="2" t="b">
        <f t="shared" si="4"/>
        <v>0</v>
      </c>
      <c r="N34" s="2" t="b">
        <f>IFERROR(__xludf.DUMMYFUNCTION("IF(AND(REGEXMATCH($G$4, ""cd""),M34),N33+J34)"),FALSE)</f>
        <v>0</v>
      </c>
      <c r="O34" s="2" t="str">
        <f t="shared" si="5"/>
        <v>#N/A</v>
      </c>
    </row>
    <row r="35">
      <c r="A35" s="1" t="s">
        <v>2</v>
      </c>
      <c r="B35" s="2" t="str">
        <f t="shared" si="1"/>
        <v>#VALUE!</v>
      </c>
      <c r="C35" s="2" t="str">
        <f>IFERROR(__xludf.DUMMYFUNCTION("SPLIT(B35,"" "")"),"#VALUE!")</f>
        <v>#VALUE!</v>
      </c>
      <c r="E35" s="2" t="str">
        <f t="shared" si="2"/>
        <v>#VALUE!</v>
      </c>
      <c r="F35" s="2" t="str">
        <f>IFERROR(__xludf.DUMMYFUNCTION("SPLIT(E35,"" "")"),"#VALUE!")</f>
        <v>#VALUE!</v>
      </c>
      <c r="I35" s="2" t="str">
        <f t="shared" si="3"/>
        <v>#VALUE!</v>
      </c>
      <c r="J35" s="2" t="str">
        <f>IFERROR(__xludf.DUMMYFUNCTION("SPLIT(I35,"" "")"),"#VALUE!")</f>
        <v>#VALUE!</v>
      </c>
      <c r="M35" s="2" t="b">
        <f t="shared" si="4"/>
        <v>0</v>
      </c>
      <c r="N35" s="2" t="b">
        <f>IFERROR(__xludf.DUMMYFUNCTION("IF(AND(REGEXMATCH($G$4, ""cd""),M35),N34+J35)"),FALSE)</f>
        <v>0</v>
      </c>
      <c r="O35" s="2" t="str">
        <f t="shared" si="5"/>
        <v>#N/A</v>
      </c>
    </row>
    <row r="36">
      <c r="A36" s="1" t="s">
        <v>26</v>
      </c>
      <c r="B36" s="2" t="str">
        <f t="shared" si="1"/>
        <v>dir nmdwbnnr</v>
      </c>
      <c r="C36" s="2" t="str">
        <f>IFERROR(__xludf.DUMMYFUNCTION("SPLIT(B36,"" "")"),"dir")</f>
        <v>dir</v>
      </c>
      <c r="D36" s="2" t="str">
        <f>IFERROR(__xludf.DUMMYFUNCTION("""COMPUTED_VALUE"""),"nmdwbnnr")</f>
        <v>nmdwbnnr</v>
      </c>
      <c r="E36" s="2" t="str">
        <f t="shared" si="2"/>
        <v>#VALUE!</v>
      </c>
      <c r="F36" s="2" t="str">
        <f>IFERROR(__xludf.DUMMYFUNCTION("SPLIT(E36,"" "")"),"#VALUE!")</f>
        <v>#VALUE!</v>
      </c>
      <c r="I36" s="2" t="str">
        <f t="shared" si="3"/>
        <v>#VALUE!</v>
      </c>
      <c r="J36" s="2" t="str">
        <f>IFERROR(__xludf.DUMMYFUNCTION("SPLIT(I36,"" "")"),"#VALUE!")</f>
        <v>#VALUE!</v>
      </c>
      <c r="M36" s="2" t="b">
        <f t="shared" si="4"/>
        <v>0</v>
      </c>
      <c r="N36" s="2" t="b">
        <f>IFERROR(__xludf.DUMMYFUNCTION("IF(AND(REGEXMATCH($G$4, ""cd""),M36),N35+J36)"),FALSE)</f>
        <v>0</v>
      </c>
      <c r="O36" s="2" t="str">
        <f t="shared" si="5"/>
        <v>#N/A</v>
      </c>
    </row>
    <row r="37">
      <c r="A37" s="1" t="s">
        <v>27</v>
      </c>
      <c r="B37" s="2" t="str">
        <f t="shared" si="1"/>
        <v>#VALUE!</v>
      </c>
      <c r="C37" s="2" t="str">
        <f>IFERROR(__xludf.DUMMYFUNCTION("SPLIT(B37,"" "")"),"#VALUE!")</f>
        <v>#VALUE!</v>
      </c>
      <c r="E37" s="2" t="str">
        <f t="shared" si="2"/>
        <v>#VALUE!</v>
      </c>
      <c r="F37" s="2" t="str">
        <f>IFERROR(__xludf.DUMMYFUNCTION("SPLIT(E37,"" "")"),"#VALUE!")</f>
        <v>#VALUE!</v>
      </c>
      <c r="I37" s="2" t="str">
        <f t="shared" si="3"/>
        <v>253584 slzdbm.ncn</v>
      </c>
      <c r="J37" s="2">
        <f>IFERROR(__xludf.DUMMYFUNCTION("SPLIT(I37,"" "")"),253584.0)</f>
        <v>253584</v>
      </c>
      <c r="K37" s="2" t="str">
        <f>IFERROR(__xludf.DUMMYFUNCTION("""COMPUTED_VALUE"""),"slzdbm.ncn")</f>
        <v>slzdbm.ncn</v>
      </c>
      <c r="M37" s="2" t="b">
        <f t="shared" si="4"/>
        <v>1</v>
      </c>
      <c r="N37" s="2">
        <f>IFERROR(__xludf.DUMMYFUNCTION("IF(AND(REGEXMATCH($G$4, ""cd""),M37),N36+J37)"),253584.0)</f>
        <v>253584</v>
      </c>
      <c r="O37" s="2" t="str">
        <f t="shared" si="5"/>
        <v>#N/A</v>
      </c>
    </row>
    <row r="38">
      <c r="A38" s="1" t="s">
        <v>28</v>
      </c>
      <c r="B38" s="2" t="str">
        <f t="shared" si="1"/>
        <v>#VALUE!</v>
      </c>
      <c r="C38" s="2" t="str">
        <f>IFERROR(__xludf.DUMMYFUNCTION("SPLIT(B38,"" "")"),"#VALUE!")</f>
        <v>#VALUE!</v>
      </c>
      <c r="E38" s="2" t="str">
        <f t="shared" si="2"/>
        <v>$ cd nmdwbnnr</v>
      </c>
      <c r="F38" s="2" t="str">
        <f>IFERROR(__xludf.DUMMYFUNCTION("SPLIT(E38,"" "")"),"$")</f>
        <v>$</v>
      </c>
      <c r="G38" s="2" t="str">
        <f>IFERROR(__xludf.DUMMYFUNCTION("""COMPUTED_VALUE"""),"cd")</f>
        <v>cd</v>
      </c>
      <c r="H38" s="2" t="str">
        <f>IFERROR(__xludf.DUMMYFUNCTION("""COMPUTED_VALUE"""),"nmdwbnnr")</f>
        <v>nmdwbnnr</v>
      </c>
      <c r="I38" s="2" t="str">
        <f t="shared" si="3"/>
        <v>#VALUE!</v>
      </c>
      <c r="J38" s="2" t="str">
        <f>IFERROR(__xludf.DUMMYFUNCTION("SPLIT(I38,"" "")"),"#VALUE!")</f>
        <v>#VALUE!</v>
      </c>
      <c r="M38" s="2" t="b">
        <f t="shared" si="4"/>
        <v>0</v>
      </c>
      <c r="N38" s="2" t="b">
        <f>IFERROR(__xludf.DUMMYFUNCTION("IF(AND(REGEXMATCH($G$4, ""cd""),M38),N37+J38)"),FALSE)</f>
        <v>0</v>
      </c>
      <c r="O38" s="2" t="str">
        <f t="shared" si="5"/>
        <v>#N/A</v>
      </c>
    </row>
    <row r="39">
      <c r="A39" s="1" t="s">
        <v>2</v>
      </c>
      <c r="B39" s="2" t="str">
        <f t="shared" si="1"/>
        <v>#VALUE!</v>
      </c>
      <c r="C39" s="2" t="str">
        <f>IFERROR(__xludf.DUMMYFUNCTION("SPLIT(B39,"" "")"),"#VALUE!")</f>
        <v>#VALUE!</v>
      </c>
      <c r="E39" s="2" t="str">
        <f t="shared" si="2"/>
        <v>#VALUE!</v>
      </c>
      <c r="F39" s="2" t="str">
        <f>IFERROR(__xludf.DUMMYFUNCTION("SPLIT(E39,"" "")"),"#VALUE!")</f>
        <v>#VALUE!</v>
      </c>
      <c r="I39" s="2" t="str">
        <f t="shared" si="3"/>
        <v>#VALUE!</v>
      </c>
      <c r="J39" s="2" t="str">
        <f>IFERROR(__xludf.DUMMYFUNCTION("SPLIT(I39,"" "")"),"#VALUE!")</f>
        <v>#VALUE!</v>
      </c>
      <c r="M39" s="2" t="b">
        <f t="shared" si="4"/>
        <v>0</v>
      </c>
      <c r="N39" s="2" t="b">
        <f>IFERROR(__xludf.DUMMYFUNCTION("IF(AND(REGEXMATCH($G$4, ""cd""),M39),N38+J39)"),FALSE)</f>
        <v>0</v>
      </c>
      <c r="O39" s="2" t="str">
        <f t="shared" si="5"/>
        <v>#N/A</v>
      </c>
    </row>
    <row r="40">
      <c r="A40" s="1" t="s">
        <v>29</v>
      </c>
      <c r="B40" s="2" t="str">
        <f t="shared" si="1"/>
        <v>#VALUE!</v>
      </c>
      <c r="C40" s="2" t="str">
        <f>IFERROR(__xludf.DUMMYFUNCTION("SPLIT(B40,"" "")"),"#VALUE!")</f>
        <v>#VALUE!</v>
      </c>
      <c r="E40" s="2" t="str">
        <f t="shared" si="2"/>
        <v>#VALUE!</v>
      </c>
      <c r="F40" s="2" t="str">
        <f>IFERROR(__xludf.DUMMYFUNCTION("SPLIT(E40,"" "")"),"#VALUE!")</f>
        <v>#VALUE!</v>
      </c>
      <c r="I40" s="2" t="str">
        <f t="shared" si="3"/>
        <v>208370 scbcsb.pjg</v>
      </c>
      <c r="J40" s="2">
        <f>IFERROR(__xludf.DUMMYFUNCTION("SPLIT(I40,"" "")"),208370.0)</f>
        <v>208370</v>
      </c>
      <c r="K40" s="2" t="str">
        <f>IFERROR(__xludf.DUMMYFUNCTION("""COMPUTED_VALUE"""),"scbcsb.pjg")</f>
        <v>scbcsb.pjg</v>
      </c>
      <c r="M40" s="2" t="b">
        <f t="shared" si="4"/>
        <v>1</v>
      </c>
      <c r="N40" s="2">
        <f>IFERROR(__xludf.DUMMYFUNCTION("IF(AND(REGEXMATCH($G$4, ""cd""),M40),N39+J40)"),208370.0)</f>
        <v>208370</v>
      </c>
      <c r="O40" s="2" t="str">
        <f t="shared" si="5"/>
        <v>#N/A</v>
      </c>
    </row>
    <row r="41">
      <c r="A41" s="1" t="s">
        <v>17</v>
      </c>
      <c r="B41" s="2" t="str">
        <f t="shared" si="1"/>
        <v>#VALUE!</v>
      </c>
      <c r="C41" s="2" t="str">
        <f>IFERROR(__xludf.DUMMYFUNCTION("SPLIT(B41,"" "")"),"#VALUE!")</f>
        <v>#VALUE!</v>
      </c>
      <c r="E41" s="2" t="str">
        <f t="shared" si="2"/>
        <v>$ cd ..</v>
      </c>
      <c r="F41" s="2" t="str">
        <f>IFERROR(__xludf.DUMMYFUNCTION("SPLIT(E41,"" "")"),"$")</f>
        <v>$</v>
      </c>
      <c r="G41" s="2" t="str">
        <f>IFERROR(__xludf.DUMMYFUNCTION("""COMPUTED_VALUE"""),"cd")</f>
        <v>cd</v>
      </c>
      <c r="H41" s="2" t="str">
        <f>IFERROR(__xludf.DUMMYFUNCTION("""COMPUTED_VALUE"""),"..")</f>
        <v>..</v>
      </c>
      <c r="I41" s="2" t="str">
        <f t="shared" si="3"/>
        <v>$ cd ..</v>
      </c>
      <c r="J41" s="2" t="str">
        <f>IFERROR(__xludf.DUMMYFUNCTION("SPLIT(I41,"" "")"),"$")</f>
        <v>$</v>
      </c>
      <c r="K41" s="2" t="str">
        <f>IFERROR(__xludf.DUMMYFUNCTION("""COMPUTED_VALUE"""),"cd")</f>
        <v>cd</v>
      </c>
      <c r="L41" s="2" t="str">
        <f>IFERROR(__xludf.DUMMYFUNCTION("""COMPUTED_VALUE"""),"..")</f>
        <v>..</v>
      </c>
      <c r="M41" s="2" t="b">
        <f t="shared" si="4"/>
        <v>0</v>
      </c>
      <c r="N41" s="2" t="b">
        <f>IFERROR(__xludf.DUMMYFUNCTION("IF(AND(REGEXMATCH($G$4, ""cd""),M41),N40+J41)"),FALSE)</f>
        <v>0</v>
      </c>
      <c r="O41" s="2" t="str">
        <f t="shared" si="5"/>
        <v>#N/A</v>
      </c>
    </row>
    <row r="42">
      <c r="A42" s="1" t="s">
        <v>17</v>
      </c>
      <c r="B42" s="2" t="str">
        <f t="shared" si="1"/>
        <v>#VALUE!</v>
      </c>
      <c r="C42" s="2" t="str">
        <f>IFERROR(__xludf.DUMMYFUNCTION("SPLIT(B42,"" "")"),"#VALUE!")</f>
        <v>#VALUE!</v>
      </c>
      <c r="E42" s="2" t="str">
        <f t="shared" si="2"/>
        <v>$ cd ..</v>
      </c>
      <c r="F42" s="2" t="str">
        <f>IFERROR(__xludf.DUMMYFUNCTION("SPLIT(E42,"" "")"),"$")</f>
        <v>$</v>
      </c>
      <c r="G42" s="2" t="str">
        <f>IFERROR(__xludf.DUMMYFUNCTION("""COMPUTED_VALUE"""),"cd")</f>
        <v>cd</v>
      </c>
      <c r="H42" s="2" t="str">
        <f>IFERROR(__xludf.DUMMYFUNCTION("""COMPUTED_VALUE"""),"..")</f>
        <v>..</v>
      </c>
      <c r="I42" s="2" t="str">
        <f t="shared" si="3"/>
        <v>$ cd ..</v>
      </c>
      <c r="J42" s="2" t="str">
        <f>IFERROR(__xludf.DUMMYFUNCTION("SPLIT(I42,"" "")"),"$")</f>
        <v>$</v>
      </c>
      <c r="K42" s="2" t="str">
        <f>IFERROR(__xludf.DUMMYFUNCTION("""COMPUTED_VALUE"""),"cd")</f>
        <v>cd</v>
      </c>
      <c r="L42" s="2" t="str">
        <f>IFERROR(__xludf.DUMMYFUNCTION("""COMPUTED_VALUE"""),"..")</f>
        <v>..</v>
      </c>
      <c r="M42" s="2" t="b">
        <f t="shared" si="4"/>
        <v>0</v>
      </c>
      <c r="N42" s="2" t="b">
        <f>IFERROR(__xludf.DUMMYFUNCTION("IF(AND(REGEXMATCH($G$4, ""cd""),M42),N41+J42)"),FALSE)</f>
        <v>0</v>
      </c>
      <c r="O42" s="2" t="str">
        <f t="shared" si="5"/>
        <v>#N/A</v>
      </c>
    </row>
    <row r="43">
      <c r="A43" s="1" t="s">
        <v>30</v>
      </c>
      <c r="B43" s="2" t="str">
        <f t="shared" si="1"/>
        <v>#VALUE!</v>
      </c>
      <c r="C43" s="2" t="str">
        <f>IFERROR(__xludf.DUMMYFUNCTION("SPLIT(B43,"" "")"),"#VALUE!")</f>
        <v>#VALUE!</v>
      </c>
      <c r="E43" s="2" t="str">
        <f t="shared" si="2"/>
        <v>$ cd zzbvdcf</v>
      </c>
      <c r="F43" s="2" t="str">
        <f>IFERROR(__xludf.DUMMYFUNCTION("SPLIT(E43,"" "")"),"$")</f>
        <v>$</v>
      </c>
      <c r="G43" s="2" t="str">
        <f>IFERROR(__xludf.DUMMYFUNCTION("""COMPUTED_VALUE"""),"cd")</f>
        <v>cd</v>
      </c>
      <c r="H43" s="2" t="str">
        <f>IFERROR(__xludf.DUMMYFUNCTION("""COMPUTED_VALUE"""),"zzbvdcf")</f>
        <v>zzbvdcf</v>
      </c>
      <c r="I43" s="2" t="str">
        <f t="shared" si="3"/>
        <v>#VALUE!</v>
      </c>
      <c r="J43" s="2" t="str">
        <f>IFERROR(__xludf.DUMMYFUNCTION("SPLIT(I43,"" "")"),"#VALUE!")</f>
        <v>#VALUE!</v>
      </c>
      <c r="M43" s="2" t="b">
        <f t="shared" si="4"/>
        <v>0</v>
      </c>
      <c r="N43" s="2" t="b">
        <f>IFERROR(__xludf.DUMMYFUNCTION("IF(AND(REGEXMATCH($G$4, ""cd""),M43),N42+J43)"),FALSE)</f>
        <v>0</v>
      </c>
      <c r="O43" s="2" t="str">
        <f t="shared" si="5"/>
        <v>#N/A</v>
      </c>
    </row>
    <row r="44">
      <c r="A44" s="1" t="s">
        <v>2</v>
      </c>
      <c r="B44" s="2" t="str">
        <f t="shared" si="1"/>
        <v>#VALUE!</v>
      </c>
      <c r="C44" s="2" t="str">
        <f>IFERROR(__xludf.DUMMYFUNCTION("SPLIT(B44,"" "")"),"#VALUE!")</f>
        <v>#VALUE!</v>
      </c>
      <c r="E44" s="2" t="str">
        <f t="shared" si="2"/>
        <v>#VALUE!</v>
      </c>
      <c r="F44" s="2" t="str">
        <f>IFERROR(__xludf.DUMMYFUNCTION("SPLIT(E44,"" "")"),"#VALUE!")</f>
        <v>#VALUE!</v>
      </c>
      <c r="I44" s="2" t="str">
        <f t="shared" si="3"/>
        <v>#VALUE!</v>
      </c>
      <c r="J44" s="2" t="str">
        <f>IFERROR(__xludf.DUMMYFUNCTION("SPLIT(I44,"" "")"),"#VALUE!")</f>
        <v>#VALUE!</v>
      </c>
      <c r="M44" s="2" t="b">
        <f t="shared" si="4"/>
        <v>0</v>
      </c>
      <c r="N44" s="2" t="b">
        <f>IFERROR(__xludf.DUMMYFUNCTION("IF(AND(REGEXMATCH($G$4, ""cd""),M44),N43+J44)"),FALSE)</f>
        <v>0</v>
      </c>
      <c r="O44" s="2" t="str">
        <f t="shared" si="5"/>
        <v>#N/A</v>
      </c>
    </row>
    <row r="45">
      <c r="A45" s="1" t="s">
        <v>31</v>
      </c>
      <c r="B45" s="2" t="str">
        <f t="shared" si="1"/>
        <v>#VALUE!</v>
      </c>
      <c r="C45" s="2" t="str">
        <f>IFERROR(__xludf.DUMMYFUNCTION("SPLIT(B45,"" "")"),"#VALUE!")</f>
        <v>#VALUE!</v>
      </c>
      <c r="E45" s="2" t="str">
        <f t="shared" si="2"/>
        <v>#VALUE!</v>
      </c>
      <c r="F45" s="2" t="str">
        <f>IFERROR(__xludf.DUMMYFUNCTION("SPLIT(E45,"" "")"),"#VALUE!")</f>
        <v>#VALUE!</v>
      </c>
      <c r="I45" s="2" t="str">
        <f t="shared" si="3"/>
        <v>#VALUE!</v>
      </c>
      <c r="J45" s="2" t="str">
        <f>IFERROR(__xludf.DUMMYFUNCTION("SPLIT(I45,"" "")"),"#VALUE!")</f>
        <v>#VALUE!</v>
      </c>
      <c r="M45" s="2" t="b">
        <f t="shared" si="4"/>
        <v>0</v>
      </c>
      <c r="N45" s="2" t="b">
        <f>IFERROR(__xludf.DUMMYFUNCTION("IF(AND(REGEXMATCH($G$4, ""cd""),M45),N44+J45)"),FALSE)</f>
        <v>0</v>
      </c>
      <c r="O45" s="2" t="str">
        <f t="shared" si="5"/>
        <v>#N/A</v>
      </c>
    </row>
    <row r="46">
      <c r="A46" s="1" t="s">
        <v>17</v>
      </c>
      <c r="B46" s="2" t="str">
        <f t="shared" si="1"/>
        <v>#VALUE!</v>
      </c>
      <c r="C46" s="2" t="str">
        <f>IFERROR(__xludf.DUMMYFUNCTION("SPLIT(B46,"" "")"),"#VALUE!")</f>
        <v>#VALUE!</v>
      </c>
      <c r="E46" s="2" t="str">
        <f t="shared" si="2"/>
        <v>$ cd ..</v>
      </c>
      <c r="F46" s="2" t="str">
        <f>IFERROR(__xludf.DUMMYFUNCTION("SPLIT(E46,"" "")"),"$")</f>
        <v>$</v>
      </c>
      <c r="G46" s="2" t="str">
        <f>IFERROR(__xludf.DUMMYFUNCTION("""COMPUTED_VALUE"""),"cd")</f>
        <v>cd</v>
      </c>
      <c r="H46" s="2" t="str">
        <f>IFERROR(__xludf.DUMMYFUNCTION("""COMPUTED_VALUE"""),"..")</f>
        <v>..</v>
      </c>
      <c r="I46" s="2" t="str">
        <f t="shared" si="3"/>
        <v>$ cd ..</v>
      </c>
      <c r="J46" s="2" t="str">
        <f>IFERROR(__xludf.DUMMYFUNCTION("SPLIT(I46,"" "")"),"$")</f>
        <v>$</v>
      </c>
      <c r="K46" s="2" t="str">
        <f>IFERROR(__xludf.DUMMYFUNCTION("""COMPUTED_VALUE"""),"cd")</f>
        <v>cd</v>
      </c>
      <c r="L46" s="2" t="str">
        <f>IFERROR(__xludf.DUMMYFUNCTION("""COMPUTED_VALUE"""),"..")</f>
        <v>..</v>
      </c>
      <c r="M46" s="2" t="b">
        <f t="shared" si="4"/>
        <v>0</v>
      </c>
      <c r="N46" s="2" t="b">
        <f>IFERROR(__xludf.DUMMYFUNCTION("IF(AND(REGEXMATCH($G$4, ""cd""),M46),N45+J46)"),FALSE)</f>
        <v>0</v>
      </c>
      <c r="O46" s="2" t="str">
        <f t="shared" si="5"/>
        <v>#N/A</v>
      </c>
    </row>
    <row r="47">
      <c r="A47" s="1" t="s">
        <v>17</v>
      </c>
      <c r="B47" s="2" t="str">
        <f t="shared" si="1"/>
        <v>#VALUE!</v>
      </c>
      <c r="C47" s="2" t="str">
        <f>IFERROR(__xludf.DUMMYFUNCTION("SPLIT(B47,"" "")"),"#VALUE!")</f>
        <v>#VALUE!</v>
      </c>
      <c r="E47" s="2" t="str">
        <f t="shared" si="2"/>
        <v>$ cd ..</v>
      </c>
      <c r="F47" s="2" t="str">
        <f>IFERROR(__xludf.DUMMYFUNCTION("SPLIT(E47,"" "")"),"$")</f>
        <v>$</v>
      </c>
      <c r="G47" s="2" t="str">
        <f>IFERROR(__xludf.DUMMYFUNCTION("""COMPUTED_VALUE"""),"cd")</f>
        <v>cd</v>
      </c>
      <c r="H47" s="2" t="str">
        <f>IFERROR(__xludf.DUMMYFUNCTION("""COMPUTED_VALUE"""),"..")</f>
        <v>..</v>
      </c>
      <c r="I47" s="2" t="str">
        <f t="shared" si="3"/>
        <v>$ cd ..</v>
      </c>
      <c r="J47" s="2" t="str">
        <f>IFERROR(__xludf.DUMMYFUNCTION("SPLIT(I47,"" "")"),"$")</f>
        <v>$</v>
      </c>
      <c r="K47" s="2" t="str">
        <f>IFERROR(__xludf.DUMMYFUNCTION("""COMPUTED_VALUE"""),"cd")</f>
        <v>cd</v>
      </c>
      <c r="L47" s="2" t="str">
        <f>IFERROR(__xludf.DUMMYFUNCTION("""COMPUTED_VALUE"""),"..")</f>
        <v>..</v>
      </c>
      <c r="M47" s="2" t="b">
        <f t="shared" si="4"/>
        <v>0</v>
      </c>
      <c r="N47" s="2" t="b">
        <f>IFERROR(__xludf.DUMMYFUNCTION("IF(AND(REGEXMATCH($G$4, ""cd""),M47),N46+J47)"),FALSE)</f>
        <v>0</v>
      </c>
      <c r="O47" s="2" t="str">
        <f t="shared" si="5"/>
        <v>#N/A</v>
      </c>
    </row>
    <row r="48">
      <c r="A48" s="1" t="s">
        <v>32</v>
      </c>
      <c r="B48" s="2" t="str">
        <f t="shared" si="1"/>
        <v>#VALUE!</v>
      </c>
      <c r="C48" s="2" t="str">
        <f>IFERROR(__xludf.DUMMYFUNCTION("SPLIT(B48,"" "")"),"#VALUE!")</f>
        <v>#VALUE!</v>
      </c>
      <c r="E48" s="2" t="str">
        <f t="shared" si="2"/>
        <v>$ cd lrvl</v>
      </c>
      <c r="F48" s="2" t="str">
        <f>IFERROR(__xludf.DUMMYFUNCTION("SPLIT(E48,"" "")"),"$")</f>
        <v>$</v>
      </c>
      <c r="G48" s="2" t="str">
        <f>IFERROR(__xludf.DUMMYFUNCTION("""COMPUTED_VALUE"""),"cd")</f>
        <v>cd</v>
      </c>
      <c r="H48" s="2" t="str">
        <f>IFERROR(__xludf.DUMMYFUNCTION("""COMPUTED_VALUE"""),"lrvl")</f>
        <v>lrvl</v>
      </c>
      <c r="I48" s="2" t="str">
        <f t="shared" si="3"/>
        <v>#VALUE!</v>
      </c>
      <c r="J48" s="2" t="str">
        <f>IFERROR(__xludf.DUMMYFUNCTION("SPLIT(I48,"" "")"),"#VALUE!")</f>
        <v>#VALUE!</v>
      </c>
      <c r="M48" s="2" t="b">
        <f t="shared" si="4"/>
        <v>0</v>
      </c>
      <c r="N48" s="2" t="b">
        <f>IFERROR(__xludf.DUMMYFUNCTION("IF(AND(REGEXMATCH($G$4, ""cd""),M48),N47+J48)"),FALSE)</f>
        <v>0</v>
      </c>
      <c r="O48" s="2" t="str">
        <f t="shared" si="5"/>
        <v>#N/A</v>
      </c>
    </row>
    <row r="49">
      <c r="A49" s="1" t="s">
        <v>2</v>
      </c>
      <c r="B49" s="2" t="str">
        <f t="shared" si="1"/>
        <v>#VALUE!</v>
      </c>
      <c r="C49" s="2" t="str">
        <f>IFERROR(__xludf.DUMMYFUNCTION("SPLIT(B49,"" "")"),"#VALUE!")</f>
        <v>#VALUE!</v>
      </c>
      <c r="E49" s="2" t="str">
        <f t="shared" si="2"/>
        <v>#VALUE!</v>
      </c>
      <c r="F49" s="2" t="str">
        <f>IFERROR(__xludf.DUMMYFUNCTION("SPLIT(E49,"" "")"),"#VALUE!")</f>
        <v>#VALUE!</v>
      </c>
      <c r="I49" s="2" t="str">
        <f t="shared" si="3"/>
        <v>#VALUE!</v>
      </c>
      <c r="J49" s="2" t="str">
        <f>IFERROR(__xludf.DUMMYFUNCTION("SPLIT(I49,"" "")"),"#VALUE!")</f>
        <v>#VALUE!</v>
      </c>
      <c r="M49" s="2" t="b">
        <f t="shared" si="4"/>
        <v>0</v>
      </c>
      <c r="N49" s="2" t="b">
        <f>IFERROR(__xludf.DUMMYFUNCTION("IF(AND(REGEXMATCH($G$4, ""cd""),M49),N48+J49)"),FALSE)</f>
        <v>0</v>
      </c>
      <c r="O49" s="2" t="str">
        <f t="shared" si="5"/>
        <v>#N/A</v>
      </c>
    </row>
    <row r="50">
      <c r="A50" s="1" t="s">
        <v>33</v>
      </c>
      <c r="B50" s="2" t="str">
        <f t="shared" si="1"/>
        <v>dir bqqltcg</v>
      </c>
      <c r="C50" s="2" t="str">
        <f>IFERROR(__xludf.DUMMYFUNCTION("SPLIT(B50,"" "")"),"dir")</f>
        <v>dir</v>
      </c>
      <c r="D50" s="2" t="str">
        <f>IFERROR(__xludf.DUMMYFUNCTION("""COMPUTED_VALUE"""),"bqqltcg")</f>
        <v>bqqltcg</v>
      </c>
      <c r="E50" s="2" t="str">
        <f t="shared" si="2"/>
        <v>#VALUE!</v>
      </c>
      <c r="F50" s="2" t="str">
        <f>IFERROR(__xludf.DUMMYFUNCTION("SPLIT(E50,"" "")"),"#VALUE!")</f>
        <v>#VALUE!</v>
      </c>
      <c r="I50" s="2" t="str">
        <f t="shared" si="3"/>
        <v>#VALUE!</v>
      </c>
      <c r="J50" s="2" t="str">
        <f>IFERROR(__xludf.DUMMYFUNCTION("SPLIT(I50,"" "")"),"#VALUE!")</f>
        <v>#VALUE!</v>
      </c>
      <c r="M50" s="2" t="b">
        <f t="shared" si="4"/>
        <v>0</v>
      </c>
      <c r="N50" s="2" t="b">
        <f>IFERROR(__xludf.DUMMYFUNCTION("IF(AND(REGEXMATCH($G$4, ""cd""),M50),N49+J50)"),FALSE)</f>
        <v>0</v>
      </c>
      <c r="O50" s="2" t="str">
        <f t="shared" si="5"/>
        <v>#N/A</v>
      </c>
    </row>
    <row r="51">
      <c r="A51" s="1" t="s">
        <v>34</v>
      </c>
      <c r="B51" s="2" t="str">
        <f t="shared" si="1"/>
        <v>#VALUE!</v>
      </c>
      <c r="C51" s="2" t="str">
        <f>IFERROR(__xludf.DUMMYFUNCTION("SPLIT(B51,"" "")"),"#VALUE!")</f>
        <v>#VALUE!</v>
      </c>
      <c r="E51" s="2" t="str">
        <f t="shared" si="2"/>
        <v>#VALUE!</v>
      </c>
      <c r="F51" s="2" t="str">
        <f>IFERROR(__xludf.DUMMYFUNCTION("SPLIT(E51,"" "")"),"#VALUE!")</f>
        <v>#VALUE!</v>
      </c>
      <c r="I51" s="2" t="str">
        <f t="shared" si="3"/>
        <v>#VALUE!</v>
      </c>
      <c r="J51" s="2" t="str">
        <f>IFERROR(__xludf.DUMMYFUNCTION("SPLIT(I51,"" "")"),"#VALUE!")</f>
        <v>#VALUE!</v>
      </c>
      <c r="M51" s="2" t="b">
        <f t="shared" si="4"/>
        <v>0</v>
      </c>
      <c r="N51" s="2" t="b">
        <f>IFERROR(__xludf.DUMMYFUNCTION("IF(AND(REGEXMATCH($G$4, ""cd""),M51),N50+J51)"),FALSE)</f>
        <v>0</v>
      </c>
      <c r="O51" s="2" t="str">
        <f t="shared" si="5"/>
        <v>#N/A</v>
      </c>
    </row>
    <row r="52">
      <c r="A52" s="1" t="s">
        <v>35</v>
      </c>
      <c r="B52" s="2" t="str">
        <f t="shared" si="1"/>
        <v>#VALUE!</v>
      </c>
      <c r="C52" s="2" t="str">
        <f>IFERROR(__xludf.DUMMYFUNCTION("SPLIT(B52,"" "")"),"#VALUE!")</f>
        <v>#VALUE!</v>
      </c>
      <c r="E52" s="2" t="str">
        <f t="shared" si="2"/>
        <v>#VALUE!</v>
      </c>
      <c r="F52" s="2" t="str">
        <f>IFERROR(__xludf.DUMMYFUNCTION("SPLIT(E52,"" "")"),"#VALUE!")</f>
        <v>#VALUE!</v>
      </c>
      <c r="I52" s="2" t="str">
        <f t="shared" si="3"/>
        <v>90813 jhnddzml.lww</v>
      </c>
      <c r="J52" s="2">
        <f>IFERROR(__xludf.DUMMYFUNCTION("SPLIT(I52,"" "")"),90813.0)</f>
        <v>90813</v>
      </c>
      <c r="K52" s="2" t="str">
        <f>IFERROR(__xludf.DUMMYFUNCTION("""COMPUTED_VALUE"""),"jhnddzml.lww")</f>
        <v>jhnddzml.lww</v>
      </c>
      <c r="M52" s="2" t="b">
        <f t="shared" si="4"/>
        <v>1</v>
      </c>
      <c r="N52" s="2">
        <f>IFERROR(__xludf.DUMMYFUNCTION("IF(AND(REGEXMATCH($G$4, ""cd""),M52),N51+J52)"),90813.0)</f>
        <v>90813</v>
      </c>
      <c r="O52" s="2" t="str">
        <f t="shared" si="5"/>
        <v>#N/A</v>
      </c>
    </row>
    <row r="53">
      <c r="A53" s="1" t="s">
        <v>36</v>
      </c>
      <c r="B53" s="2" t="str">
        <f t="shared" si="1"/>
        <v>dir pwc</v>
      </c>
      <c r="C53" s="2" t="str">
        <f>IFERROR(__xludf.DUMMYFUNCTION("SPLIT(B53,"" "")"),"dir")</f>
        <v>dir</v>
      </c>
      <c r="D53" s="2" t="str">
        <f>IFERROR(__xludf.DUMMYFUNCTION("""COMPUTED_VALUE"""),"pwc")</f>
        <v>pwc</v>
      </c>
      <c r="E53" s="2" t="str">
        <f t="shared" si="2"/>
        <v>#VALUE!</v>
      </c>
      <c r="F53" s="2" t="str">
        <f>IFERROR(__xludf.DUMMYFUNCTION("SPLIT(E53,"" "")"),"#VALUE!")</f>
        <v>#VALUE!</v>
      </c>
      <c r="I53" s="2" t="str">
        <f t="shared" si="3"/>
        <v>#VALUE!</v>
      </c>
      <c r="J53" s="2" t="str">
        <f>IFERROR(__xludf.DUMMYFUNCTION("SPLIT(I53,"" "")"),"#VALUE!")</f>
        <v>#VALUE!</v>
      </c>
      <c r="M53" s="2" t="b">
        <f t="shared" si="4"/>
        <v>0</v>
      </c>
      <c r="N53" s="2" t="b">
        <f>IFERROR(__xludf.DUMMYFUNCTION("IF(AND(REGEXMATCH($G$4, ""cd""),M53),N52+J53)"),FALSE)</f>
        <v>0</v>
      </c>
      <c r="O53" s="2" t="str">
        <f t="shared" si="5"/>
        <v>#N/A</v>
      </c>
    </row>
    <row r="54">
      <c r="A54" s="1" t="s">
        <v>37</v>
      </c>
      <c r="B54" s="2" t="str">
        <f t="shared" si="1"/>
        <v>dir rjl</v>
      </c>
      <c r="C54" s="2" t="str">
        <f>IFERROR(__xludf.DUMMYFUNCTION("SPLIT(B54,"" "")"),"dir")</f>
        <v>dir</v>
      </c>
      <c r="D54" s="2" t="str">
        <f>IFERROR(__xludf.DUMMYFUNCTION("""COMPUTED_VALUE"""),"rjl")</f>
        <v>rjl</v>
      </c>
      <c r="E54" s="2" t="str">
        <f t="shared" si="2"/>
        <v>#VALUE!</v>
      </c>
      <c r="F54" s="2" t="str">
        <f>IFERROR(__xludf.DUMMYFUNCTION("SPLIT(E54,"" "")"),"#VALUE!")</f>
        <v>#VALUE!</v>
      </c>
      <c r="I54" s="2" t="str">
        <f t="shared" si="3"/>
        <v>#VALUE!</v>
      </c>
      <c r="J54" s="2" t="str">
        <f>IFERROR(__xludf.DUMMYFUNCTION("SPLIT(I54,"" "")"),"#VALUE!")</f>
        <v>#VALUE!</v>
      </c>
      <c r="M54" s="2" t="b">
        <f t="shared" si="4"/>
        <v>0</v>
      </c>
      <c r="N54" s="2" t="b">
        <f>IFERROR(__xludf.DUMMYFUNCTION("IF(AND(REGEXMATCH($G$4, ""cd""),M54),N53+J54)"),FALSE)</f>
        <v>0</v>
      </c>
      <c r="O54" s="2" t="str">
        <f t="shared" si="5"/>
        <v>#N/A</v>
      </c>
    </row>
    <row r="55">
      <c r="A55" s="1" t="s">
        <v>38</v>
      </c>
      <c r="B55" s="2" t="str">
        <f t="shared" si="1"/>
        <v>dir rzvqvv</v>
      </c>
      <c r="C55" s="2" t="str">
        <f>IFERROR(__xludf.DUMMYFUNCTION("SPLIT(B55,"" "")"),"dir")</f>
        <v>dir</v>
      </c>
      <c r="D55" s="2" t="str">
        <f>IFERROR(__xludf.DUMMYFUNCTION("""COMPUTED_VALUE"""),"rzvqvv")</f>
        <v>rzvqvv</v>
      </c>
      <c r="E55" s="2" t="str">
        <f t="shared" si="2"/>
        <v>#VALUE!</v>
      </c>
      <c r="F55" s="2" t="str">
        <f>IFERROR(__xludf.DUMMYFUNCTION("SPLIT(E55,"" "")"),"#VALUE!")</f>
        <v>#VALUE!</v>
      </c>
      <c r="I55" s="2" t="str">
        <f t="shared" si="3"/>
        <v>#VALUE!</v>
      </c>
      <c r="J55" s="2" t="str">
        <f>IFERROR(__xludf.DUMMYFUNCTION("SPLIT(I55,"" "")"),"#VALUE!")</f>
        <v>#VALUE!</v>
      </c>
      <c r="M55" s="2" t="b">
        <f t="shared" si="4"/>
        <v>0</v>
      </c>
      <c r="N55" s="2" t="b">
        <f>IFERROR(__xludf.DUMMYFUNCTION("IF(AND(REGEXMATCH($G$4, ""cd""),M55),N54+J55)"),FALSE)</f>
        <v>0</v>
      </c>
      <c r="O55" s="2" t="str">
        <f t="shared" si="5"/>
        <v>#N/A</v>
      </c>
    </row>
    <row r="56">
      <c r="A56" s="1" t="s">
        <v>39</v>
      </c>
      <c r="B56" s="2" t="str">
        <f t="shared" si="1"/>
        <v>dir slzdbm</v>
      </c>
      <c r="C56" s="2" t="str">
        <f>IFERROR(__xludf.DUMMYFUNCTION("SPLIT(B56,"" "")"),"dir")</f>
        <v>dir</v>
      </c>
      <c r="D56" s="2" t="str">
        <f>IFERROR(__xludf.DUMMYFUNCTION("""COMPUTED_VALUE"""),"slzdbm")</f>
        <v>slzdbm</v>
      </c>
      <c r="E56" s="2" t="str">
        <f t="shared" si="2"/>
        <v>#VALUE!</v>
      </c>
      <c r="F56" s="2" t="str">
        <f>IFERROR(__xludf.DUMMYFUNCTION("SPLIT(E56,"" "")"),"#VALUE!")</f>
        <v>#VALUE!</v>
      </c>
      <c r="I56" s="2" t="str">
        <f t="shared" si="3"/>
        <v>#VALUE!</v>
      </c>
      <c r="J56" s="2" t="str">
        <f>IFERROR(__xludf.DUMMYFUNCTION("SPLIT(I56,"" "")"),"#VALUE!")</f>
        <v>#VALUE!</v>
      </c>
      <c r="M56" s="2" t="b">
        <f t="shared" si="4"/>
        <v>0</v>
      </c>
      <c r="N56" s="2" t="b">
        <f>IFERROR(__xludf.DUMMYFUNCTION("IF(AND(REGEXMATCH($G$4, ""cd""),M56),N55+J56)"),FALSE)</f>
        <v>0</v>
      </c>
      <c r="O56" s="2" t="str">
        <f t="shared" si="5"/>
        <v>#N/A</v>
      </c>
    </row>
    <row r="57">
      <c r="A57" s="1" t="s">
        <v>40</v>
      </c>
      <c r="B57" s="2" t="str">
        <f t="shared" si="1"/>
        <v>dir tcbjmq</v>
      </c>
      <c r="C57" s="2" t="str">
        <f>IFERROR(__xludf.DUMMYFUNCTION("SPLIT(B57,"" "")"),"dir")</f>
        <v>dir</v>
      </c>
      <c r="D57" s="2" t="str">
        <f>IFERROR(__xludf.DUMMYFUNCTION("""COMPUTED_VALUE"""),"tcbjmq")</f>
        <v>tcbjmq</v>
      </c>
      <c r="E57" s="2" t="str">
        <f t="shared" si="2"/>
        <v>#VALUE!</v>
      </c>
      <c r="F57" s="2" t="str">
        <f>IFERROR(__xludf.DUMMYFUNCTION("SPLIT(E57,"" "")"),"#VALUE!")</f>
        <v>#VALUE!</v>
      </c>
      <c r="I57" s="2" t="str">
        <f t="shared" si="3"/>
        <v>#VALUE!</v>
      </c>
      <c r="J57" s="2" t="str">
        <f>IFERROR(__xludf.DUMMYFUNCTION("SPLIT(I57,"" "")"),"#VALUE!")</f>
        <v>#VALUE!</v>
      </c>
      <c r="M57" s="2" t="b">
        <f t="shared" si="4"/>
        <v>0</v>
      </c>
      <c r="N57" s="2" t="b">
        <f>IFERROR(__xludf.DUMMYFUNCTION("IF(AND(REGEXMATCH($G$4, ""cd""),M57),N56+J57)"),FALSE)</f>
        <v>0</v>
      </c>
      <c r="O57" s="2" t="str">
        <f t="shared" si="5"/>
        <v>#N/A</v>
      </c>
    </row>
    <row r="58">
      <c r="A58" s="1" t="s">
        <v>41</v>
      </c>
      <c r="B58" s="2" t="str">
        <f t="shared" si="1"/>
        <v>#VALUE!</v>
      </c>
      <c r="C58" s="2" t="str">
        <f>IFERROR(__xludf.DUMMYFUNCTION("SPLIT(B58,"" "")"),"#VALUE!")</f>
        <v>#VALUE!</v>
      </c>
      <c r="E58" s="2" t="str">
        <f t="shared" si="2"/>
        <v>#VALUE!</v>
      </c>
      <c r="F58" s="2" t="str">
        <f>IFERROR(__xludf.DUMMYFUNCTION("SPLIT(E58,"" "")"),"#VALUE!")</f>
        <v>#VALUE!</v>
      </c>
      <c r="I58" s="2" t="str">
        <f t="shared" si="3"/>
        <v>140665 zbdp.gqb</v>
      </c>
      <c r="J58" s="2">
        <f>IFERROR(__xludf.DUMMYFUNCTION("SPLIT(I58,"" "")"),140665.0)</f>
        <v>140665</v>
      </c>
      <c r="K58" s="2" t="str">
        <f>IFERROR(__xludf.DUMMYFUNCTION("""COMPUTED_VALUE"""),"zbdp.gqb")</f>
        <v>zbdp.gqb</v>
      </c>
      <c r="M58" s="2" t="b">
        <f t="shared" si="4"/>
        <v>1</v>
      </c>
      <c r="N58" s="2">
        <f>IFERROR(__xludf.DUMMYFUNCTION("IF(AND(REGEXMATCH($G$4, ""cd""),M58),N57+J58)"),140665.0)</f>
        <v>140665</v>
      </c>
      <c r="O58" s="2" t="str">
        <f t="shared" si="5"/>
        <v>#N/A</v>
      </c>
    </row>
    <row r="59">
      <c r="A59" s="1" t="s">
        <v>42</v>
      </c>
      <c r="B59" s="2" t="str">
        <f t="shared" si="1"/>
        <v>dir zhbpqlnd</v>
      </c>
      <c r="C59" s="2" t="str">
        <f>IFERROR(__xludf.DUMMYFUNCTION("SPLIT(B59,"" "")"),"dir")</f>
        <v>dir</v>
      </c>
      <c r="D59" s="2" t="str">
        <f>IFERROR(__xludf.DUMMYFUNCTION("""COMPUTED_VALUE"""),"zhbpqlnd")</f>
        <v>zhbpqlnd</v>
      </c>
      <c r="E59" s="2" t="str">
        <f t="shared" si="2"/>
        <v>#VALUE!</v>
      </c>
      <c r="F59" s="2" t="str">
        <f>IFERROR(__xludf.DUMMYFUNCTION("SPLIT(E59,"" "")"),"#VALUE!")</f>
        <v>#VALUE!</v>
      </c>
      <c r="I59" s="2" t="str">
        <f t="shared" si="3"/>
        <v>#VALUE!</v>
      </c>
      <c r="J59" s="2" t="str">
        <f>IFERROR(__xludf.DUMMYFUNCTION("SPLIT(I59,"" "")"),"#VALUE!")</f>
        <v>#VALUE!</v>
      </c>
      <c r="M59" s="2" t="b">
        <f t="shared" si="4"/>
        <v>0</v>
      </c>
      <c r="N59" s="2" t="b">
        <f>IFERROR(__xludf.DUMMYFUNCTION("IF(AND(REGEXMATCH($G$4, ""cd""),M59),N58+J59)"),FALSE)</f>
        <v>0</v>
      </c>
      <c r="O59" s="2" t="str">
        <f t="shared" si="5"/>
        <v>#N/A</v>
      </c>
    </row>
    <row r="60">
      <c r="A60" s="1" t="s">
        <v>43</v>
      </c>
      <c r="B60" s="2" t="str">
        <f t="shared" si="1"/>
        <v>#VALUE!</v>
      </c>
      <c r="C60" s="2" t="str">
        <f>IFERROR(__xludf.DUMMYFUNCTION("SPLIT(B60,"" "")"),"#VALUE!")</f>
        <v>#VALUE!</v>
      </c>
      <c r="E60" s="2" t="str">
        <f t="shared" si="2"/>
        <v>$ cd bqqltcg</v>
      </c>
      <c r="F60" s="2" t="str">
        <f>IFERROR(__xludf.DUMMYFUNCTION("SPLIT(E60,"" "")"),"$")</f>
        <v>$</v>
      </c>
      <c r="G60" s="2" t="str">
        <f>IFERROR(__xludf.DUMMYFUNCTION("""COMPUTED_VALUE"""),"cd")</f>
        <v>cd</v>
      </c>
      <c r="H60" s="2" t="str">
        <f>IFERROR(__xludf.DUMMYFUNCTION("""COMPUTED_VALUE"""),"bqqltcg")</f>
        <v>bqqltcg</v>
      </c>
      <c r="I60" s="2" t="str">
        <f t="shared" si="3"/>
        <v>#VALUE!</v>
      </c>
      <c r="J60" s="2" t="str">
        <f>IFERROR(__xludf.DUMMYFUNCTION("SPLIT(I60,"" "")"),"#VALUE!")</f>
        <v>#VALUE!</v>
      </c>
      <c r="M60" s="2" t="b">
        <f t="shared" si="4"/>
        <v>0</v>
      </c>
      <c r="N60" s="2" t="b">
        <f>IFERROR(__xludf.DUMMYFUNCTION("IF(AND(REGEXMATCH($G$4, ""cd""),M60),N59+J60)"),FALSE)</f>
        <v>0</v>
      </c>
      <c r="O60" s="2" t="str">
        <f t="shared" si="5"/>
        <v>#N/A</v>
      </c>
    </row>
    <row r="61">
      <c r="A61" s="1" t="s">
        <v>2</v>
      </c>
      <c r="B61" s="2" t="str">
        <f t="shared" si="1"/>
        <v>#VALUE!</v>
      </c>
      <c r="C61" s="2" t="str">
        <f>IFERROR(__xludf.DUMMYFUNCTION("SPLIT(B61,"" "")"),"#VALUE!")</f>
        <v>#VALUE!</v>
      </c>
      <c r="E61" s="2" t="str">
        <f t="shared" si="2"/>
        <v>#VALUE!</v>
      </c>
      <c r="F61" s="2" t="str">
        <f>IFERROR(__xludf.DUMMYFUNCTION("SPLIT(E61,"" "")"),"#VALUE!")</f>
        <v>#VALUE!</v>
      </c>
      <c r="I61" s="2" t="str">
        <f t="shared" si="3"/>
        <v>#VALUE!</v>
      </c>
      <c r="J61" s="2" t="str">
        <f>IFERROR(__xludf.DUMMYFUNCTION("SPLIT(I61,"" "")"),"#VALUE!")</f>
        <v>#VALUE!</v>
      </c>
      <c r="M61" s="2" t="b">
        <f t="shared" si="4"/>
        <v>0</v>
      </c>
      <c r="N61" s="2" t="b">
        <f>IFERROR(__xludf.DUMMYFUNCTION("IF(AND(REGEXMATCH($G$4, ""cd""),M61),N60+J61)"),FALSE)</f>
        <v>0</v>
      </c>
      <c r="O61" s="2" t="str">
        <f t="shared" si="5"/>
        <v>#N/A</v>
      </c>
    </row>
    <row r="62">
      <c r="A62" s="1" t="s">
        <v>44</v>
      </c>
      <c r="B62" s="2" t="str">
        <f t="shared" si="1"/>
        <v>dir dlbjblbf</v>
      </c>
      <c r="C62" s="2" t="str">
        <f>IFERROR(__xludf.DUMMYFUNCTION("SPLIT(B62,"" "")"),"dir")</f>
        <v>dir</v>
      </c>
      <c r="D62" s="2" t="str">
        <f>IFERROR(__xludf.DUMMYFUNCTION("""COMPUTED_VALUE"""),"dlbjblbf")</f>
        <v>dlbjblbf</v>
      </c>
      <c r="E62" s="2" t="str">
        <f t="shared" si="2"/>
        <v>#VALUE!</v>
      </c>
      <c r="F62" s="2" t="str">
        <f>IFERROR(__xludf.DUMMYFUNCTION("SPLIT(E62,"" "")"),"#VALUE!")</f>
        <v>#VALUE!</v>
      </c>
      <c r="I62" s="2" t="str">
        <f t="shared" si="3"/>
        <v>#VALUE!</v>
      </c>
      <c r="J62" s="2" t="str">
        <f>IFERROR(__xludf.DUMMYFUNCTION("SPLIT(I62,"" "")"),"#VALUE!")</f>
        <v>#VALUE!</v>
      </c>
      <c r="M62" s="2" t="b">
        <f t="shared" si="4"/>
        <v>0</v>
      </c>
      <c r="N62" s="2" t="b">
        <f>IFERROR(__xludf.DUMMYFUNCTION("IF(AND(REGEXMATCH($G$4, ""cd""),M62),N61+J62)"),FALSE)</f>
        <v>0</v>
      </c>
      <c r="O62" s="2" t="str">
        <f t="shared" si="5"/>
        <v>#N/A</v>
      </c>
    </row>
    <row r="63">
      <c r="A63" s="1" t="s">
        <v>45</v>
      </c>
      <c r="B63" s="2" t="str">
        <f t="shared" si="1"/>
        <v>dir fdlw</v>
      </c>
      <c r="C63" s="2" t="str">
        <f>IFERROR(__xludf.DUMMYFUNCTION("SPLIT(B63,"" "")"),"dir")</f>
        <v>dir</v>
      </c>
      <c r="D63" s="2" t="str">
        <f>IFERROR(__xludf.DUMMYFUNCTION("""COMPUTED_VALUE"""),"fdlw")</f>
        <v>fdlw</v>
      </c>
      <c r="E63" s="2" t="str">
        <f t="shared" si="2"/>
        <v>#VALUE!</v>
      </c>
      <c r="F63" s="2" t="str">
        <f>IFERROR(__xludf.DUMMYFUNCTION("SPLIT(E63,"" "")"),"#VALUE!")</f>
        <v>#VALUE!</v>
      </c>
      <c r="I63" s="2" t="str">
        <f t="shared" si="3"/>
        <v>#VALUE!</v>
      </c>
      <c r="J63" s="2" t="str">
        <f>IFERROR(__xludf.DUMMYFUNCTION("SPLIT(I63,"" "")"),"#VALUE!")</f>
        <v>#VALUE!</v>
      </c>
      <c r="M63" s="2" t="b">
        <f t="shared" si="4"/>
        <v>0</v>
      </c>
      <c r="N63" s="2" t="b">
        <f>IFERROR(__xludf.DUMMYFUNCTION("IF(AND(REGEXMATCH($G$4, ""cd""),M63),N62+J63)"),FALSE)</f>
        <v>0</v>
      </c>
      <c r="O63" s="2" t="str">
        <f t="shared" si="5"/>
        <v>#N/A</v>
      </c>
    </row>
    <row r="64">
      <c r="A64" s="1" t="s">
        <v>4</v>
      </c>
      <c r="B64" s="2" t="str">
        <f t="shared" si="1"/>
        <v>dir jnwr</v>
      </c>
      <c r="C64" s="2" t="str">
        <f>IFERROR(__xludf.DUMMYFUNCTION("SPLIT(B64,"" "")"),"dir")</f>
        <v>dir</v>
      </c>
      <c r="D64" s="2" t="str">
        <f>IFERROR(__xludf.DUMMYFUNCTION("""COMPUTED_VALUE"""),"jnwr")</f>
        <v>jnwr</v>
      </c>
      <c r="E64" s="2" t="str">
        <f t="shared" si="2"/>
        <v>#VALUE!</v>
      </c>
      <c r="F64" s="2" t="str">
        <f>IFERROR(__xludf.DUMMYFUNCTION("SPLIT(E64,"" "")"),"#VALUE!")</f>
        <v>#VALUE!</v>
      </c>
      <c r="I64" s="2" t="str">
        <f t="shared" si="3"/>
        <v>#VALUE!</v>
      </c>
      <c r="J64" s="2" t="str">
        <f>IFERROR(__xludf.DUMMYFUNCTION("SPLIT(I64,"" "")"),"#VALUE!")</f>
        <v>#VALUE!</v>
      </c>
      <c r="M64" s="2" t="b">
        <f t="shared" si="4"/>
        <v>0</v>
      </c>
      <c r="N64" s="2" t="b">
        <f>IFERROR(__xludf.DUMMYFUNCTION("IF(AND(REGEXMATCH($G$4, ""cd""),M64),N63+J64)"),FALSE)</f>
        <v>0</v>
      </c>
      <c r="O64" s="2" t="str">
        <f t="shared" si="5"/>
        <v>#N/A</v>
      </c>
    </row>
    <row r="65">
      <c r="A65" s="1" t="s">
        <v>39</v>
      </c>
      <c r="B65" s="2" t="str">
        <f t="shared" si="1"/>
        <v>dir slzdbm</v>
      </c>
      <c r="C65" s="2" t="str">
        <f>IFERROR(__xludf.DUMMYFUNCTION("SPLIT(B65,"" "")"),"dir")</f>
        <v>dir</v>
      </c>
      <c r="D65" s="2" t="str">
        <f>IFERROR(__xludf.DUMMYFUNCTION("""COMPUTED_VALUE"""),"slzdbm")</f>
        <v>slzdbm</v>
      </c>
      <c r="E65" s="2" t="str">
        <f t="shared" si="2"/>
        <v>#VALUE!</v>
      </c>
      <c r="F65" s="2" t="str">
        <f>IFERROR(__xludf.DUMMYFUNCTION("SPLIT(E65,"" "")"),"#VALUE!")</f>
        <v>#VALUE!</v>
      </c>
      <c r="I65" s="2" t="str">
        <f t="shared" si="3"/>
        <v>#VALUE!</v>
      </c>
      <c r="J65" s="2" t="str">
        <f>IFERROR(__xludf.DUMMYFUNCTION("SPLIT(I65,"" "")"),"#VALUE!")</f>
        <v>#VALUE!</v>
      </c>
      <c r="M65" s="2" t="b">
        <f t="shared" si="4"/>
        <v>0</v>
      </c>
      <c r="N65" s="2" t="b">
        <f>IFERROR(__xludf.DUMMYFUNCTION("IF(AND(REGEXMATCH($G$4, ""cd""),M65),N64+J65)"),FALSE)</f>
        <v>0</v>
      </c>
      <c r="O65" s="2" t="str">
        <f t="shared" si="5"/>
        <v>#N/A</v>
      </c>
    </row>
    <row r="66">
      <c r="A66" s="1" t="s">
        <v>46</v>
      </c>
      <c r="B66" s="2" t="str">
        <f t="shared" si="1"/>
        <v>dir zcgrgff</v>
      </c>
      <c r="C66" s="2" t="str">
        <f>IFERROR(__xludf.DUMMYFUNCTION("SPLIT(B66,"" "")"),"dir")</f>
        <v>dir</v>
      </c>
      <c r="D66" s="2" t="str">
        <f>IFERROR(__xludf.DUMMYFUNCTION("""COMPUTED_VALUE"""),"zcgrgff")</f>
        <v>zcgrgff</v>
      </c>
      <c r="E66" s="2" t="str">
        <f t="shared" si="2"/>
        <v>#VALUE!</v>
      </c>
      <c r="F66" s="2" t="str">
        <f>IFERROR(__xludf.DUMMYFUNCTION("SPLIT(E66,"" "")"),"#VALUE!")</f>
        <v>#VALUE!</v>
      </c>
      <c r="I66" s="2" t="str">
        <f t="shared" si="3"/>
        <v>#VALUE!</v>
      </c>
      <c r="J66" s="2" t="str">
        <f>IFERROR(__xludf.DUMMYFUNCTION("SPLIT(I66,"" "")"),"#VALUE!")</f>
        <v>#VALUE!</v>
      </c>
      <c r="M66" s="2" t="b">
        <f t="shared" si="4"/>
        <v>0</v>
      </c>
      <c r="N66" s="2" t="b">
        <f>IFERROR(__xludf.DUMMYFUNCTION("IF(AND(REGEXMATCH($G$4, ""cd""),M66),N65+J66)"),FALSE)</f>
        <v>0</v>
      </c>
      <c r="O66" s="2" t="str">
        <f t="shared" si="5"/>
        <v>#N/A</v>
      </c>
    </row>
    <row r="67">
      <c r="A67" s="1" t="s">
        <v>47</v>
      </c>
      <c r="B67" s="2" t="str">
        <f t="shared" si="1"/>
        <v>#VALUE!</v>
      </c>
      <c r="C67" s="2" t="str">
        <f>IFERROR(__xludf.DUMMYFUNCTION("SPLIT(B67,"" "")"),"#VALUE!")</f>
        <v>#VALUE!</v>
      </c>
      <c r="E67" s="2" t="str">
        <f t="shared" si="2"/>
        <v>$ cd dlbjblbf</v>
      </c>
      <c r="F67" s="2" t="str">
        <f>IFERROR(__xludf.DUMMYFUNCTION("SPLIT(E67,"" "")"),"$")</f>
        <v>$</v>
      </c>
      <c r="G67" s="2" t="str">
        <f>IFERROR(__xludf.DUMMYFUNCTION("""COMPUTED_VALUE"""),"cd")</f>
        <v>cd</v>
      </c>
      <c r="H67" s="2" t="str">
        <f>IFERROR(__xludf.DUMMYFUNCTION("""COMPUTED_VALUE"""),"dlbjblbf")</f>
        <v>dlbjblbf</v>
      </c>
      <c r="I67" s="2" t="str">
        <f t="shared" si="3"/>
        <v>#VALUE!</v>
      </c>
      <c r="J67" s="2" t="str">
        <f>IFERROR(__xludf.DUMMYFUNCTION("SPLIT(I67,"" "")"),"#VALUE!")</f>
        <v>#VALUE!</v>
      </c>
      <c r="M67" s="2" t="b">
        <f t="shared" si="4"/>
        <v>0</v>
      </c>
      <c r="N67" s="2" t="b">
        <f>IFERROR(__xludf.DUMMYFUNCTION("IF(AND(REGEXMATCH($G$4, ""cd""),M67),N66+J67)"),FALSE)</f>
        <v>0</v>
      </c>
      <c r="O67" s="2" t="str">
        <f t="shared" si="5"/>
        <v>#N/A</v>
      </c>
    </row>
    <row r="68">
      <c r="A68" s="1" t="s">
        <v>2</v>
      </c>
      <c r="B68" s="2" t="str">
        <f t="shared" si="1"/>
        <v>#VALUE!</v>
      </c>
      <c r="C68" s="2" t="str">
        <f>IFERROR(__xludf.DUMMYFUNCTION("SPLIT(B68,"" "")"),"#VALUE!")</f>
        <v>#VALUE!</v>
      </c>
      <c r="E68" s="2" t="str">
        <f t="shared" si="2"/>
        <v>#VALUE!</v>
      </c>
      <c r="F68" s="2" t="str">
        <f>IFERROR(__xludf.DUMMYFUNCTION("SPLIT(E68,"" "")"),"#VALUE!")</f>
        <v>#VALUE!</v>
      </c>
      <c r="I68" s="2" t="str">
        <f t="shared" si="3"/>
        <v>#VALUE!</v>
      </c>
      <c r="J68" s="2" t="str">
        <f>IFERROR(__xludf.DUMMYFUNCTION("SPLIT(I68,"" "")"),"#VALUE!")</f>
        <v>#VALUE!</v>
      </c>
      <c r="M68" s="2" t="b">
        <f t="shared" si="4"/>
        <v>0</v>
      </c>
      <c r="N68" s="2" t="b">
        <f>IFERROR(__xludf.DUMMYFUNCTION("IF(AND(REGEXMATCH($G$4, ""cd""),M68),N67+J68)"),FALSE)</f>
        <v>0</v>
      </c>
      <c r="O68" s="2" t="str">
        <f t="shared" si="5"/>
        <v>#N/A</v>
      </c>
    </row>
    <row r="69">
      <c r="A69" s="1" t="s">
        <v>48</v>
      </c>
      <c r="B69" s="2" t="str">
        <f t="shared" si="1"/>
        <v>#VALUE!</v>
      </c>
      <c r="C69" s="2" t="str">
        <f>IFERROR(__xludf.DUMMYFUNCTION("SPLIT(B69,"" "")"),"#VALUE!")</f>
        <v>#VALUE!</v>
      </c>
      <c r="E69" s="2" t="str">
        <f t="shared" si="2"/>
        <v>#VALUE!</v>
      </c>
      <c r="F69" s="2" t="str">
        <f>IFERROR(__xludf.DUMMYFUNCTION("SPLIT(E69,"" "")"),"#VALUE!")</f>
        <v>#VALUE!</v>
      </c>
      <c r="I69" s="2" t="str">
        <f t="shared" si="3"/>
        <v>11732 rnsrrf.rtv</v>
      </c>
      <c r="J69" s="2">
        <f>IFERROR(__xludf.DUMMYFUNCTION("SPLIT(I69,"" "")"),11732.0)</f>
        <v>11732</v>
      </c>
      <c r="K69" s="2" t="str">
        <f>IFERROR(__xludf.DUMMYFUNCTION("""COMPUTED_VALUE"""),"rnsrrf.rtv")</f>
        <v>rnsrrf.rtv</v>
      </c>
      <c r="M69" s="2" t="b">
        <f t="shared" si="4"/>
        <v>1</v>
      </c>
      <c r="N69" s="2">
        <f>IFERROR(__xludf.DUMMYFUNCTION("IF(AND(REGEXMATCH($G$4, ""cd""),M69),N68+J69)"),11732.0)</f>
        <v>11732</v>
      </c>
      <c r="O69" s="2" t="str">
        <f t="shared" si="5"/>
        <v>#N/A</v>
      </c>
    </row>
    <row r="70">
      <c r="A70" s="1" t="s">
        <v>17</v>
      </c>
      <c r="B70" s="2" t="str">
        <f t="shared" si="1"/>
        <v>#VALUE!</v>
      </c>
      <c r="C70" s="2" t="str">
        <f>IFERROR(__xludf.DUMMYFUNCTION("SPLIT(B70,"" "")"),"#VALUE!")</f>
        <v>#VALUE!</v>
      </c>
      <c r="E70" s="2" t="str">
        <f t="shared" si="2"/>
        <v>$ cd ..</v>
      </c>
      <c r="F70" s="2" t="str">
        <f>IFERROR(__xludf.DUMMYFUNCTION("SPLIT(E70,"" "")"),"$")</f>
        <v>$</v>
      </c>
      <c r="G70" s="2" t="str">
        <f>IFERROR(__xludf.DUMMYFUNCTION("""COMPUTED_VALUE"""),"cd")</f>
        <v>cd</v>
      </c>
      <c r="H70" s="2" t="str">
        <f>IFERROR(__xludf.DUMMYFUNCTION("""COMPUTED_VALUE"""),"..")</f>
        <v>..</v>
      </c>
      <c r="I70" s="2" t="str">
        <f t="shared" si="3"/>
        <v>$ cd ..</v>
      </c>
      <c r="J70" s="2" t="str">
        <f>IFERROR(__xludf.DUMMYFUNCTION("SPLIT(I70,"" "")"),"$")</f>
        <v>$</v>
      </c>
      <c r="K70" s="2" t="str">
        <f>IFERROR(__xludf.DUMMYFUNCTION("""COMPUTED_VALUE"""),"cd")</f>
        <v>cd</v>
      </c>
      <c r="L70" s="2" t="str">
        <f>IFERROR(__xludf.DUMMYFUNCTION("""COMPUTED_VALUE"""),"..")</f>
        <v>..</v>
      </c>
      <c r="M70" s="2" t="b">
        <f t="shared" si="4"/>
        <v>0</v>
      </c>
      <c r="N70" s="2" t="b">
        <f>IFERROR(__xludf.DUMMYFUNCTION("IF(AND(REGEXMATCH($G$4, ""cd""),M70),N69+J70)"),FALSE)</f>
        <v>0</v>
      </c>
      <c r="O70" s="2" t="str">
        <f t="shared" si="5"/>
        <v>#N/A</v>
      </c>
    </row>
    <row r="71">
      <c r="A71" s="1" t="s">
        <v>49</v>
      </c>
      <c r="B71" s="2" t="str">
        <f t="shared" si="1"/>
        <v>#VALUE!</v>
      </c>
      <c r="C71" s="2" t="str">
        <f>IFERROR(__xludf.DUMMYFUNCTION("SPLIT(B71,"" "")"),"#VALUE!")</f>
        <v>#VALUE!</v>
      </c>
      <c r="E71" s="2" t="str">
        <f t="shared" si="2"/>
        <v>$ cd fdlw</v>
      </c>
      <c r="F71" s="2" t="str">
        <f>IFERROR(__xludf.DUMMYFUNCTION("SPLIT(E71,"" "")"),"$")</f>
        <v>$</v>
      </c>
      <c r="G71" s="2" t="str">
        <f>IFERROR(__xludf.DUMMYFUNCTION("""COMPUTED_VALUE"""),"cd")</f>
        <v>cd</v>
      </c>
      <c r="H71" s="2" t="str">
        <f>IFERROR(__xludf.DUMMYFUNCTION("""COMPUTED_VALUE"""),"fdlw")</f>
        <v>fdlw</v>
      </c>
      <c r="I71" s="2" t="str">
        <f t="shared" si="3"/>
        <v>#VALUE!</v>
      </c>
      <c r="J71" s="2" t="str">
        <f>IFERROR(__xludf.DUMMYFUNCTION("SPLIT(I71,"" "")"),"#VALUE!")</f>
        <v>#VALUE!</v>
      </c>
      <c r="M71" s="2" t="b">
        <f t="shared" si="4"/>
        <v>0</v>
      </c>
      <c r="N71" s="2" t="b">
        <f>IFERROR(__xludf.DUMMYFUNCTION("IF(AND(REGEXMATCH($G$4, ""cd""),M71),N70+J71)"),FALSE)</f>
        <v>0</v>
      </c>
      <c r="O71" s="2" t="str">
        <f t="shared" si="5"/>
        <v>#N/A</v>
      </c>
    </row>
    <row r="72">
      <c r="A72" s="1" t="s">
        <v>2</v>
      </c>
      <c r="B72" s="2" t="str">
        <f t="shared" si="1"/>
        <v>#VALUE!</v>
      </c>
      <c r="C72" s="2" t="str">
        <f>IFERROR(__xludf.DUMMYFUNCTION("SPLIT(B72,"" "")"),"#VALUE!")</f>
        <v>#VALUE!</v>
      </c>
      <c r="E72" s="2" t="str">
        <f t="shared" si="2"/>
        <v>#VALUE!</v>
      </c>
      <c r="F72" s="2" t="str">
        <f>IFERROR(__xludf.DUMMYFUNCTION("SPLIT(E72,"" "")"),"#VALUE!")</f>
        <v>#VALUE!</v>
      </c>
      <c r="I72" s="2" t="str">
        <f t="shared" si="3"/>
        <v>#VALUE!</v>
      </c>
      <c r="J72" s="2" t="str">
        <f>IFERROR(__xludf.DUMMYFUNCTION("SPLIT(I72,"" "")"),"#VALUE!")</f>
        <v>#VALUE!</v>
      </c>
      <c r="M72" s="2" t="b">
        <f t="shared" si="4"/>
        <v>0</v>
      </c>
      <c r="N72" s="2" t="b">
        <f>IFERROR(__xludf.DUMMYFUNCTION("IF(AND(REGEXMATCH($G$4, ""cd""),M72),N71+J72)"),FALSE)</f>
        <v>0</v>
      </c>
      <c r="O72" s="2" t="str">
        <f t="shared" si="5"/>
        <v>#N/A</v>
      </c>
    </row>
    <row r="73">
      <c r="A73" s="1" t="s">
        <v>50</v>
      </c>
      <c r="B73" s="2" t="str">
        <f t="shared" si="1"/>
        <v>dir hlvpfw</v>
      </c>
      <c r="C73" s="2" t="str">
        <f>IFERROR(__xludf.DUMMYFUNCTION("SPLIT(B73,"" "")"),"dir")</f>
        <v>dir</v>
      </c>
      <c r="D73" s="2" t="str">
        <f>IFERROR(__xludf.DUMMYFUNCTION("""COMPUTED_VALUE"""),"hlvpfw")</f>
        <v>hlvpfw</v>
      </c>
      <c r="E73" s="2" t="str">
        <f t="shared" si="2"/>
        <v>#VALUE!</v>
      </c>
      <c r="F73" s="2" t="str">
        <f>IFERROR(__xludf.DUMMYFUNCTION("SPLIT(E73,"" "")"),"#VALUE!")</f>
        <v>#VALUE!</v>
      </c>
      <c r="I73" s="2" t="str">
        <f t="shared" si="3"/>
        <v>#VALUE!</v>
      </c>
      <c r="J73" s="2" t="str">
        <f>IFERROR(__xludf.DUMMYFUNCTION("SPLIT(I73,"" "")"),"#VALUE!")</f>
        <v>#VALUE!</v>
      </c>
      <c r="M73" s="2" t="b">
        <f t="shared" si="4"/>
        <v>0</v>
      </c>
      <c r="N73" s="2" t="b">
        <f>IFERROR(__xludf.DUMMYFUNCTION("IF(AND(REGEXMATCH($G$4, ""cd""),M73),N72+J73)"),FALSE)</f>
        <v>0</v>
      </c>
      <c r="O73" s="2" t="str">
        <f t="shared" si="5"/>
        <v>#N/A</v>
      </c>
    </row>
    <row r="74">
      <c r="A74" s="1" t="s">
        <v>51</v>
      </c>
      <c r="B74" s="2" t="str">
        <f t="shared" si="1"/>
        <v>#VALUE!</v>
      </c>
      <c r="C74" s="2" t="str">
        <f>IFERROR(__xludf.DUMMYFUNCTION("SPLIT(B74,"" "")"),"#VALUE!")</f>
        <v>#VALUE!</v>
      </c>
      <c r="E74" s="2" t="str">
        <f t="shared" si="2"/>
        <v>#VALUE!</v>
      </c>
      <c r="F74" s="2" t="str">
        <f>IFERROR(__xludf.DUMMYFUNCTION("SPLIT(E74,"" "")"),"#VALUE!")</f>
        <v>#VALUE!</v>
      </c>
      <c r="I74" s="2" t="str">
        <f t="shared" si="3"/>
        <v>228436 mzsfcvgv.pqw</v>
      </c>
      <c r="J74" s="2">
        <f>IFERROR(__xludf.DUMMYFUNCTION("SPLIT(I74,"" "")"),228436.0)</f>
        <v>228436</v>
      </c>
      <c r="K74" s="2" t="str">
        <f>IFERROR(__xludf.DUMMYFUNCTION("""COMPUTED_VALUE"""),"mzsfcvgv.pqw")</f>
        <v>mzsfcvgv.pqw</v>
      </c>
      <c r="M74" s="2" t="b">
        <f t="shared" si="4"/>
        <v>1</v>
      </c>
      <c r="N74" s="2">
        <f>IFERROR(__xludf.DUMMYFUNCTION("IF(AND(REGEXMATCH($G$4, ""cd""),M74),N73+J74)"),228436.0)</f>
        <v>228436</v>
      </c>
      <c r="O74" s="2" t="str">
        <f t="shared" si="5"/>
        <v>#N/A</v>
      </c>
    </row>
    <row r="75">
      <c r="A75" s="1" t="s">
        <v>52</v>
      </c>
      <c r="B75" s="2" t="str">
        <f t="shared" si="1"/>
        <v>#VALUE!</v>
      </c>
      <c r="C75" s="2" t="str">
        <f>IFERROR(__xludf.DUMMYFUNCTION("SPLIT(B75,"" "")"),"#VALUE!")</f>
        <v>#VALUE!</v>
      </c>
      <c r="E75" s="2" t="str">
        <f t="shared" si="2"/>
        <v>$ cd hlvpfw</v>
      </c>
      <c r="F75" s="2" t="str">
        <f>IFERROR(__xludf.DUMMYFUNCTION("SPLIT(E75,"" "")"),"$")</f>
        <v>$</v>
      </c>
      <c r="G75" s="2" t="str">
        <f>IFERROR(__xludf.DUMMYFUNCTION("""COMPUTED_VALUE"""),"cd")</f>
        <v>cd</v>
      </c>
      <c r="H75" s="2" t="str">
        <f>IFERROR(__xludf.DUMMYFUNCTION("""COMPUTED_VALUE"""),"hlvpfw")</f>
        <v>hlvpfw</v>
      </c>
      <c r="I75" s="2" t="str">
        <f t="shared" si="3"/>
        <v>#VALUE!</v>
      </c>
      <c r="J75" s="2" t="str">
        <f>IFERROR(__xludf.DUMMYFUNCTION("SPLIT(I75,"" "")"),"#VALUE!")</f>
        <v>#VALUE!</v>
      </c>
      <c r="M75" s="2" t="b">
        <f t="shared" si="4"/>
        <v>0</v>
      </c>
      <c r="N75" s="2" t="b">
        <f>IFERROR(__xludf.DUMMYFUNCTION("IF(AND(REGEXMATCH($G$4, ""cd""),M75),N74+J75)"),FALSE)</f>
        <v>0</v>
      </c>
      <c r="O75" s="2" t="str">
        <f t="shared" si="5"/>
        <v>#N/A</v>
      </c>
    </row>
    <row r="76">
      <c r="A76" s="1" t="s">
        <v>2</v>
      </c>
      <c r="B76" s="2" t="str">
        <f t="shared" si="1"/>
        <v>#VALUE!</v>
      </c>
      <c r="C76" s="2" t="str">
        <f>IFERROR(__xludf.DUMMYFUNCTION("SPLIT(B76,"" "")"),"#VALUE!")</f>
        <v>#VALUE!</v>
      </c>
      <c r="E76" s="2" t="str">
        <f t="shared" si="2"/>
        <v>#VALUE!</v>
      </c>
      <c r="F76" s="2" t="str">
        <f>IFERROR(__xludf.DUMMYFUNCTION("SPLIT(E76,"" "")"),"#VALUE!")</f>
        <v>#VALUE!</v>
      </c>
      <c r="I76" s="2" t="str">
        <f t="shared" si="3"/>
        <v>#VALUE!</v>
      </c>
      <c r="J76" s="2" t="str">
        <f>IFERROR(__xludf.DUMMYFUNCTION("SPLIT(I76,"" "")"),"#VALUE!")</f>
        <v>#VALUE!</v>
      </c>
      <c r="M76" s="2" t="b">
        <f t="shared" si="4"/>
        <v>0</v>
      </c>
      <c r="N76" s="2" t="b">
        <f>IFERROR(__xludf.DUMMYFUNCTION("IF(AND(REGEXMATCH($G$4, ""cd""),M76),N75+J76)"),FALSE)</f>
        <v>0</v>
      </c>
      <c r="O76" s="2" t="str">
        <f t="shared" si="5"/>
        <v>#N/A</v>
      </c>
    </row>
    <row r="77">
      <c r="A77" s="1" t="s">
        <v>53</v>
      </c>
      <c r="B77" s="2" t="str">
        <f t="shared" si="1"/>
        <v>dir dhwq</v>
      </c>
      <c r="C77" s="2" t="str">
        <f>IFERROR(__xludf.DUMMYFUNCTION("SPLIT(B77,"" "")"),"dir")</f>
        <v>dir</v>
      </c>
      <c r="D77" s="2" t="str">
        <f>IFERROR(__xludf.DUMMYFUNCTION("""COMPUTED_VALUE"""),"dhwq")</f>
        <v>dhwq</v>
      </c>
      <c r="E77" s="2" t="str">
        <f t="shared" si="2"/>
        <v>#VALUE!</v>
      </c>
      <c r="F77" s="2" t="str">
        <f>IFERROR(__xludf.DUMMYFUNCTION("SPLIT(E77,"" "")"),"#VALUE!")</f>
        <v>#VALUE!</v>
      </c>
      <c r="I77" s="2" t="str">
        <f t="shared" si="3"/>
        <v>#VALUE!</v>
      </c>
      <c r="J77" s="2" t="str">
        <f>IFERROR(__xludf.DUMMYFUNCTION("SPLIT(I77,"" "")"),"#VALUE!")</f>
        <v>#VALUE!</v>
      </c>
      <c r="M77" s="2" t="b">
        <f t="shared" si="4"/>
        <v>0</v>
      </c>
      <c r="N77" s="2" t="b">
        <f>IFERROR(__xludf.DUMMYFUNCTION("IF(AND(REGEXMATCH($G$4, ""cd""),M77),N76+J77)"),FALSE)</f>
        <v>0</v>
      </c>
      <c r="O77" s="2" t="str">
        <f t="shared" si="5"/>
        <v>#N/A</v>
      </c>
    </row>
    <row r="78">
      <c r="A78" s="1" t="s">
        <v>54</v>
      </c>
      <c r="B78" s="2" t="str">
        <f t="shared" si="1"/>
        <v>#VALUE!</v>
      </c>
      <c r="C78" s="2" t="str">
        <f>IFERROR(__xludf.DUMMYFUNCTION("SPLIT(B78,"" "")"),"#VALUE!")</f>
        <v>#VALUE!</v>
      </c>
      <c r="E78" s="2" t="str">
        <f t="shared" si="2"/>
        <v>$ cd dhwq</v>
      </c>
      <c r="F78" s="2" t="str">
        <f>IFERROR(__xludf.DUMMYFUNCTION("SPLIT(E78,"" "")"),"$")</f>
        <v>$</v>
      </c>
      <c r="G78" s="2" t="str">
        <f>IFERROR(__xludf.DUMMYFUNCTION("""COMPUTED_VALUE"""),"cd")</f>
        <v>cd</v>
      </c>
      <c r="H78" s="2" t="str">
        <f>IFERROR(__xludf.DUMMYFUNCTION("""COMPUTED_VALUE"""),"dhwq")</f>
        <v>dhwq</v>
      </c>
      <c r="I78" s="2" t="str">
        <f t="shared" si="3"/>
        <v>#VALUE!</v>
      </c>
      <c r="J78" s="2" t="str">
        <f>IFERROR(__xludf.DUMMYFUNCTION("SPLIT(I78,"" "")"),"#VALUE!")</f>
        <v>#VALUE!</v>
      </c>
      <c r="M78" s="2" t="b">
        <f t="shared" si="4"/>
        <v>0</v>
      </c>
      <c r="N78" s="2" t="b">
        <f>IFERROR(__xludf.DUMMYFUNCTION("IF(AND(REGEXMATCH($G$4, ""cd""),M78),N77+J78)"),FALSE)</f>
        <v>0</v>
      </c>
      <c r="O78" s="2" t="str">
        <f t="shared" si="5"/>
        <v>#N/A</v>
      </c>
    </row>
    <row r="79">
      <c r="A79" s="1" t="s">
        <v>2</v>
      </c>
      <c r="B79" s="2" t="str">
        <f t="shared" si="1"/>
        <v>#VALUE!</v>
      </c>
      <c r="C79" s="2" t="str">
        <f>IFERROR(__xludf.DUMMYFUNCTION("SPLIT(B79,"" "")"),"#VALUE!")</f>
        <v>#VALUE!</v>
      </c>
      <c r="E79" s="2" t="str">
        <f t="shared" si="2"/>
        <v>#VALUE!</v>
      </c>
      <c r="F79" s="2" t="str">
        <f>IFERROR(__xludf.DUMMYFUNCTION("SPLIT(E79,"" "")"),"#VALUE!")</f>
        <v>#VALUE!</v>
      </c>
      <c r="I79" s="2" t="str">
        <f t="shared" si="3"/>
        <v>#VALUE!</v>
      </c>
      <c r="J79" s="2" t="str">
        <f>IFERROR(__xludf.DUMMYFUNCTION("SPLIT(I79,"" "")"),"#VALUE!")</f>
        <v>#VALUE!</v>
      </c>
      <c r="M79" s="2" t="b">
        <f t="shared" si="4"/>
        <v>0</v>
      </c>
      <c r="N79" s="2" t="b">
        <f>IFERROR(__xludf.DUMMYFUNCTION("IF(AND(REGEXMATCH($G$4, ""cd""),M79),N78+J79)"),FALSE)</f>
        <v>0</v>
      </c>
      <c r="O79" s="2" t="str">
        <f t="shared" si="5"/>
        <v>#N/A</v>
      </c>
    </row>
    <row r="80">
      <c r="A80" s="1" t="s">
        <v>55</v>
      </c>
      <c r="B80" s="2" t="str">
        <f t="shared" si="1"/>
        <v>#VALUE!</v>
      </c>
      <c r="C80" s="2" t="str">
        <f>IFERROR(__xludf.DUMMYFUNCTION("SPLIT(B80,"" "")"),"#VALUE!")</f>
        <v>#VALUE!</v>
      </c>
      <c r="E80" s="2" t="str">
        <f t="shared" si="2"/>
        <v>#VALUE!</v>
      </c>
      <c r="F80" s="2" t="str">
        <f>IFERROR(__xludf.DUMMYFUNCTION("SPLIT(E80,"" "")"),"#VALUE!")</f>
        <v>#VALUE!</v>
      </c>
      <c r="I80" s="2" t="str">
        <f t="shared" si="3"/>
        <v>127459 cgdpqh.tct</v>
      </c>
      <c r="J80" s="2">
        <f>IFERROR(__xludf.DUMMYFUNCTION("SPLIT(I80,"" "")"),127459.0)</f>
        <v>127459</v>
      </c>
      <c r="K80" s="2" t="str">
        <f>IFERROR(__xludf.DUMMYFUNCTION("""COMPUTED_VALUE"""),"cgdpqh.tct")</f>
        <v>cgdpqh.tct</v>
      </c>
      <c r="M80" s="2" t="b">
        <f t="shared" si="4"/>
        <v>1</v>
      </c>
      <c r="N80" s="2">
        <f>IFERROR(__xludf.DUMMYFUNCTION("IF(AND(REGEXMATCH($G$4, ""cd""),M80),N79+J80)"),127459.0)</f>
        <v>127459</v>
      </c>
      <c r="O80" s="2" t="str">
        <f t="shared" si="5"/>
        <v>#N/A</v>
      </c>
    </row>
    <row r="81">
      <c r="A81" s="1" t="s">
        <v>56</v>
      </c>
      <c r="B81" s="2" t="str">
        <f t="shared" si="1"/>
        <v>#VALUE!</v>
      </c>
      <c r="C81" s="2" t="str">
        <f>IFERROR(__xludf.DUMMYFUNCTION("SPLIT(B81,"" "")"),"#VALUE!")</f>
        <v>#VALUE!</v>
      </c>
      <c r="E81" s="2" t="str">
        <f t="shared" si="2"/>
        <v>#VALUE!</v>
      </c>
      <c r="F81" s="2" t="str">
        <f>IFERROR(__xludf.DUMMYFUNCTION("SPLIT(E81,"" "")"),"#VALUE!")</f>
        <v>#VALUE!</v>
      </c>
      <c r="I81" s="2" t="str">
        <f t="shared" si="3"/>
        <v>58310 jnwr.nqt</v>
      </c>
      <c r="J81" s="2">
        <f>IFERROR(__xludf.DUMMYFUNCTION("SPLIT(I81,"" "")"),58310.0)</f>
        <v>58310</v>
      </c>
      <c r="K81" s="2" t="str">
        <f>IFERROR(__xludf.DUMMYFUNCTION("""COMPUTED_VALUE"""),"jnwr.nqt")</f>
        <v>jnwr.nqt</v>
      </c>
      <c r="M81" s="2" t="b">
        <f t="shared" si="4"/>
        <v>1</v>
      </c>
      <c r="N81" s="2">
        <f>IFERROR(__xludf.DUMMYFUNCTION("IF(AND(REGEXMATCH($G$4, ""cd""),M81),N80+J81)"),185769.0)</f>
        <v>185769</v>
      </c>
      <c r="O81" s="2" t="str">
        <f t="shared" si="5"/>
        <v>#N/A</v>
      </c>
    </row>
    <row r="82">
      <c r="A82" s="1" t="s">
        <v>17</v>
      </c>
      <c r="B82" s="2" t="str">
        <f t="shared" si="1"/>
        <v>#VALUE!</v>
      </c>
      <c r="C82" s="2" t="str">
        <f>IFERROR(__xludf.DUMMYFUNCTION("SPLIT(B82,"" "")"),"#VALUE!")</f>
        <v>#VALUE!</v>
      </c>
      <c r="E82" s="2" t="str">
        <f t="shared" si="2"/>
        <v>$ cd ..</v>
      </c>
      <c r="F82" s="2" t="str">
        <f>IFERROR(__xludf.DUMMYFUNCTION("SPLIT(E82,"" "")"),"$")</f>
        <v>$</v>
      </c>
      <c r="G82" s="2" t="str">
        <f>IFERROR(__xludf.DUMMYFUNCTION("""COMPUTED_VALUE"""),"cd")</f>
        <v>cd</v>
      </c>
      <c r="H82" s="2" t="str">
        <f>IFERROR(__xludf.DUMMYFUNCTION("""COMPUTED_VALUE"""),"..")</f>
        <v>..</v>
      </c>
      <c r="I82" s="2" t="str">
        <f t="shared" si="3"/>
        <v>$ cd ..</v>
      </c>
      <c r="J82" s="2" t="str">
        <f>IFERROR(__xludf.DUMMYFUNCTION("SPLIT(I82,"" "")"),"$")</f>
        <v>$</v>
      </c>
      <c r="K82" s="2" t="str">
        <f>IFERROR(__xludf.DUMMYFUNCTION("""COMPUTED_VALUE"""),"cd")</f>
        <v>cd</v>
      </c>
      <c r="L82" s="2" t="str">
        <f>IFERROR(__xludf.DUMMYFUNCTION("""COMPUTED_VALUE"""),"..")</f>
        <v>..</v>
      </c>
      <c r="M82" s="2" t="b">
        <f t="shared" si="4"/>
        <v>0</v>
      </c>
      <c r="N82" s="2" t="b">
        <f>IFERROR(__xludf.DUMMYFUNCTION("IF(AND(REGEXMATCH($G$4, ""cd""),M82),N81+J82)"),FALSE)</f>
        <v>0</v>
      </c>
      <c r="O82" s="2" t="str">
        <f t="shared" si="5"/>
        <v>#N/A</v>
      </c>
    </row>
    <row r="83">
      <c r="A83" s="1" t="s">
        <v>17</v>
      </c>
      <c r="B83" s="2" t="str">
        <f t="shared" si="1"/>
        <v>#VALUE!</v>
      </c>
      <c r="C83" s="2" t="str">
        <f>IFERROR(__xludf.DUMMYFUNCTION("SPLIT(B83,"" "")"),"#VALUE!")</f>
        <v>#VALUE!</v>
      </c>
      <c r="E83" s="2" t="str">
        <f t="shared" si="2"/>
        <v>$ cd ..</v>
      </c>
      <c r="F83" s="2" t="str">
        <f>IFERROR(__xludf.DUMMYFUNCTION("SPLIT(E83,"" "")"),"$")</f>
        <v>$</v>
      </c>
      <c r="G83" s="2" t="str">
        <f>IFERROR(__xludf.DUMMYFUNCTION("""COMPUTED_VALUE"""),"cd")</f>
        <v>cd</v>
      </c>
      <c r="H83" s="2" t="str">
        <f>IFERROR(__xludf.DUMMYFUNCTION("""COMPUTED_VALUE"""),"..")</f>
        <v>..</v>
      </c>
      <c r="I83" s="2" t="str">
        <f t="shared" si="3"/>
        <v>$ cd ..</v>
      </c>
      <c r="J83" s="2" t="str">
        <f>IFERROR(__xludf.DUMMYFUNCTION("SPLIT(I83,"" "")"),"$")</f>
        <v>$</v>
      </c>
      <c r="K83" s="2" t="str">
        <f>IFERROR(__xludf.DUMMYFUNCTION("""COMPUTED_VALUE"""),"cd")</f>
        <v>cd</v>
      </c>
      <c r="L83" s="2" t="str">
        <f>IFERROR(__xludf.DUMMYFUNCTION("""COMPUTED_VALUE"""),"..")</f>
        <v>..</v>
      </c>
      <c r="M83" s="2" t="b">
        <f t="shared" si="4"/>
        <v>0</v>
      </c>
      <c r="N83" s="2" t="b">
        <f>IFERROR(__xludf.DUMMYFUNCTION("IF(AND(REGEXMATCH($G$4, ""cd""),M83),N82+J83)"),FALSE)</f>
        <v>0</v>
      </c>
      <c r="O83" s="2" t="str">
        <f t="shared" si="5"/>
        <v>#N/A</v>
      </c>
    </row>
    <row r="84">
      <c r="A84" s="1" t="s">
        <v>17</v>
      </c>
      <c r="B84" s="2" t="str">
        <f t="shared" si="1"/>
        <v>#VALUE!</v>
      </c>
      <c r="C84" s="2" t="str">
        <f>IFERROR(__xludf.DUMMYFUNCTION("SPLIT(B84,"" "")"),"#VALUE!")</f>
        <v>#VALUE!</v>
      </c>
      <c r="E84" s="2" t="str">
        <f t="shared" si="2"/>
        <v>$ cd ..</v>
      </c>
      <c r="F84" s="2" t="str">
        <f>IFERROR(__xludf.DUMMYFUNCTION("SPLIT(E84,"" "")"),"$")</f>
        <v>$</v>
      </c>
      <c r="G84" s="2" t="str">
        <f>IFERROR(__xludf.DUMMYFUNCTION("""COMPUTED_VALUE"""),"cd")</f>
        <v>cd</v>
      </c>
      <c r="H84" s="2" t="str">
        <f>IFERROR(__xludf.DUMMYFUNCTION("""COMPUTED_VALUE"""),"..")</f>
        <v>..</v>
      </c>
      <c r="I84" s="2" t="str">
        <f t="shared" si="3"/>
        <v>$ cd ..</v>
      </c>
      <c r="J84" s="2" t="str">
        <f>IFERROR(__xludf.DUMMYFUNCTION("SPLIT(I84,"" "")"),"$")</f>
        <v>$</v>
      </c>
      <c r="K84" s="2" t="str">
        <f>IFERROR(__xludf.DUMMYFUNCTION("""COMPUTED_VALUE"""),"cd")</f>
        <v>cd</v>
      </c>
      <c r="L84" s="2" t="str">
        <f>IFERROR(__xludf.DUMMYFUNCTION("""COMPUTED_VALUE"""),"..")</f>
        <v>..</v>
      </c>
      <c r="M84" s="2" t="b">
        <f t="shared" si="4"/>
        <v>0</v>
      </c>
      <c r="N84" s="2" t="b">
        <f>IFERROR(__xludf.DUMMYFUNCTION("IF(AND(REGEXMATCH($G$4, ""cd""),M84),N83+J84)"),FALSE)</f>
        <v>0</v>
      </c>
      <c r="O84" s="2" t="str">
        <f t="shared" si="5"/>
        <v>#N/A</v>
      </c>
    </row>
    <row r="85">
      <c r="A85" s="1" t="s">
        <v>20</v>
      </c>
      <c r="B85" s="2" t="str">
        <f t="shared" si="1"/>
        <v>#VALUE!</v>
      </c>
      <c r="C85" s="2" t="str">
        <f>IFERROR(__xludf.DUMMYFUNCTION("SPLIT(B85,"" "")"),"#VALUE!")</f>
        <v>#VALUE!</v>
      </c>
      <c r="E85" s="2" t="str">
        <f t="shared" si="2"/>
        <v>$ cd jnwr</v>
      </c>
      <c r="F85" s="2" t="str">
        <f>IFERROR(__xludf.DUMMYFUNCTION("SPLIT(E85,"" "")"),"$")</f>
        <v>$</v>
      </c>
      <c r="G85" s="2" t="str">
        <f>IFERROR(__xludf.DUMMYFUNCTION("""COMPUTED_VALUE"""),"cd")</f>
        <v>cd</v>
      </c>
      <c r="H85" s="2" t="str">
        <f>IFERROR(__xludf.DUMMYFUNCTION("""COMPUTED_VALUE"""),"jnwr")</f>
        <v>jnwr</v>
      </c>
      <c r="I85" s="2" t="str">
        <f t="shared" si="3"/>
        <v>#VALUE!</v>
      </c>
      <c r="J85" s="2" t="str">
        <f>IFERROR(__xludf.DUMMYFUNCTION("SPLIT(I85,"" "")"),"#VALUE!")</f>
        <v>#VALUE!</v>
      </c>
      <c r="M85" s="2" t="b">
        <f t="shared" si="4"/>
        <v>0</v>
      </c>
      <c r="N85" s="2" t="b">
        <f>IFERROR(__xludf.DUMMYFUNCTION("IF(AND(REGEXMATCH($G$4, ""cd""),M85),N84+J85)"),FALSE)</f>
        <v>0</v>
      </c>
      <c r="O85" s="2" t="str">
        <f t="shared" si="5"/>
        <v>#N/A</v>
      </c>
    </row>
    <row r="86">
      <c r="A86" s="1" t="s">
        <v>2</v>
      </c>
      <c r="B86" s="2" t="str">
        <f t="shared" si="1"/>
        <v>#VALUE!</v>
      </c>
      <c r="C86" s="2" t="str">
        <f>IFERROR(__xludf.DUMMYFUNCTION("SPLIT(B86,"" "")"),"#VALUE!")</f>
        <v>#VALUE!</v>
      </c>
      <c r="E86" s="2" t="str">
        <f t="shared" si="2"/>
        <v>#VALUE!</v>
      </c>
      <c r="F86" s="2" t="str">
        <f>IFERROR(__xludf.DUMMYFUNCTION("SPLIT(E86,"" "")"),"#VALUE!")</f>
        <v>#VALUE!</v>
      </c>
      <c r="I86" s="2" t="str">
        <f t="shared" si="3"/>
        <v>#VALUE!</v>
      </c>
      <c r="J86" s="2" t="str">
        <f>IFERROR(__xludf.DUMMYFUNCTION("SPLIT(I86,"" "")"),"#VALUE!")</f>
        <v>#VALUE!</v>
      </c>
      <c r="M86" s="2" t="b">
        <f t="shared" si="4"/>
        <v>0</v>
      </c>
      <c r="N86" s="2" t="b">
        <f>IFERROR(__xludf.DUMMYFUNCTION("IF(AND(REGEXMATCH($G$4, ""cd""),M86),N85+J86)"),FALSE)</f>
        <v>0</v>
      </c>
      <c r="O86" s="2" t="str">
        <f t="shared" si="5"/>
        <v>#N/A</v>
      </c>
    </row>
    <row r="87">
      <c r="A87" s="1" t="s">
        <v>57</v>
      </c>
      <c r="B87" s="2" t="str">
        <f t="shared" si="1"/>
        <v>#VALUE!</v>
      </c>
      <c r="C87" s="2" t="str">
        <f>IFERROR(__xludf.DUMMYFUNCTION("SPLIT(B87,"" "")"),"#VALUE!")</f>
        <v>#VALUE!</v>
      </c>
      <c r="E87" s="2" t="str">
        <f t="shared" si="2"/>
        <v>#VALUE!</v>
      </c>
      <c r="F87" s="2" t="str">
        <f>IFERROR(__xludf.DUMMYFUNCTION("SPLIT(E87,"" "")"),"#VALUE!")</f>
        <v>#VALUE!</v>
      </c>
      <c r="I87" s="2" t="str">
        <f t="shared" si="3"/>
        <v>#VALUE!</v>
      </c>
      <c r="J87" s="2" t="str">
        <f>IFERROR(__xludf.DUMMYFUNCTION("SPLIT(I87,"" "")"),"#VALUE!")</f>
        <v>#VALUE!</v>
      </c>
      <c r="M87" s="2" t="b">
        <f t="shared" si="4"/>
        <v>0</v>
      </c>
      <c r="N87" s="2" t="b">
        <f>IFERROR(__xludf.DUMMYFUNCTION("IF(AND(REGEXMATCH($G$4, ""cd""),M87),N86+J87)"),FALSE)</f>
        <v>0</v>
      </c>
      <c r="O87" s="2" t="str">
        <f t="shared" si="5"/>
        <v>#N/A</v>
      </c>
    </row>
    <row r="88">
      <c r="A88" s="1" t="s">
        <v>58</v>
      </c>
      <c r="B88" s="2" t="str">
        <f t="shared" si="1"/>
        <v>#VALUE!</v>
      </c>
      <c r="C88" s="2" t="str">
        <f>IFERROR(__xludf.DUMMYFUNCTION("SPLIT(B88,"" "")"),"#VALUE!")</f>
        <v>#VALUE!</v>
      </c>
      <c r="E88" s="2" t="str">
        <f t="shared" si="2"/>
        <v>#VALUE!</v>
      </c>
      <c r="F88" s="2" t="str">
        <f>IFERROR(__xludf.DUMMYFUNCTION("SPLIT(E88,"" "")"),"#VALUE!")</f>
        <v>#VALUE!</v>
      </c>
      <c r="I88" s="2" t="str">
        <f t="shared" si="3"/>
        <v>129135 vrt.qdt</v>
      </c>
      <c r="J88" s="2">
        <f>IFERROR(__xludf.DUMMYFUNCTION("SPLIT(I88,"" "")"),129135.0)</f>
        <v>129135</v>
      </c>
      <c r="K88" s="2" t="str">
        <f>IFERROR(__xludf.DUMMYFUNCTION("""COMPUTED_VALUE"""),"vrt.qdt")</f>
        <v>vrt.qdt</v>
      </c>
      <c r="M88" s="2" t="b">
        <f t="shared" si="4"/>
        <v>1</v>
      </c>
      <c r="N88" s="2">
        <f>IFERROR(__xludf.DUMMYFUNCTION("IF(AND(REGEXMATCH($G$4, ""cd""),M88),N87+J88)"),129135.0)</f>
        <v>129135</v>
      </c>
      <c r="O88" s="2" t="str">
        <f t="shared" si="5"/>
        <v>#N/A</v>
      </c>
    </row>
    <row r="89">
      <c r="A89" s="1" t="s">
        <v>59</v>
      </c>
      <c r="B89" s="2" t="str">
        <f t="shared" si="1"/>
        <v>#VALUE!</v>
      </c>
      <c r="C89" s="2" t="str">
        <f>IFERROR(__xludf.DUMMYFUNCTION("SPLIT(B89,"" "")"),"#VALUE!")</f>
        <v>#VALUE!</v>
      </c>
      <c r="E89" s="2" t="str">
        <f t="shared" si="2"/>
        <v>#VALUE!</v>
      </c>
      <c r="F89" s="2" t="str">
        <f>IFERROR(__xludf.DUMMYFUNCTION("SPLIT(E89,"" "")"),"#VALUE!")</f>
        <v>#VALUE!</v>
      </c>
      <c r="I89" s="2" t="str">
        <f t="shared" si="3"/>
        <v>86204 wnvm.bld</v>
      </c>
      <c r="J89" s="2">
        <f>IFERROR(__xludf.DUMMYFUNCTION("SPLIT(I89,"" "")"),86204.0)</f>
        <v>86204</v>
      </c>
      <c r="K89" s="2" t="str">
        <f>IFERROR(__xludf.DUMMYFUNCTION("""COMPUTED_VALUE"""),"wnvm.bld")</f>
        <v>wnvm.bld</v>
      </c>
      <c r="M89" s="2" t="b">
        <f t="shared" si="4"/>
        <v>1</v>
      </c>
      <c r="N89" s="2">
        <f>IFERROR(__xludf.DUMMYFUNCTION("IF(AND(REGEXMATCH($G$4, ""cd""),M89),N88+J89)"),215339.0)</f>
        <v>215339</v>
      </c>
      <c r="O89" s="2" t="str">
        <f t="shared" si="5"/>
        <v>#N/A</v>
      </c>
    </row>
    <row r="90">
      <c r="A90" s="1" t="s">
        <v>17</v>
      </c>
      <c r="B90" s="2" t="str">
        <f t="shared" si="1"/>
        <v>#VALUE!</v>
      </c>
      <c r="C90" s="2" t="str">
        <f>IFERROR(__xludf.DUMMYFUNCTION("SPLIT(B90,"" "")"),"#VALUE!")</f>
        <v>#VALUE!</v>
      </c>
      <c r="E90" s="2" t="str">
        <f t="shared" si="2"/>
        <v>$ cd ..</v>
      </c>
      <c r="F90" s="2" t="str">
        <f>IFERROR(__xludf.DUMMYFUNCTION("SPLIT(E90,"" "")"),"$")</f>
        <v>$</v>
      </c>
      <c r="G90" s="2" t="str">
        <f>IFERROR(__xludf.DUMMYFUNCTION("""COMPUTED_VALUE"""),"cd")</f>
        <v>cd</v>
      </c>
      <c r="H90" s="2" t="str">
        <f>IFERROR(__xludf.DUMMYFUNCTION("""COMPUTED_VALUE"""),"..")</f>
        <v>..</v>
      </c>
      <c r="I90" s="2" t="str">
        <f t="shared" si="3"/>
        <v>$ cd ..</v>
      </c>
      <c r="J90" s="2" t="str">
        <f>IFERROR(__xludf.DUMMYFUNCTION("SPLIT(I90,"" "")"),"$")</f>
        <v>$</v>
      </c>
      <c r="K90" s="2" t="str">
        <f>IFERROR(__xludf.DUMMYFUNCTION("""COMPUTED_VALUE"""),"cd")</f>
        <v>cd</v>
      </c>
      <c r="L90" s="2" t="str">
        <f>IFERROR(__xludf.DUMMYFUNCTION("""COMPUTED_VALUE"""),"..")</f>
        <v>..</v>
      </c>
      <c r="M90" s="2" t="b">
        <f t="shared" si="4"/>
        <v>0</v>
      </c>
      <c r="N90" s="2" t="b">
        <f>IFERROR(__xludf.DUMMYFUNCTION("IF(AND(REGEXMATCH($G$4, ""cd""),M90),N89+J90)"),FALSE)</f>
        <v>0</v>
      </c>
      <c r="O90" s="2" t="str">
        <f t="shared" si="5"/>
        <v>#N/A</v>
      </c>
    </row>
    <row r="91">
      <c r="A91" s="1" t="s">
        <v>60</v>
      </c>
      <c r="B91" s="2" t="str">
        <f t="shared" si="1"/>
        <v>#VALUE!</v>
      </c>
      <c r="C91" s="2" t="str">
        <f>IFERROR(__xludf.DUMMYFUNCTION("SPLIT(B91,"" "")"),"#VALUE!")</f>
        <v>#VALUE!</v>
      </c>
      <c r="E91" s="2" t="str">
        <f t="shared" si="2"/>
        <v>$ cd slzdbm</v>
      </c>
      <c r="F91" s="2" t="str">
        <f>IFERROR(__xludf.DUMMYFUNCTION("SPLIT(E91,"" "")"),"$")</f>
        <v>$</v>
      </c>
      <c r="G91" s="2" t="str">
        <f>IFERROR(__xludf.DUMMYFUNCTION("""COMPUTED_VALUE"""),"cd")</f>
        <v>cd</v>
      </c>
      <c r="H91" s="2" t="str">
        <f>IFERROR(__xludf.DUMMYFUNCTION("""COMPUTED_VALUE"""),"slzdbm")</f>
        <v>slzdbm</v>
      </c>
      <c r="I91" s="2" t="str">
        <f t="shared" si="3"/>
        <v>#VALUE!</v>
      </c>
      <c r="J91" s="2" t="str">
        <f>IFERROR(__xludf.DUMMYFUNCTION("SPLIT(I91,"" "")"),"#VALUE!")</f>
        <v>#VALUE!</v>
      </c>
      <c r="M91" s="2" t="b">
        <f t="shared" si="4"/>
        <v>0</v>
      </c>
      <c r="N91" s="2" t="b">
        <f>IFERROR(__xludf.DUMMYFUNCTION("IF(AND(REGEXMATCH($G$4, ""cd""),M91),N90+J91)"),FALSE)</f>
        <v>0</v>
      </c>
      <c r="O91" s="2" t="str">
        <f t="shared" si="5"/>
        <v>#N/A</v>
      </c>
    </row>
    <row r="92">
      <c r="A92" s="1" t="s">
        <v>2</v>
      </c>
      <c r="B92" s="2" t="str">
        <f t="shared" si="1"/>
        <v>#VALUE!</v>
      </c>
      <c r="C92" s="2" t="str">
        <f>IFERROR(__xludf.DUMMYFUNCTION("SPLIT(B92,"" "")"),"#VALUE!")</f>
        <v>#VALUE!</v>
      </c>
      <c r="E92" s="2" t="str">
        <f t="shared" si="2"/>
        <v>#VALUE!</v>
      </c>
      <c r="F92" s="2" t="str">
        <f>IFERROR(__xludf.DUMMYFUNCTION("SPLIT(E92,"" "")"),"#VALUE!")</f>
        <v>#VALUE!</v>
      </c>
      <c r="I92" s="2" t="str">
        <f t="shared" si="3"/>
        <v>#VALUE!</v>
      </c>
      <c r="J92" s="2" t="str">
        <f>IFERROR(__xludf.DUMMYFUNCTION("SPLIT(I92,"" "")"),"#VALUE!")</f>
        <v>#VALUE!</v>
      </c>
      <c r="M92" s="2" t="b">
        <f t="shared" si="4"/>
        <v>0</v>
      </c>
      <c r="N92" s="2" t="b">
        <f>IFERROR(__xludf.DUMMYFUNCTION("IF(AND(REGEXMATCH($G$4, ""cd""),M92),N91+J92)"),FALSE)</f>
        <v>0</v>
      </c>
      <c r="O92" s="2" t="str">
        <f t="shared" si="5"/>
        <v>#N/A</v>
      </c>
    </row>
    <row r="93">
      <c r="A93" s="1" t="s">
        <v>61</v>
      </c>
      <c r="B93" s="2" t="str">
        <f t="shared" si="1"/>
        <v>#VALUE!</v>
      </c>
      <c r="C93" s="2" t="str">
        <f>IFERROR(__xludf.DUMMYFUNCTION("SPLIT(B93,"" "")"),"#VALUE!")</f>
        <v>#VALUE!</v>
      </c>
      <c r="E93" s="2" t="str">
        <f t="shared" si="2"/>
        <v>#VALUE!</v>
      </c>
      <c r="F93" s="2" t="str">
        <f>IFERROR(__xludf.DUMMYFUNCTION("SPLIT(E93,"" "")"),"#VALUE!")</f>
        <v>#VALUE!</v>
      </c>
      <c r="I93" s="2" t="str">
        <f t="shared" si="3"/>
        <v>40915 zbdp.gqb</v>
      </c>
      <c r="J93" s="2">
        <f>IFERROR(__xludf.DUMMYFUNCTION("SPLIT(I93,"" "")"),40915.0)</f>
        <v>40915</v>
      </c>
      <c r="K93" s="2" t="str">
        <f>IFERROR(__xludf.DUMMYFUNCTION("""COMPUTED_VALUE"""),"zbdp.gqb")</f>
        <v>zbdp.gqb</v>
      </c>
      <c r="M93" s="2" t="b">
        <f t="shared" si="4"/>
        <v>1</v>
      </c>
      <c r="N93" s="2">
        <f>IFERROR(__xludf.DUMMYFUNCTION("IF(AND(REGEXMATCH($G$4, ""cd""),M93),N92+J93)"),40915.0)</f>
        <v>40915</v>
      </c>
      <c r="O93" s="2" t="str">
        <f t="shared" si="5"/>
        <v>#N/A</v>
      </c>
    </row>
    <row r="94">
      <c r="A94" s="1" t="s">
        <v>62</v>
      </c>
      <c r="B94" s="2" t="str">
        <f t="shared" si="1"/>
        <v>#VALUE!</v>
      </c>
      <c r="C94" s="2" t="str">
        <f>IFERROR(__xludf.DUMMYFUNCTION("SPLIT(B94,"" "")"),"#VALUE!")</f>
        <v>#VALUE!</v>
      </c>
      <c r="E94" s="2" t="str">
        <f t="shared" si="2"/>
        <v>#VALUE!</v>
      </c>
      <c r="F94" s="2" t="str">
        <f>IFERROR(__xludf.DUMMYFUNCTION("SPLIT(E94,"" "")"),"#VALUE!")</f>
        <v>#VALUE!</v>
      </c>
      <c r="I94" s="2" t="str">
        <f t="shared" si="3"/>
        <v>120991 zsvffwlt.rbp</v>
      </c>
      <c r="J94" s="2">
        <f>IFERROR(__xludf.DUMMYFUNCTION("SPLIT(I94,"" "")"),120991.0)</f>
        <v>120991</v>
      </c>
      <c r="K94" s="2" t="str">
        <f>IFERROR(__xludf.DUMMYFUNCTION("""COMPUTED_VALUE"""),"zsvffwlt.rbp")</f>
        <v>zsvffwlt.rbp</v>
      </c>
      <c r="M94" s="2" t="b">
        <f t="shared" si="4"/>
        <v>1</v>
      </c>
      <c r="N94" s="2">
        <f>IFERROR(__xludf.DUMMYFUNCTION("IF(AND(REGEXMATCH($G$4, ""cd""),M94),N93+J94)"),161906.0)</f>
        <v>161906</v>
      </c>
      <c r="O94" s="2" t="str">
        <f t="shared" si="5"/>
        <v>#N/A</v>
      </c>
    </row>
    <row r="95">
      <c r="A95" s="1" t="s">
        <v>17</v>
      </c>
      <c r="B95" s="2" t="str">
        <f t="shared" si="1"/>
        <v>#VALUE!</v>
      </c>
      <c r="C95" s="2" t="str">
        <f>IFERROR(__xludf.DUMMYFUNCTION("SPLIT(B95,"" "")"),"#VALUE!")</f>
        <v>#VALUE!</v>
      </c>
      <c r="E95" s="2" t="str">
        <f t="shared" si="2"/>
        <v>$ cd ..</v>
      </c>
      <c r="F95" s="2" t="str">
        <f>IFERROR(__xludf.DUMMYFUNCTION("SPLIT(E95,"" "")"),"$")</f>
        <v>$</v>
      </c>
      <c r="G95" s="2" t="str">
        <f>IFERROR(__xludf.DUMMYFUNCTION("""COMPUTED_VALUE"""),"cd")</f>
        <v>cd</v>
      </c>
      <c r="H95" s="2" t="str">
        <f>IFERROR(__xludf.DUMMYFUNCTION("""COMPUTED_VALUE"""),"..")</f>
        <v>..</v>
      </c>
      <c r="I95" s="2" t="str">
        <f t="shared" si="3"/>
        <v>$ cd ..</v>
      </c>
      <c r="J95" s="2" t="str">
        <f>IFERROR(__xludf.DUMMYFUNCTION("SPLIT(I95,"" "")"),"$")</f>
        <v>$</v>
      </c>
      <c r="K95" s="2" t="str">
        <f>IFERROR(__xludf.DUMMYFUNCTION("""COMPUTED_VALUE"""),"cd")</f>
        <v>cd</v>
      </c>
      <c r="L95" s="2" t="str">
        <f>IFERROR(__xludf.DUMMYFUNCTION("""COMPUTED_VALUE"""),"..")</f>
        <v>..</v>
      </c>
      <c r="M95" s="2" t="b">
        <f t="shared" si="4"/>
        <v>0</v>
      </c>
      <c r="N95" s="2" t="b">
        <f>IFERROR(__xludf.DUMMYFUNCTION("IF(AND(REGEXMATCH($G$4, ""cd""),M95),N94+J95)"),FALSE)</f>
        <v>0</v>
      </c>
      <c r="O95" s="2" t="str">
        <f t="shared" si="5"/>
        <v>#N/A</v>
      </c>
    </row>
    <row r="96">
      <c r="A96" s="1" t="s">
        <v>63</v>
      </c>
      <c r="B96" s="2" t="str">
        <f t="shared" si="1"/>
        <v>#VALUE!</v>
      </c>
      <c r="C96" s="2" t="str">
        <f>IFERROR(__xludf.DUMMYFUNCTION("SPLIT(B96,"" "")"),"#VALUE!")</f>
        <v>#VALUE!</v>
      </c>
      <c r="E96" s="2" t="str">
        <f t="shared" si="2"/>
        <v>$ cd zcgrgff</v>
      </c>
      <c r="F96" s="2" t="str">
        <f>IFERROR(__xludf.DUMMYFUNCTION("SPLIT(E96,"" "")"),"$")</f>
        <v>$</v>
      </c>
      <c r="G96" s="2" t="str">
        <f>IFERROR(__xludf.DUMMYFUNCTION("""COMPUTED_VALUE"""),"cd")</f>
        <v>cd</v>
      </c>
      <c r="H96" s="2" t="str">
        <f>IFERROR(__xludf.DUMMYFUNCTION("""COMPUTED_VALUE"""),"zcgrgff")</f>
        <v>zcgrgff</v>
      </c>
      <c r="I96" s="2" t="str">
        <f t="shared" si="3"/>
        <v>#VALUE!</v>
      </c>
      <c r="J96" s="2" t="str">
        <f>IFERROR(__xludf.DUMMYFUNCTION("SPLIT(I96,"" "")"),"#VALUE!")</f>
        <v>#VALUE!</v>
      </c>
      <c r="M96" s="2" t="b">
        <f t="shared" si="4"/>
        <v>0</v>
      </c>
      <c r="N96" s="2" t="b">
        <f>IFERROR(__xludf.DUMMYFUNCTION("IF(AND(REGEXMATCH($G$4, ""cd""),M96),N95+J96)"),FALSE)</f>
        <v>0</v>
      </c>
      <c r="O96" s="2" t="str">
        <f t="shared" si="5"/>
        <v>#N/A</v>
      </c>
    </row>
    <row r="97">
      <c r="A97" s="1" t="s">
        <v>2</v>
      </c>
      <c r="B97" s="2" t="str">
        <f t="shared" si="1"/>
        <v>#VALUE!</v>
      </c>
      <c r="C97" s="2" t="str">
        <f>IFERROR(__xludf.DUMMYFUNCTION("SPLIT(B97,"" "")"),"#VALUE!")</f>
        <v>#VALUE!</v>
      </c>
      <c r="E97" s="2" t="str">
        <f t="shared" si="2"/>
        <v>#VALUE!</v>
      </c>
      <c r="F97" s="2" t="str">
        <f>IFERROR(__xludf.DUMMYFUNCTION("SPLIT(E97,"" "")"),"#VALUE!")</f>
        <v>#VALUE!</v>
      </c>
      <c r="I97" s="2" t="str">
        <f t="shared" si="3"/>
        <v>#VALUE!</v>
      </c>
      <c r="J97" s="2" t="str">
        <f>IFERROR(__xludf.DUMMYFUNCTION("SPLIT(I97,"" "")"),"#VALUE!")</f>
        <v>#VALUE!</v>
      </c>
      <c r="M97" s="2" t="b">
        <f t="shared" si="4"/>
        <v>0</v>
      </c>
      <c r="N97" s="2" t="b">
        <f>IFERROR(__xludf.DUMMYFUNCTION("IF(AND(REGEXMATCH($G$4, ""cd""),M97),N96+J97)"),FALSE)</f>
        <v>0</v>
      </c>
      <c r="O97" s="2" t="str">
        <f t="shared" si="5"/>
        <v>#N/A</v>
      </c>
    </row>
    <row r="98">
      <c r="A98" s="1" t="s">
        <v>64</v>
      </c>
      <c r="B98" s="2" t="str">
        <f t="shared" si="1"/>
        <v>#VALUE!</v>
      </c>
      <c r="C98" s="2" t="str">
        <f>IFERROR(__xludf.DUMMYFUNCTION("SPLIT(B98,"" "")"),"#VALUE!")</f>
        <v>#VALUE!</v>
      </c>
      <c r="E98" s="2" t="str">
        <f t="shared" si="2"/>
        <v>#VALUE!</v>
      </c>
      <c r="F98" s="2" t="str">
        <f>IFERROR(__xludf.DUMMYFUNCTION("SPLIT(E98,"" "")"),"#VALUE!")</f>
        <v>#VALUE!</v>
      </c>
      <c r="I98" s="2" t="str">
        <f t="shared" si="3"/>
        <v>94614 jnwr.mqm</v>
      </c>
      <c r="J98" s="2">
        <f>IFERROR(__xludf.DUMMYFUNCTION("SPLIT(I98,"" "")"),94614.0)</f>
        <v>94614</v>
      </c>
      <c r="K98" s="2" t="str">
        <f>IFERROR(__xludf.DUMMYFUNCTION("""COMPUTED_VALUE"""),"jnwr.mqm")</f>
        <v>jnwr.mqm</v>
      </c>
      <c r="M98" s="2" t="b">
        <f t="shared" si="4"/>
        <v>1</v>
      </c>
      <c r="N98" s="2">
        <f>IFERROR(__xludf.DUMMYFUNCTION("IF(AND(REGEXMATCH($G$4, ""cd""),M98),N97+J98)"),94614.0)</f>
        <v>94614</v>
      </c>
      <c r="O98" s="2" t="str">
        <f t="shared" si="5"/>
        <v>#N/A</v>
      </c>
    </row>
    <row r="99">
      <c r="A99" s="1" t="s">
        <v>65</v>
      </c>
      <c r="B99" s="2" t="str">
        <f t="shared" si="1"/>
        <v>#VALUE!</v>
      </c>
      <c r="C99" s="2" t="str">
        <f>IFERROR(__xludf.DUMMYFUNCTION("SPLIT(B99,"" "")"),"#VALUE!")</f>
        <v>#VALUE!</v>
      </c>
      <c r="E99" s="2" t="str">
        <f t="shared" si="2"/>
        <v>#VALUE!</v>
      </c>
      <c r="F99" s="2" t="str">
        <f>IFERROR(__xludf.DUMMYFUNCTION("SPLIT(E99,"" "")"),"#VALUE!")</f>
        <v>#VALUE!</v>
      </c>
      <c r="I99" s="2" t="str">
        <f t="shared" si="3"/>
        <v>191626 zbdp.gqb</v>
      </c>
      <c r="J99" s="2">
        <f>IFERROR(__xludf.DUMMYFUNCTION("SPLIT(I99,"" "")"),191626.0)</f>
        <v>191626</v>
      </c>
      <c r="K99" s="2" t="str">
        <f>IFERROR(__xludf.DUMMYFUNCTION("""COMPUTED_VALUE"""),"zbdp.gqb")</f>
        <v>zbdp.gqb</v>
      </c>
      <c r="M99" s="2" t="b">
        <f t="shared" si="4"/>
        <v>1</v>
      </c>
      <c r="N99" s="2">
        <f>IFERROR(__xludf.DUMMYFUNCTION("IF(AND(REGEXMATCH($G$4, ""cd""),M99),N98+J99)"),286240.0)</f>
        <v>286240</v>
      </c>
      <c r="O99" s="2" t="str">
        <f t="shared" si="5"/>
        <v>#N/A</v>
      </c>
    </row>
    <row r="100">
      <c r="A100" s="1" t="s">
        <v>66</v>
      </c>
      <c r="B100" s="2" t="str">
        <f t="shared" si="1"/>
        <v>dir ztrslh</v>
      </c>
      <c r="C100" s="2" t="str">
        <f>IFERROR(__xludf.DUMMYFUNCTION("SPLIT(B100,"" "")"),"dir")</f>
        <v>dir</v>
      </c>
      <c r="D100" s="2" t="str">
        <f>IFERROR(__xludf.DUMMYFUNCTION("""COMPUTED_VALUE"""),"ztrslh")</f>
        <v>ztrslh</v>
      </c>
      <c r="E100" s="2" t="str">
        <f t="shared" si="2"/>
        <v>#VALUE!</v>
      </c>
      <c r="F100" s="2" t="str">
        <f>IFERROR(__xludf.DUMMYFUNCTION("SPLIT(E100,"" "")"),"#VALUE!")</f>
        <v>#VALUE!</v>
      </c>
      <c r="I100" s="2" t="str">
        <f t="shared" si="3"/>
        <v>#VALUE!</v>
      </c>
      <c r="J100" s="2" t="str">
        <f>IFERROR(__xludf.DUMMYFUNCTION("SPLIT(I100,"" "")"),"#VALUE!")</f>
        <v>#VALUE!</v>
      </c>
      <c r="M100" s="2" t="b">
        <f t="shared" si="4"/>
        <v>0</v>
      </c>
      <c r="N100" s="2" t="b">
        <f>IFERROR(__xludf.DUMMYFUNCTION("IF(AND(REGEXMATCH($G$4, ""cd""),M100),N99+J100)"),FALSE)</f>
        <v>0</v>
      </c>
      <c r="O100" s="2" t="str">
        <f t="shared" si="5"/>
        <v>#N/A</v>
      </c>
    </row>
    <row r="101">
      <c r="A101" s="1" t="s">
        <v>67</v>
      </c>
      <c r="B101" s="2" t="str">
        <f t="shared" si="1"/>
        <v>#VALUE!</v>
      </c>
      <c r="C101" s="2" t="str">
        <f>IFERROR(__xludf.DUMMYFUNCTION("SPLIT(B101,"" "")"),"#VALUE!")</f>
        <v>#VALUE!</v>
      </c>
      <c r="E101" s="2" t="str">
        <f t="shared" si="2"/>
        <v>$ cd ztrslh</v>
      </c>
      <c r="F101" s="2" t="str">
        <f>IFERROR(__xludf.DUMMYFUNCTION("SPLIT(E101,"" "")"),"$")</f>
        <v>$</v>
      </c>
      <c r="G101" s="2" t="str">
        <f>IFERROR(__xludf.DUMMYFUNCTION("""COMPUTED_VALUE"""),"cd")</f>
        <v>cd</v>
      </c>
      <c r="H101" s="2" t="str">
        <f>IFERROR(__xludf.DUMMYFUNCTION("""COMPUTED_VALUE"""),"ztrslh")</f>
        <v>ztrslh</v>
      </c>
      <c r="I101" s="2" t="str">
        <f t="shared" si="3"/>
        <v>#VALUE!</v>
      </c>
      <c r="J101" s="2" t="str">
        <f>IFERROR(__xludf.DUMMYFUNCTION("SPLIT(I101,"" "")"),"#VALUE!")</f>
        <v>#VALUE!</v>
      </c>
      <c r="M101" s="2" t="b">
        <f t="shared" si="4"/>
        <v>0</v>
      </c>
      <c r="N101" s="2" t="b">
        <f>IFERROR(__xludf.DUMMYFUNCTION("IF(AND(REGEXMATCH($G$4, ""cd""),M101),N100+J101)"),FALSE)</f>
        <v>0</v>
      </c>
      <c r="O101" s="2" t="str">
        <f t="shared" si="5"/>
        <v>#N/A</v>
      </c>
    </row>
    <row r="102">
      <c r="A102" s="1" t="s">
        <v>2</v>
      </c>
      <c r="B102" s="2" t="str">
        <f t="shared" si="1"/>
        <v>#VALUE!</v>
      </c>
      <c r="C102" s="2" t="str">
        <f>IFERROR(__xludf.DUMMYFUNCTION("SPLIT(B102,"" "")"),"#VALUE!")</f>
        <v>#VALUE!</v>
      </c>
      <c r="E102" s="2" t="str">
        <f t="shared" si="2"/>
        <v>#VALUE!</v>
      </c>
      <c r="F102" s="2" t="str">
        <f>IFERROR(__xludf.DUMMYFUNCTION("SPLIT(E102,"" "")"),"#VALUE!")</f>
        <v>#VALUE!</v>
      </c>
      <c r="I102" s="2" t="str">
        <f t="shared" si="3"/>
        <v>#VALUE!</v>
      </c>
      <c r="J102" s="2" t="str">
        <f>IFERROR(__xludf.DUMMYFUNCTION("SPLIT(I102,"" "")"),"#VALUE!")</f>
        <v>#VALUE!</v>
      </c>
      <c r="M102" s="2" t="b">
        <f t="shared" si="4"/>
        <v>0</v>
      </c>
      <c r="N102" s="2" t="b">
        <f>IFERROR(__xludf.DUMMYFUNCTION("IF(AND(REGEXMATCH($G$4, ""cd""),M102),N101+J102)"),FALSE)</f>
        <v>0</v>
      </c>
      <c r="O102" s="2" t="str">
        <f t="shared" si="5"/>
        <v>#N/A</v>
      </c>
    </row>
    <row r="103">
      <c r="A103" s="1" t="s">
        <v>68</v>
      </c>
      <c r="B103" s="2" t="str">
        <f t="shared" si="1"/>
        <v>dir bhzn</v>
      </c>
      <c r="C103" s="2" t="str">
        <f>IFERROR(__xludf.DUMMYFUNCTION("SPLIT(B103,"" "")"),"dir")</f>
        <v>dir</v>
      </c>
      <c r="D103" s="2" t="str">
        <f>IFERROR(__xludf.DUMMYFUNCTION("""COMPUTED_VALUE"""),"bhzn")</f>
        <v>bhzn</v>
      </c>
      <c r="E103" s="2" t="str">
        <f t="shared" si="2"/>
        <v>#VALUE!</v>
      </c>
      <c r="F103" s="2" t="str">
        <f>IFERROR(__xludf.DUMMYFUNCTION("SPLIT(E103,"" "")"),"#VALUE!")</f>
        <v>#VALUE!</v>
      </c>
      <c r="I103" s="2" t="str">
        <f t="shared" si="3"/>
        <v>#VALUE!</v>
      </c>
      <c r="J103" s="2" t="str">
        <f>IFERROR(__xludf.DUMMYFUNCTION("SPLIT(I103,"" "")"),"#VALUE!")</f>
        <v>#VALUE!</v>
      </c>
      <c r="M103" s="2" t="b">
        <f t="shared" si="4"/>
        <v>0</v>
      </c>
      <c r="N103" s="2" t="b">
        <f>IFERROR(__xludf.DUMMYFUNCTION("IF(AND(REGEXMATCH($G$4, ""cd""),M103),N102+J103)"),FALSE)</f>
        <v>0</v>
      </c>
      <c r="O103" s="2" t="str">
        <f t="shared" si="5"/>
        <v>#N/A</v>
      </c>
    </row>
    <row r="104">
      <c r="A104" s="1" t="s">
        <v>69</v>
      </c>
      <c r="B104" s="2" t="str">
        <f t="shared" si="1"/>
        <v>#VALUE!</v>
      </c>
      <c r="C104" s="2" t="str">
        <f>IFERROR(__xludf.DUMMYFUNCTION("SPLIT(B104,"" "")"),"#VALUE!")</f>
        <v>#VALUE!</v>
      </c>
      <c r="E104" s="2" t="str">
        <f t="shared" si="2"/>
        <v>#VALUE!</v>
      </c>
      <c r="F104" s="2" t="str">
        <f>IFERROR(__xludf.DUMMYFUNCTION("SPLIT(E104,"" "")"),"#VALUE!")</f>
        <v>#VALUE!</v>
      </c>
      <c r="I104" s="2" t="str">
        <f t="shared" si="3"/>
        <v>201167 dvcjtzvs.rvd</v>
      </c>
      <c r="J104" s="2">
        <f>IFERROR(__xludf.DUMMYFUNCTION("SPLIT(I104,"" "")"),201167.0)</f>
        <v>201167</v>
      </c>
      <c r="K104" s="2" t="str">
        <f>IFERROR(__xludf.DUMMYFUNCTION("""COMPUTED_VALUE"""),"dvcjtzvs.rvd")</f>
        <v>dvcjtzvs.rvd</v>
      </c>
      <c r="M104" s="2" t="b">
        <f t="shared" si="4"/>
        <v>1</v>
      </c>
      <c r="N104" s="2">
        <f>IFERROR(__xludf.DUMMYFUNCTION("IF(AND(REGEXMATCH($G$4, ""cd""),M104),N103+J104)"),201167.0)</f>
        <v>201167</v>
      </c>
      <c r="O104" s="2" t="str">
        <f t="shared" si="5"/>
        <v>#N/A</v>
      </c>
    </row>
    <row r="105">
      <c r="A105" s="1" t="s">
        <v>39</v>
      </c>
      <c r="B105" s="2" t="str">
        <f t="shared" si="1"/>
        <v>dir slzdbm</v>
      </c>
      <c r="C105" s="2" t="str">
        <f>IFERROR(__xludf.DUMMYFUNCTION("SPLIT(B105,"" "")"),"dir")</f>
        <v>dir</v>
      </c>
      <c r="D105" s="2" t="str">
        <f>IFERROR(__xludf.DUMMYFUNCTION("""COMPUTED_VALUE"""),"slzdbm")</f>
        <v>slzdbm</v>
      </c>
      <c r="E105" s="2" t="str">
        <f t="shared" si="2"/>
        <v>#VALUE!</v>
      </c>
      <c r="F105" s="2" t="str">
        <f>IFERROR(__xludf.DUMMYFUNCTION("SPLIT(E105,"" "")"),"#VALUE!")</f>
        <v>#VALUE!</v>
      </c>
      <c r="I105" s="2" t="str">
        <f t="shared" si="3"/>
        <v>#VALUE!</v>
      </c>
      <c r="J105" s="2" t="str">
        <f>IFERROR(__xludf.DUMMYFUNCTION("SPLIT(I105,"" "")"),"#VALUE!")</f>
        <v>#VALUE!</v>
      </c>
      <c r="M105" s="2" t="b">
        <f t="shared" si="4"/>
        <v>0</v>
      </c>
      <c r="N105" s="2" t="b">
        <f>IFERROR(__xludf.DUMMYFUNCTION("IF(AND(REGEXMATCH($G$4, ""cd""),M105),N104+J105)"),FALSE)</f>
        <v>0</v>
      </c>
      <c r="O105" s="2" t="str">
        <f t="shared" si="5"/>
        <v>#N/A</v>
      </c>
    </row>
    <row r="106">
      <c r="A106" s="1" t="s">
        <v>70</v>
      </c>
      <c r="B106" s="2" t="str">
        <f t="shared" si="1"/>
        <v>dir szrth</v>
      </c>
      <c r="C106" s="2" t="str">
        <f>IFERROR(__xludf.DUMMYFUNCTION("SPLIT(B106,"" "")"),"dir")</f>
        <v>dir</v>
      </c>
      <c r="D106" s="2" t="str">
        <f>IFERROR(__xludf.DUMMYFUNCTION("""COMPUTED_VALUE"""),"szrth")</f>
        <v>szrth</v>
      </c>
      <c r="E106" s="2" t="str">
        <f t="shared" si="2"/>
        <v>#VALUE!</v>
      </c>
      <c r="F106" s="2" t="str">
        <f>IFERROR(__xludf.DUMMYFUNCTION("SPLIT(E106,"" "")"),"#VALUE!")</f>
        <v>#VALUE!</v>
      </c>
      <c r="I106" s="2" t="str">
        <f t="shared" si="3"/>
        <v>#VALUE!</v>
      </c>
      <c r="J106" s="2" t="str">
        <f>IFERROR(__xludf.DUMMYFUNCTION("SPLIT(I106,"" "")"),"#VALUE!")</f>
        <v>#VALUE!</v>
      </c>
      <c r="M106" s="2" t="b">
        <f t="shared" si="4"/>
        <v>0</v>
      </c>
      <c r="N106" s="2" t="b">
        <f>IFERROR(__xludf.DUMMYFUNCTION("IF(AND(REGEXMATCH($G$4, ""cd""),M106),N105+J106)"),FALSE)</f>
        <v>0</v>
      </c>
      <c r="O106" s="2" t="str">
        <f t="shared" si="5"/>
        <v>#N/A</v>
      </c>
    </row>
    <row r="107">
      <c r="A107" s="1" t="s">
        <v>71</v>
      </c>
      <c r="B107" s="2" t="str">
        <f t="shared" si="1"/>
        <v>dir zcp</v>
      </c>
      <c r="C107" s="2" t="str">
        <f>IFERROR(__xludf.DUMMYFUNCTION("SPLIT(B107,"" "")"),"dir")</f>
        <v>dir</v>
      </c>
      <c r="D107" s="2" t="str">
        <f>IFERROR(__xludf.DUMMYFUNCTION("""COMPUTED_VALUE"""),"zcp")</f>
        <v>zcp</v>
      </c>
      <c r="E107" s="2" t="str">
        <f t="shared" si="2"/>
        <v>#VALUE!</v>
      </c>
      <c r="F107" s="2" t="str">
        <f>IFERROR(__xludf.DUMMYFUNCTION("SPLIT(E107,"" "")"),"#VALUE!")</f>
        <v>#VALUE!</v>
      </c>
      <c r="I107" s="2" t="str">
        <f t="shared" si="3"/>
        <v>#VALUE!</v>
      </c>
      <c r="J107" s="2" t="str">
        <f>IFERROR(__xludf.DUMMYFUNCTION("SPLIT(I107,"" "")"),"#VALUE!")</f>
        <v>#VALUE!</v>
      </c>
      <c r="M107" s="2" t="b">
        <f t="shared" si="4"/>
        <v>0</v>
      </c>
      <c r="N107" s="2" t="b">
        <f>IFERROR(__xludf.DUMMYFUNCTION("IF(AND(REGEXMATCH($G$4, ""cd""),M107),N106+J107)"),FALSE)</f>
        <v>0</v>
      </c>
      <c r="O107" s="2" t="str">
        <f t="shared" si="5"/>
        <v>#N/A</v>
      </c>
    </row>
    <row r="108">
      <c r="A108" s="1" t="s">
        <v>72</v>
      </c>
      <c r="B108" s="2" t="str">
        <f t="shared" si="1"/>
        <v>#VALUE!</v>
      </c>
      <c r="C108" s="2" t="str">
        <f>IFERROR(__xludf.DUMMYFUNCTION("SPLIT(B108,"" "")"),"#VALUE!")</f>
        <v>#VALUE!</v>
      </c>
      <c r="E108" s="2" t="str">
        <f t="shared" si="2"/>
        <v>$ cd bhzn</v>
      </c>
      <c r="F108" s="2" t="str">
        <f>IFERROR(__xludf.DUMMYFUNCTION("SPLIT(E108,"" "")"),"$")</f>
        <v>$</v>
      </c>
      <c r="G108" s="2" t="str">
        <f>IFERROR(__xludf.DUMMYFUNCTION("""COMPUTED_VALUE"""),"cd")</f>
        <v>cd</v>
      </c>
      <c r="H108" s="2" t="str">
        <f>IFERROR(__xludf.DUMMYFUNCTION("""COMPUTED_VALUE"""),"bhzn")</f>
        <v>bhzn</v>
      </c>
      <c r="I108" s="2" t="str">
        <f t="shared" si="3"/>
        <v>#VALUE!</v>
      </c>
      <c r="J108" s="2" t="str">
        <f>IFERROR(__xludf.DUMMYFUNCTION("SPLIT(I108,"" "")"),"#VALUE!")</f>
        <v>#VALUE!</v>
      </c>
      <c r="M108" s="2" t="b">
        <f t="shared" si="4"/>
        <v>0</v>
      </c>
      <c r="N108" s="2" t="b">
        <f>IFERROR(__xludf.DUMMYFUNCTION("IF(AND(REGEXMATCH($G$4, ""cd""),M108),N107+J108)"),FALSE)</f>
        <v>0</v>
      </c>
      <c r="O108" s="2" t="str">
        <f t="shared" si="5"/>
        <v>#N/A</v>
      </c>
    </row>
    <row r="109">
      <c r="A109" s="1" t="s">
        <v>2</v>
      </c>
      <c r="B109" s="2" t="str">
        <f t="shared" si="1"/>
        <v>#VALUE!</v>
      </c>
      <c r="C109" s="2" t="str">
        <f>IFERROR(__xludf.DUMMYFUNCTION("SPLIT(B109,"" "")"),"#VALUE!")</f>
        <v>#VALUE!</v>
      </c>
      <c r="E109" s="2" t="str">
        <f t="shared" si="2"/>
        <v>#VALUE!</v>
      </c>
      <c r="F109" s="2" t="str">
        <f>IFERROR(__xludf.DUMMYFUNCTION("SPLIT(E109,"" "")"),"#VALUE!")</f>
        <v>#VALUE!</v>
      </c>
      <c r="I109" s="2" t="str">
        <f t="shared" si="3"/>
        <v>#VALUE!</v>
      </c>
      <c r="J109" s="2" t="str">
        <f>IFERROR(__xludf.DUMMYFUNCTION("SPLIT(I109,"" "")"),"#VALUE!")</f>
        <v>#VALUE!</v>
      </c>
      <c r="M109" s="2" t="b">
        <f t="shared" si="4"/>
        <v>0</v>
      </c>
      <c r="N109" s="2" t="b">
        <f>IFERROR(__xludf.DUMMYFUNCTION("IF(AND(REGEXMATCH($G$4, ""cd""),M109),N108+J109)"),FALSE)</f>
        <v>0</v>
      </c>
      <c r="O109" s="2" t="str">
        <f t="shared" si="5"/>
        <v>#N/A</v>
      </c>
    </row>
    <row r="110">
      <c r="A110" s="1" t="s">
        <v>73</v>
      </c>
      <c r="B110" s="2" t="str">
        <f t="shared" si="1"/>
        <v>#VALUE!</v>
      </c>
      <c r="C110" s="2" t="str">
        <f>IFERROR(__xludf.DUMMYFUNCTION("SPLIT(B110,"" "")"),"#VALUE!")</f>
        <v>#VALUE!</v>
      </c>
      <c r="E110" s="2" t="str">
        <f t="shared" si="2"/>
        <v>#VALUE!</v>
      </c>
      <c r="F110" s="2" t="str">
        <f>IFERROR(__xludf.DUMMYFUNCTION("SPLIT(E110,"" "")"),"#VALUE!")</f>
        <v>#VALUE!</v>
      </c>
      <c r="I110" s="2" t="str">
        <f t="shared" si="3"/>
        <v>#VALUE!</v>
      </c>
      <c r="J110" s="2" t="str">
        <f>IFERROR(__xludf.DUMMYFUNCTION("SPLIT(I110,"" "")"),"#VALUE!")</f>
        <v>#VALUE!</v>
      </c>
      <c r="M110" s="2" t="b">
        <f t="shared" si="4"/>
        <v>0</v>
      </c>
      <c r="N110" s="2" t="b">
        <f>IFERROR(__xludf.DUMMYFUNCTION("IF(AND(REGEXMATCH($G$4, ""cd""),M110),N109+J110)"),FALSE)</f>
        <v>0</v>
      </c>
      <c r="O110" s="2" t="str">
        <f t="shared" si="5"/>
        <v>#N/A</v>
      </c>
    </row>
    <row r="111">
      <c r="A111" s="1" t="s">
        <v>74</v>
      </c>
      <c r="B111" s="2" t="str">
        <f t="shared" si="1"/>
        <v>#VALUE!</v>
      </c>
      <c r="C111" s="2" t="str">
        <f>IFERROR(__xludf.DUMMYFUNCTION("SPLIT(B111,"" "")"),"#VALUE!")</f>
        <v>#VALUE!</v>
      </c>
      <c r="E111" s="2" t="str">
        <f t="shared" si="2"/>
        <v>#VALUE!</v>
      </c>
      <c r="F111" s="2" t="str">
        <f>IFERROR(__xludf.DUMMYFUNCTION("SPLIT(E111,"" "")"),"#VALUE!")</f>
        <v>#VALUE!</v>
      </c>
      <c r="I111" s="2" t="str">
        <f t="shared" si="3"/>
        <v>102090 zbdp.gqb</v>
      </c>
      <c r="J111" s="2">
        <f>IFERROR(__xludf.DUMMYFUNCTION("SPLIT(I111,"" "")"),102090.0)</f>
        <v>102090</v>
      </c>
      <c r="K111" s="2" t="str">
        <f>IFERROR(__xludf.DUMMYFUNCTION("""COMPUTED_VALUE"""),"zbdp.gqb")</f>
        <v>zbdp.gqb</v>
      </c>
      <c r="M111" s="2" t="b">
        <f t="shared" si="4"/>
        <v>1</v>
      </c>
      <c r="N111" s="2">
        <f>IFERROR(__xludf.DUMMYFUNCTION("IF(AND(REGEXMATCH($G$4, ""cd""),M111),N110+J111)"),102090.0)</f>
        <v>102090</v>
      </c>
      <c r="O111" s="2" t="str">
        <f t="shared" si="5"/>
        <v>#N/A</v>
      </c>
    </row>
    <row r="112">
      <c r="A112" s="1" t="s">
        <v>17</v>
      </c>
      <c r="B112" s="2" t="str">
        <f t="shared" si="1"/>
        <v>#VALUE!</v>
      </c>
      <c r="C112" s="2" t="str">
        <f>IFERROR(__xludf.DUMMYFUNCTION("SPLIT(B112,"" "")"),"#VALUE!")</f>
        <v>#VALUE!</v>
      </c>
      <c r="E112" s="2" t="str">
        <f t="shared" si="2"/>
        <v>$ cd ..</v>
      </c>
      <c r="F112" s="2" t="str">
        <f>IFERROR(__xludf.DUMMYFUNCTION("SPLIT(E112,"" "")"),"$")</f>
        <v>$</v>
      </c>
      <c r="G112" s="2" t="str">
        <f>IFERROR(__xludf.DUMMYFUNCTION("""COMPUTED_VALUE"""),"cd")</f>
        <v>cd</v>
      </c>
      <c r="H112" s="2" t="str">
        <f>IFERROR(__xludf.DUMMYFUNCTION("""COMPUTED_VALUE"""),"..")</f>
        <v>..</v>
      </c>
      <c r="I112" s="2" t="str">
        <f t="shared" si="3"/>
        <v>$ cd ..</v>
      </c>
      <c r="J112" s="2" t="str">
        <f>IFERROR(__xludf.DUMMYFUNCTION("SPLIT(I112,"" "")"),"$")</f>
        <v>$</v>
      </c>
      <c r="K112" s="2" t="str">
        <f>IFERROR(__xludf.DUMMYFUNCTION("""COMPUTED_VALUE"""),"cd")</f>
        <v>cd</v>
      </c>
      <c r="L112" s="2" t="str">
        <f>IFERROR(__xludf.DUMMYFUNCTION("""COMPUTED_VALUE"""),"..")</f>
        <v>..</v>
      </c>
      <c r="M112" s="2" t="b">
        <f t="shared" si="4"/>
        <v>0</v>
      </c>
      <c r="N112" s="2" t="b">
        <f>IFERROR(__xludf.DUMMYFUNCTION("IF(AND(REGEXMATCH($G$4, ""cd""),M112),N111+J112)"),FALSE)</f>
        <v>0</v>
      </c>
      <c r="O112" s="2" t="str">
        <f t="shared" si="5"/>
        <v>#N/A</v>
      </c>
    </row>
    <row r="113">
      <c r="A113" s="1" t="s">
        <v>60</v>
      </c>
      <c r="B113" s="2" t="str">
        <f t="shared" si="1"/>
        <v>#VALUE!</v>
      </c>
      <c r="C113" s="2" t="str">
        <f>IFERROR(__xludf.DUMMYFUNCTION("SPLIT(B113,"" "")"),"#VALUE!")</f>
        <v>#VALUE!</v>
      </c>
      <c r="E113" s="2" t="str">
        <f t="shared" si="2"/>
        <v>$ cd slzdbm</v>
      </c>
      <c r="F113" s="2" t="str">
        <f>IFERROR(__xludf.DUMMYFUNCTION("SPLIT(E113,"" "")"),"$")</f>
        <v>$</v>
      </c>
      <c r="G113" s="2" t="str">
        <f>IFERROR(__xludf.DUMMYFUNCTION("""COMPUTED_VALUE"""),"cd")</f>
        <v>cd</v>
      </c>
      <c r="H113" s="2" t="str">
        <f>IFERROR(__xludf.DUMMYFUNCTION("""COMPUTED_VALUE"""),"slzdbm")</f>
        <v>slzdbm</v>
      </c>
      <c r="I113" s="2" t="str">
        <f t="shared" si="3"/>
        <v>#VALUE!</v>
      </c>
      <c r="J113" s="2" t="str">
        <f>IFERROR(__xludf.DUMMYFUNCTION("SPLIT(I113,"" "")"),"#VALUE!")</f>
        <v>#VALUE!</v>
      </c>
      <c r="M113" s="2" t="b">
        <f t="shared" si="4"/>
        <v>0</v>
      </c>
      <c r="N113" s="2" t="b">
        <f>IFERROR(__xludf.DUMMYFUNCTION("IF(AND(REGEXMATCH($G$4, ""cd""),M113),N112+J113)"),FALSE)</f>
        <v>0</v>
      </c>
      <c r="O113" s="2" t="str">
        <f t="shared" si="5"/>
        <v>#N/A</v>
      </c>
    </row>
    <row r="114">
      <c r="A114" s="1" t="s">
        <v>2</v>
      </c>
      <c r="B114" s="2" t="str">
        <f t="shared" si="1"/>
        <v>#VALUE!</v>
      </c>
      <c r="C114" s="2" t="str">
        <f>IFERROR(__xludf.DUMMYFUNCTION("SPLIT(B114,"" "")"),"#VALUE!")</f>
        <v>#VALUE!</v>
      </c>
      <c r="E114" s="2" t="str">
        <f t="shared" si="2"/>
        <v>#VALUE!</v>
      </c>
      <c r="F114" s="2" t="str">
        <f>IFERROR(__xludf.DUMMYFUNCTION("SPLIT(E114,"" "")"),"#VALUE!")</f>
        <v>#VALUE!</v>
      </c>
      <c r="I114" s="2" t="str">
        <f t="shared" si="3"/>
        <v>#VALUE!</v>
      </c>
      <c r="J114" s="2" t="str">
        <f>IFERROR(__xludf.DUMMYFUNCTION("SPLIT(I114,"" "")"),"#VALUE!")</f>
        <v>#VALUE!</v>
      </c>
      <c r="M114" s="2" t="b">
        <f t="shared" si="4"/>
        <v>0</v>
      </c>
      <c r="N114" s="2" t="b">
        <f>IFERROR(__xludf.DUMMYFUNCTION("IF(AND(REGEXMATCH($G$4, ""cd""),M114),N113+J114)"),FALSE)</f>
        <v>0</v>
      </c>
      <c r="O114" s="2" t="str">
        <f t="shared" si="5"/>
        <v>#N/A</v>
      </c>
    </row>
    <row r="115">
      <c r="A115" s="1" t="s">
        <v>75</v>
      </c>
      <c r="B115" s="2" t="str">
        <f t="shared" si="1"/>
        <v>#VALUE!</v>
      </c>
      <c r="C115" s="2" t="str">
        <f>IFERROR(__xludf.DUMMYFUNCTION("SPLIT(B115,"" "")"),"#VALUE!")</f>
        <v>#VALUE!</v>
      </c>
      <c r="E115" s="2" t="str">
        <f t="shared" si="2"/>
        <v>#VALUE!</v>
      </c>
      <c r="F115" s="2" t="str">
        <f>IFERROR(__xludf.DUMMYFUNCTION("SPLIT(E115,"" "")"),"#VALUE!")</f>
        <v>#VALUE!</v>
      </c>
      <c r="I115" s="2" t="str">
        <f t="shared" si="3"/>
        <v>#VALUE!</v>
      </c>
      <c r="J115" s="2" t="str">
        <f>IFERROR(__xludf.DUMMYFUNCTION("SPLIT(I115,"" "")"),"#VALUE!")</f>
        <v>#VALUE!</v>
      </c>
      <c r="M115" s="2" t="b">
        <f t="shared" si="4"/>
        <v>0</v>
      </c>
      <c r="N115" s="2" t="b">
        <f>IFERROR(__xludf.DUMMYFUNCTION("IF(AND(REGEXMATCH($G$4, ""cd""),M115),N114+J115)"),FALSE)</f>
        <v>0</v>
      </c>
      <c r="O115" s="2" t="str">
        <f t="shared" si="5"/>
        <v>#N/A</v>
      </c>
    </row>
    <row r="116">
      <c r="A116" s="1" t="s">
        <v>17</v>
      </c>
      <c r="B116" s="2" t="str">
        <f t="shared" si="1"/>
        <v>#VALUE!</v>
      </c>
      <c r="C116" s="2" t="str">
        <f>IFERROR(__xludf.DUMMYFUNCTION("SPLIT(B116,"" "")"),"#VALUE!")</f>
        <v>#VALUE!</v>
      </c>
      <c r="E116" s="2" t="str">
        <f t="shared" si="2"/>
        <v>$ cd ..</v>
      </c>
      <c r="F116" s="2" t="str">
        <f>IFERROR(__xludf.DUMMYFUNCTION("SPLIT(E116,"" "")"),"$")</f>
        <v>$</v>
      </c>
      <c r="G116" s="2" t="str">
        <f>IFERROR(__xludf.DUMMYFUNCTION("""COMPUTED_VALUE"""),"cd")</f>
        <v>cd</v>
      </c>
      <c r="H116" s="2" t="str">
        <f>IFERROR(__xludf.DUMMYFUNCTION("""COMPUTED_VALUE"""),"..")</f>
        <v>..</v>
      </c>
      <c r="I116" s="2" t="str">
        <f t="shared" si="3"/>
        <v>$ cd ..</v>
      </c>
      <c r="J116" s="2" t="str">
        <f>IFERROR(__xludf.DUMMYFUNCTION("SPLIT(I116,"" "")"),"$")</f>
        <v>$</v>
      </c>
      <c r="K116" s="2" t="str">
        <f>IFERROR(__xludf.DUMMYFUNCTION("""COMPUTED_VALUE"""),"cd")</f>
        <v>cd</v>
      </c>
      <c r="L116" s="2" t="str">
        <f>IFERROR(__xludf.DUMMYFUNCTION("""COMPUTED_VALUE"""),"..")</f>
        <v>..</v>
      </c>
      <c r="M116" s="2" t="b">
        <f t="shared" si="4"/>
        <v>0</v>
      </c>
      <c r="N116" s="2" t="b">
        <f>IFERROR(__xludf.DUMMYFUNCTION("IF(AND(REGEXMATCH($G$4, ""cd""),M116),N115+J116)"),FALSE)</f>
        <v>0</v>
      </c>
      <c r="O116" s="2" t="str">
        <f t="shared" si="5"/>
        <v>#N/A</v>
      </c>
    </row>
    <row r="117">
      <c r="A117" s="1" t="s">
        <v>76</v>
      </c>
      <c r="B117" s="2" t="str">
        <f t="shared" si="1"/>
        <v>#VALUE!</v>
      </c>
      <c r="C117" s="2" t="str">
        <f>IFERROR(__xludf.DUMMYFUNCTION("SPLIT(B117,"" "")"),"#VALUE!")</f>
        <v>#VALUE!</v>
      </c>
      <c r="E117" s="2" t="str">
        <f t="shared" si="2"/>
        <v>$ cd szrth</v>
      </c>
      <c r="F117" s="2" t="str">
        <f>IFERROR(__xludf.DUMMYFUNCTION("SPLIT(E117,"" "")"),"$")</f>
        <v>$</v>
      </c>
      <c r="G117" s="2" t="str">
        <f>IFERROR(__xludf.DUMMYFUNCTION("""COMPUTED_VALUE"""),"cd")</f>
        <v>cd</v>
      </c>
      <c r="H117" s="2" t="str">
        <f>IFERROR(__xludf.DUMMYFUNCTION("""COMPUTED_VALUE"""),"szrth")</f>
        <v>szrth</v>
      </c>
      <c r="I117" s="2" t="str">
        <f t="shared" si="3"/>
        <v>#VALUE!</v>
      </c>
      <c r="J117" s="2" t="str">
        <f>IFERROR(__xludf.DUMMYFUNCTION("SPLIT(I117,"" "")"),"#VALUE!")</f>
        <v>#VALUE!</v>
      </c>
      <c r="M117" s="2" t="b">
        <f t="shared" si="4"/>
        <v>0</v>
      </c>
      <c r="N117" s="2" t="b">
        <f>IFERROR(__xludf.DUMMYFUNCTION("IF(AND(REGEXMATCH($G$4, ""cd""),M117),N116+J117)"),FALSE)</f>
        <v>0</v>
      </c>
      <c r="O117" s="2" t="str">
        <f t="shared" si="5"/>
        <v>#N/A</v>
      </c>
    </row>
    <row r="118">
      <c r="A118" s="1" t="s">
        <v>2</v>
      </c>
      <c r="B118" s="2" t="str">
        <f t="shared" si="1"/>
        <v>#VALUE!</v>
      </c>
      <c r="C118" s="2" t="str">
        <f>IFERROR(__xludf.DUMMYFUNCTION("SPLIT(B118,"" "")"),"#VALUE!")</f>
        <v>#VALUE!</v>
      </c>
      <c r="E118" s="2" t="str">
        <f t="shared" si="2"/>
        <v>#VALUE!</v>
      </c>
      <c r="F118" s="2" t="str">
        <f>IFERROR(__xludf.DUMMYFUNCTION("SPLIT(E118,"" "")"),"#VALUE!")</f>
        <v>#VALUE!</v>
      </c>
      <c r="I118" s="2" t="str">
        <f t="shared" si="3"/>
        <v>#VALUE!</v>
      </c>
      <c r="J118" s="2" t="str">
        <f>IFERROR(__xludf.DUMMYFUNCTION("SPLIT(I118,"" "")"),"#VALUE!")</f>
        <v>#VALUE!</v>
      </c>
      <c r="M118" s="2" t="b">
        <f t="shared" si="4"/>
        <v>0</v>
      </c>
      <c r="N118" s="2" t="b">
        <f>IFERROR(__xludf.DUMMYFUNCTION("IF(AND(REGEXMATCH($G$4, ""cd""),M118),N117+J118)"),FALSE)</f>
        <v>0</v>
      </c>
      <c r="O118" s="2" t="str">
        <f t="shared" si="5"/>
        <v>#N/A</v>
      </c>
    </row>
    <row r="119">
      <c r="A119" s="1" t="s">
        <v>77</v>
      </c>
      <c r="B119" s="2" t="str">
        <f t="shared" si="1"/>
        <v>dir hpbbsq</v>
      </c>
      <c r="C119" s="2" t="str">
        <f>IFERROR(__xludf.DUMMYFUNCTION("SPLIT(B119,"" "")"),"dir")</f>
        <v>dir</v>
      </c>
      <c r="D119" s="2" t="str">
        <f>IFERROR(__xludf.DUMMYFUNCTION("""COMPUTED_VALUE"""),"hpbbsq")</f>
        <v>hpbbsq</v>
      </c>
      <c r="E119" s="2" t="str">
        <f t="shared" si="2"/>
        <v>#VALUE!</v>
      </c>
      <c r="F119" s="2" t="str">
        <f>IFERROR(__xludf.DUMMYFUNCTION("SPLIT(E119,"" "")"),"#VALUE!")</f>
        <v>#VALUE!</v>
      </c>
      <c r="I119" s="2" t="str">
        <f t="shared" si="3"/>
        <v>#VALUE!</v>
      </c>
      <c r="J119" s="2" t="str">
        <f>IFERROR(__xludf.DUMMYFUNCTION("SPLIT(I119,"" "")"),"#VALUE!")</f>
        <v>#VALUE!</v>
      </c>
      <c r="M119" s="2" t="b">
        <f t="shared" si="4"/>
        <v>0</v>
      </c>
      <c r="N119" s="2" t="b">
        <f>IFERROR(__xludf.DUMMYFUNCTION("IF(AND(REGEXMATCH($G$4, ""cd""),M119),N118+J119)"),FALSE)</f>
        <v>0</v>
      </c>
      <c r="O119" s="2" t="str">
        <f t="shared" si="5"/>
        <v>#N/A</v>
      </c>
    </row>
    <row r="120">
      <c r="A120" s="1" t="s">
        <v>78</v>
      </c>
      <c r="B120" s="2" t="str">
        <f t="shared" si="1"/>
        <v>dir vlwlsdjp</v>
      </c>
      <c r="C120" s="2" t="str">
        <f>IFERROR(__xludf.DUMMYFUNCTION("SPLIT(B120,"" "")"),"dir")</f>
        <v>dir</v>
      </c>
      <c r="D120" s="2" t="str">
        <f>IFERROR(__xludf.DUMMYFUNCTION("""COMPUTED_VALUE"""),"vlwlsdjp")</f>
        <v>vlwlsdjp</v>
      </c>
      <c r="E120" s="2" t="str">
        <f t="shared" si="2"/>
        <v>#VALUE!</v>
      </c>
      <c r="F120" s="2" t="str">
        <f>IFERROR(__xludf.DUMMYFUNCTION("SPLIT(E120,"" "")"),"#VALUE!")</f>
        <v>#VALUE!</v>
      </c>
      <c r="I120" s="2" t="str">
        <f t="shared" si="3"/>
        <v>#VALUE!</v>
      </c>
      <c r="J120" s="2" t="str">
        <f>IFERROR(__xludf.DUMMYFUNCTION("SPLIT(I120,"" "")"),"#VALUE!")</f>
        <v>#VALUE!</v>
      </c>
      <c r="M120" s="2" t="b">
        <f t="shared" si="4"/>
        <v>0</v>
      </c>
      <c r="N120" s="2" t="b">
        <f>IFERROR(__xludf.DUMMYFUNCTION("IF(AND(REGEXMATCH($G$4, ""cd""),M120),N119+J120)"),FALSE)</f>
        <v>0</v>
      </c>
      <c r="O120" s="2" t="str">
        <f t="shared" si="5"/>
        <v>#N/A</v>
      </c>
    </row>
    <row r="121">
      <c r="A121" s="1" t="s">
        <v>46</v>
      </c>
      <c r="B121" s="2" t="str">
        <f t="shared" si="1"/>
        <v>dir zcgrgff</v>
      </c>
      <c r="C121" s="2" t="str">
        <f>IFERROR(__xludf.DUMMYFUNCTION("SPLIT(B121,"" "")"),"dir")</f>
        <v>dir</v>
      </c>
      <c r="D121" s="2" t="str">
        <f>IFERROR(__xludf.DUMMYFUNCTION("""COMPUTED_VALUE"""),"zcgrgff")</f>
        <v>zcgrgff</v>
      </c>
      <c r="E121" s="2" t="str">
        <f t="shared" si="2"/>
        <v>#VALUE!</v>
      </c>
      <c r="F121" s="2" t="str">
        <f>IFERROR(__xludf.DUMMYFUNCTION("SPLIT(E121,"" "")"),"#VALUE!")</f>
        <v>#VALUE!</v>
      </c>
      <c r="I121" s="2" t="str">
        <f t="shared" si="3"/>
        <v>#VALUE!</v>
      </c>
      <c r="J121" s="2" t="str">
        <f>IFERROR(__xludf.DUMMYFUNCTION("SPLIT(I121,"" "")"),"#VALUE!")</f>
        <v>#VALUE!</v>
      </c>
      <c r="M121" s="2" t="b">
        <f t="shared" si="4"/>
        <v>0</v>
      </c>
      <c r="N121" s="2" t="b">
        <f>IFERROR(__xludf.DUMMYFUNCTION("IF(AND(REGEXMATCH($G$4, ""cd""),M121),N120+J121)"),FALSE)</f>
        <v>0</v>
      </c>
      <c r="O121" s="2" t="str">
        <f t="shared" si="5"/>
        <v>#N/A</v>
      </c>
    </row>
    <row r="122">
      <c r="A122" s="1" t="s">
        <v>79</v>
      </c>
      <c r="B122" s="2" t="str">
        <f t="shared" si="1"/>
        <v>#VALUE!</v>
      </c>
      <c r="C122" s="2" t="str">
        <f>IFERROR(__xludf.DUMMYFUNCTION("SPLIT(B122,"" "")"),"#VALUE!")</f>
        <v>#VALUE!</v>
      </c>
      <c r="E122" s="2" t="str">
        <f t="shared" si="2"/>
        <v>$ cd hpbbsq</v>
      </c>
      <c r="F122" s="2" t="str">
        <f>IFERROR(__xludf.DUMMYFUNCTION("SPLIT(E122,"" "")"),"$")</f>
        <v>$</v>
      </c>
      <c r="G122" s="2" t="str">
        <f>IFERROR(__xludf.DUMMYFUNCTION("""COMPUTED_VALUE"""),"cd")</f>
        <v>cd</v>
      </c>
      <c r="H122" s="2" t="str">
        <f>IFERROR(__xludf.DUMMYFUNCTION("""COMPUTED_VALUE"""),"hpbbsq")</f>
        <v>hpbbsq</v>
      </c>
      <c r="I122" s="2" t="str">
        <f t="shared" si="3"/>
        <v>#VALUE!</v>
      </c>
      <c r="J122" s="2" t="str">
        <f>IFERROR(__xludf.DUMMYFUNCTION("SPLIT(I122,"" "")"),"#VALUE!")</f>
        <v>#VALUE!</v>
      </c>
      <c r="M122" s="2" t="b">
        <f t="shared" si="4"/>
        <v>0</v>
      </c>
      <c r="N122" s="2" t="b">
        <f>IFERROR(__xludf.DUMMYFUNCTION("IF(AND(REGEXMATCH($G$4, ""cd""),M122),N121+J122)"),FALSE)</f>
        <v>0</v>
      </c>
      <c r="O122" s="2" t="str">
        <f t="shared" si="5"/>
        <v>#N/A</v>
      </c>
    </row>
    <row r="123">
      <c r="A123" s="1" t="s">
        <v>2</v>
      </c>
      <c r="B123" s="2" t="str">
        <f t="shared" si="1"/>
        <v>#VALUE!</v>
      </c>
      <c r="C123" s="2" t="str">
        <f>IFERROR(__xludf.DUMMYFUNCTION("SPLIT(B123,"" "")"),"#VALUE!")</f>
        <v>#VALUE!</v>
      </c>
      <c r="E123" s="2" t="str">
        <f t="shared" si="2"/>
        <v>#VALUE!</v>
      </c>
      <c r="F123" s="2" t="str">
        <f>IFERROR(__xludf.DUMMYFUNCTION("SPLIT(E123,"" "")"),"#VALUE!")</f>
        <v>#VALUE!</v>
      </c>
      <c r="I123" s="2" t="str">
        <f t="shared" si="3"/>
        <v>#VALUE!</v>
      </c>
      <c r="J123" s="2" t="str">
        <f>IFERROR(__xludf.DUMMYFUNCTION("SPLIT(I123,"" "")"),"#VALUE!")</f>
        <v>#VALUE!</v>
      </c>
      <c r="M123" s="2" t="b">
        <f t="shared" si="4"/>
        <v>0</v>
      </c>
      <c r="N123" s="2" t="b">
        <f>IFERROR(__xludf.DUMMYFUNCTION("IF(AND(REGEXMATCH($G$4, ""cd""),M123),N122+J123)"),FALSE)</f>
        <v>0</v>
      </c>
      <c r="O123" s="2" t="str">
        <f t="shared" si="5"/>
        <v>#N/A</v>
      </c>
    </row>
    <row r="124">
      <c r="A124" s="1" t="s">
        <v>80</v>
      </c>
      <c r="B124" s="2" t="str">
        <f t="shared" si="1"/>
        <v>#VALUE!</v>
      </c>
      <c r="C124" s="2" t="str">
        <f>IFERROR(__xludf.DUMMYFUNCTION("SPLIT(B124,"" "")"),"#VALUE!")</f>
        <v>#VALUE!</v>
      </c>
      <c r="E124" s="2" t="str">
        <f t="shared" si="2"/>
        <v>#VALUE!</v>
      </c>
      <c r="F124" s="2" t="str">
        <f>IFERROR(__xludf.DUMMYFUNCTION("SPLIT(E124,"" "")"),"#VALUE!")</f>
        <v>#VALUE!</v>
      </c>
      <c r="I124" s="2" t="str">
        <f t="shared" si="3"/>
        <v>151717 qsdhff.jsv</v>
      </c>
      <c r="J124" s="2">
        <f>IFERROR(__xludf.DUMMYFUNCTION("SPLIT(I124,"" "")"),151717.0)</f>
        <v>151717</v>
      </c>
      <c r="K124" s="2" t="str">
        <f>IFERROR(__xludf.DUMMYFUNCTION("""COMPUTED_VALUE"""),"qsdhff.jsv")</f>
        <v>qsdhff.jsv</v>
      </c>
      <c r="M124" s="2" t="b">
        <f t="shared" si="4"/>
        <v>1</v>
      </c>
      <c r="N124" s="2">
        <f>IFERROR(__xludf.DUMMYFUNCTION("IF(AND(REGEXMATCH($G$4, ""cd""),M124),N123+J124)"),151717.0)</f>
        <v>151717</v>
      </c>
      <c r="O124" s="2" t="str">
        <f t="shared" si="5"/>
        <v>#N/A</v>
      </c>
    </row>
    <row r="125">
      <c r="A125" s="1" t="s">
        <v>17</v>
      </c>
      <c r="B125" s="2" t="str">
        <f t="shared" si="1"/>
        <v>#VALUE!</v>
      </c>
      <c r="C125" s="2" t="str">
        <f>IFERROR(__xludf.DUMMYFUNCTION("SPLIT(B125,"" "")"),"#VALUE!")</f>
        <v>#VALUE!</v>
      </c>
      <c r="E125" s="2" t="str">
        <f t="shared" si="2"/>
        <v>$ cd ..</v>
      </c>
      <c r="F125" s="2" t="str">
        <f>IFERROR(__xludf.DUMMYFUNCTION("SPLIT(E125,"" "")"),"$")</f>
        <v>$</v>
      </c>
      <c r="G125" s="2" t="str">
        <f>IFERROR(__xludf.DUMMYFUNCTION("""COMPUTED_VALUE"""),"cd")</f>
        <v>cd</v>
      </c>
      <c r="H125" s="2" t="str">
        <f>IFERROR(__xludf.DUMMYFUNCTION("""COMPUTED_VALUE"""),"..")</f>
        <v>..</v>
      </c>
      <c r="I125" s="2" t="str">
        <f t="shared" si="3"/>
        <v>$ cd ..</v>
      </c>
      <c r="J125" s="2" t="str">
        <f>IFERROR(__xludf.DUMMYFUNCTION("SPLIT(I125,"" "")"),"$")</f>
        <v>$</v>
      </c>
      <c r="K125" s="2" t="str">
        <f>IFERROR(__xludf.DUMMYFUNCTION("""COMPUTED_VALUE"""),"cd")</f>
        <v>cd</v>
      </c>
      <c r="L125" s="2" t="str">
        <f>IFERROR(__xludf.DUMMYFUNCTION("""COMPUTED_VALUE"""),"..")</f>
        <v>..</v>
      </c>
      <c r="M125" s="2" t="b">
        <f t="shared" si="4"/>
        <v>0</v>
      </c>
      <c r="N125" s="2" t="b">
        <f>IFERROR(__xludf.DUMMYFUNCTION("IF(AND(REGEXMATCH($G$4, ""cd""),M125),N124+J125)"),FALSE)</f>
        <v>0</v>
      </c>
      <c r="O125" s="2" t="str">
        <f t="shared" si="5"/>
        <v>#N/A</v>
      </c>
    </row>
    <row r="126">
      <c r="A126" s="1" t="s">
        <v>81</v>
      </c>
      <c r="B126" s="2" t="str">
        <f t="shared" si="1"/>
        <v>#VALUE!</v>
      </c>
      <c r="C126" s="2" t="str">
        <f>IFERROR(__xludf.DUMMYFUNCTION("SPLIT(B126,"" "")"),"#VALUE!")</f>
        <v>#VALUE!</v>
      </c>
      <c r="E126" s="2" t="str">
        <f t="shared" si="2"/>
        <v>$ cd vlwlsdjp</v>
      </c>
      <c r="F126" s="2" t="str">
        <f>IFERROR(__xludf.DUMMYFUNCTION("SPLIT(E126,"" "")"),"$")</f>
        <v>$</v>
      </c>
      <c r="G126" s="2" t="str">
        <f>IFERROR(__xludf.DUMMYFUNCTION("""COMPUTED_VALUE"""),"cd")</f>
        <v>cd</v>
      </c>
      <c r="H126" s="2" t="str">
        <f>IFERROR(__xludf.DUMMYFUNCTION("""COMPUTED_VALUE"""),"vlwlsdjp")</f>
        <v>vlwlsdjp</v>
      </c>
      <c r="I126" s="2" t="str">
        <f t="shared" si="3"/>
        <v>#VALUE!</v>
      </c>
      <c r="J126" s="2" t="str">
        <f>IFERROR(__xludf.DUMMYFUNCTION("SPLIT(I126,"" "")"),"#VALUE!")</f>
        <v>#VALUE!</v>
      </c>
      <c r="M126" s="2" t="b">
        <f t="shared" si="4"/>
        <v>0</v>
      </c>
      <c r="N126" s="2" t="b">
        <f>IFERROR(__xludf.DUMMYFUNCTION("IF(AND(REGEXMATCH($G$4, ""cd""),M126),N125+J126)"),FALSE)</f>
        <v>0</v>
      </c>
      <c r="O126" s="2" t="str">
        <f t="shared" si="5"/>
        <v>#N/A</v>
      </c>
    </row>
    <row r="127">
      <c r="A127" s="1" t="s">
        <v>2</v>
      </c>
      <c r="B127" s="2" t="str">
        <f t="shared" si="1"/>
        <v>#VALUE!</v>
      </c>
      <c r="C127" s="2" t="str">
        <f>IFERROR(__xludf.DUMMYFUNCTION("SPLIT(B127,"" "")"),"#VALUE!")</f>
        <v>#VALUE!</v>
      </c>
      <c r="E127" s="2" t="str">
        <f t="shared" si="2"/>
        <v>#VALUE!</v>
      </c>
      <c r="F127" s="2" t="str">
        <f>IFERROR(__xludf.DUMMYFUNCTION("SPLIT(E127,"" "")"),"#VALUE!")</f>
        <v>#VALUE!</v>
      </c>
      <c r="I127" s="2" t="str">
        <f t="shared" si="3"/>
        <v>#VALUE!</v>
      </c>
      <c r="J127" s="2" t="str">
        <f>IFERROR(__xludf.DUMMYFUNCTION("SPLIT(I127,"" "")"),"#VALUE!")</f>
        <v>#VALUE!</v>
      </c>
      <c r="M127" s="2" t="b">
        <f t="shared" si="4"/>
        <v>0</v>
      </c>
      <c r="N127" s="2" t="b">
        <f>IFERROR(__xludf.DUMMYFUNCTION("IF(AND(REGEXMATCH($G$4, ""cd""),M127),N126+J127)"),FALSE)</f>
        <v>0</v>
      </c>
      <c r="O127" s="2" t="str">
        <f t="shared" si="5"/>
        <v>#N/A</v>
      </c>
    </row>
    <row r="128">
      <c r="A128" s="1" t="s">
        <v>82</v>
      </c>
      <c r="B128" s="2" t="str">
        <f t="shared" si="1"/>
        <v>#VALUE!</v>
      </c>
      <c r="C128" s="2" t="str">
        <f>IFERROR(__xludf.DUMMYFUNCTION("SPLIT(B128,"" "")"),"#VALUE!")</f>
        <v>#VALUE!</v>
      </c>
      <c r="E128" s="2" t="str">
        <f t="shared" si="2"/>
        <v>#VALUE!</v>
      </c>
      <c r="F128" s="2" t="str">
        <f>IFERROR(__xludf.DUMMYFUNCTION("SPLIT(E128,"" "")"),"#VALUE!")</f>
        <v>#VALUE!</v>
      </c>
      <c r="I128" s="2" t="str">
        <f t="shared" si="3"/>
        <v>15049 glpdjtq.mwm</v>
      </c>
      <c r="J128" s="2">
        <f>IFERROR(__xludf.DUMMYFUNCTION("SPLIT(I128,"" "")"),15049.0)</f>
        <v>15049</v>
      </c>
      <c r="K128" s="2" t="str">
        <f>IFERROR(__xludf.DUMMYFUNCTION("""COMPUTED_VALUE"""),"glpdjtq.mwm")</f>
        <v>glpdjtq.mwm</v>
      </c>
      <c r="M128" s="2" t="b">
        <f t="shared" si="4"/>
        <v>1</v>
      </c>
      <c r="N128" s="2">
        <f>IFERROR(__xludf.DUMMYFUNCTION("IF(AND(REGEXMATCH($G$4, ""cd""),M128),N127+J128)"),15049.0)</f>
        <v>15049</v>
      </c>
      <c r="O128" s="2" t="str">
        <f t="shared" si="5"/>
        <v>#N/A</v>
      </c>
    </row>
    <row r="129">
      <c r="A129" s="1" t="s">
        <v>83</v>
      </c>
      <c r="B129" s="2" t="str">
        <f t="shared" si="1"/>
        <v>#VALUE!</v>
      </c>
      <c r="C129" s="2" t="str">
        <f>IFERROR(__xludf.DUMMYFUNCTION("SPLIT(B129,"" "")"),"#VALUE!")</f>
        <v>#VALUE!</v>
      </c>
      <c r="E129" s="2" t="str">
        <f t="shared" si="2"/>
        <v>#VALUE!</v>
      </c>
      <c r="F129" s="2" t="str">
        <f>IFERROR(__xludf.DUMMYFUNCTION("SPLIT(E129,"" "")"),"#VALUE!")</f>
        <v>#VALUE!</v>
      </c>
      <c r="I129" s="2" t="str">
        <f t="shared" si="3"/>
        <v>302526 jnwr.tds</v>
      </c>
      <c r="J129" s="2">
        <f>IFERROR(__xludf.DUMMYFUNCTION("SPLIT(I129,"" "")"),302526.0)</f>
        <v>302526</v>
      </c>
      <c r="K129" s="2" t="str">
        <f>IFERROR(__xludf.DUMMYFUNCTION("""COMPUTED_VALUE"""),"jnwr.tds")</f>
        <v>jnwr.tds</v>
      </c>
      <c r="M129" s="2" t="b">
        <f t="shared" si="4"/>
        <v>1</v>
      </c>
      <c r="N129" s="2">
        <f>IFERROR(__xludf.DUMMYFUNCTION("IF(AND(REGEXMATCH($G$4, ""cd""),M129),N128+J129)"),317575.0)</f>
        <v>317575</v>
      </c>
      <c r="O129" s="2" t="str">
        <f t="shared" si="5"/>
        <v>#N/A</v>
      </c>
    </row>
    <row r="130">
      <c r="A130" s="1" t="s">
        <v>84</v>
      </c>
      <c r="B130" s="2" t="str">
        <f t="shared" si="1"/>
        <v>#VALUE!</v>
      </c>
      <c r="C130" s="2" t="str">
        <f>IFERROR(__xludf.DUMMYFUNCTION("SPLIT(B130,"" "")"),"#VALUE!")</f>
        <v>#VALUE!</v>
      </c>
      <c r="E130" s="2" t="str">
        <f t="shared" si="2"/>
        <v>#VALUE!</v>
      </c>
      <c r="F130" s="2" t="str">
        <f>IFERROR(__xludf.DUMMYFUNCTION("SPLIT(E130,"" "")"),"#VALUE!")</f>
        <v>#VALUE!</v>
      </c>
      <c r="I130" s="2" t="str">
        <f t="shared" si="3"/>
        <v>#VALUE!</v>
      </c>
      <c r="J130" s="2" t="str">
        <f>IFERROR(__xludf.DUMMYFUNCTION("SPLIT(I130,"" "")"),"#VALUE!")</f>
        <v>#VALUE!</v>
      </c>
      <c r="M130" s="2" t="b">
        <f t="shared" si="4"/>
        <v>0</v>
      </c>
      <c r="N130" s="2" t="b">
        <f>IFERROR(__xludf.DUMMYFUNCTION("IF(AND(REGEXMATCH($G$4, ""cd""),M130),N129+J130)"),FALSE)</f>
        <v>0</v>
      </c>
      <c r="O130" s="2" t="str">
        <f t="shared" si="5"/>
        <v>#N/A</v>
      </c>
    </row>
    <row r="131">
      <c r="A131" s="1" t="s">
        <v>85</v>
      </c>
      <c r="B131" s="2" t="str">
        <f t="shared" si="1"/>
        <v>#VALUE!</v>
      </c>
      <c r="C131" s="2" t="str">
        <f>IFERROR(__xludf.DUMMYFUNCTION("SPLIT(B131,"" "")"),"#VALUE!")</f>
        <v>#VALUE!</v>
      </c>
      <c r="E131" s="2" t="str">
        <f t="shared" si="2"/>
        <v>#VALUE!</v>
      </c>
      <c r="F131" s="2" t="str">
        <f>IFERROR(__xludf.DUMMYFUNCTION("SPLIT(E131,"" "")"),"#VALUE!")</f>
        <v>#VALUE!</v>
      </c>
      <c r="I131" s="2" t="str">
        <f t="shared" si="3"/>
        <v>#VALUE!</v>
      </c>
      <c r="J131" s="2" t="str">
        <f>IFERROR(__xludf.DUMMYFUNCTION("SPLIT(I131,"" "")"),"#VALUE!")</f>
        <v>#VALUE!</v>
      </c>
      <c r="M131" s="2" t="b">
        <f t="shared" si="4"/>
        <v>0</v>
      </c>
      <c r="N131" s="2" t="b">
        <f>IFERROR(__xludf.DUMMYFUNCTION("IF(AND(REGEXMATCH($G$4, ""cd""),M131),N130+J131)"),FALSE)</f>
        <v>0</v>
      </c>
      <c r="O131" s="2" t="str">
        <f t="shared" si="5"/>
        <v>#N/A</v>
      </c>
    </row>
    <row r="132">
      <c r="A132" s="1" t="s">
        <v>17</v>
      </c>
      <c r="B132" s="2" t="str">
        <f t="shared" si="1"/>
        <v>#VALUE!</v>
      </c>
      <c r="C132" s="2" t="str">
        <f>IFERROR(__xludf.DUMMYFUNCTION("SPLIT(B132,"" "")"),"#VALUE!")</f>
        <v>#VALUE!</v>
      </c>
      <c r="E132" s="2" t="str">
        <f t="shared" si="2"/>
        <v>$ cd ..</v>
      </c>
      <c r="F132" s="2" t="str">
        <f>IFERROR(__xludf.DUMMYFUNCTION("SPLIT(E132,"" "")"),"$")</f>
        <v>$</v>
      </c>
      <c r="G132" s="2" t="str">
        <f>IFERROR(__xludf.DUMMYFUNCTION("""COMPUTED_VALUE"""),"cd")</f>
        <v>cd</v>
      </c>
      <c r="H132" s="2" t="str">
        <f>IFERROR(__xludf.DUMMYFUNCTION("""COMPUTED_VALUE"""),"..")</f>
        <v>..</v>
      </c>
      <c r="I132" s="2" t="str">
        <f t="shared" si="3"/>
        <v>$ cd ..</v>
      </c>
      <c r="J132" s="2" t="str">
        <f>IFERROR(__xludf.DUMMYFUNCTION("SPLIT(I132,"" "")"),"$")</f>
        <v>$</v>
      </c>
      <c r="K132" s="2" t="str">
        <f>IFERROR(__xludf.DUMMYFUNCTION("""COMPUTED_VALUE"""),"cd")</f>
        <v>cd</v>
      </c>
      <c r="L132" s="2" t="str">
        <f>IFERROR(__xludf.DUMMYFUNCTION("""COMPUTED_VALUE"""),"..")</f>
        <v>..</v>
      </c>
      <c r="M132" s="2" t="b">
        <f t="shared" si="4"/>
        <v>0</v>
      </c>
      <c r="N132" s="2" t="b">
        <f>IFERROR(__xludf.DUMMYFUNCTION("IF(AND(REGEXMATCH($G$4, ""cd""),M132),N131+J132)"),FALSE)</f>
        <v>0</v>
      </c>
      <c r="O132" s="2" t="str">
        <f t="shared" si="5"/>
        <v>#N/A</v>
      </c>
    </row>
    <row r="133">
      <c r="A133" s="1" t="s">
        <v>63</v>
      </c>
      <c r="B133" s="2" t="str">
        <f t="shared" si="1"/>
        <v>#VALUE!</v>
      </c>
      <c r="C133" s="2" t="str">
        <f>IFERROR(__xludf.DUMMYFUNCTION("SPLIT(B133,"" "")"),"#VALUE!")</f>
        <v>#VALUE!</v>
      </c>
      <c r="E133" s="2" t="str">
        <f t="shared" si="2"/>
        <v>$ cd zcgrgff</v>
      </c>
      <c r="F133" s="2" t="str">
        <f>IFERROR(__xludf.DUMMYFUNCTION("SPLIT(E133,"" "")"),"$")</f>
        <v>$</v>
      </c>
      <c r="G133" s="2" t="str">
        <f>IFERROR(__xludf.DUMMYFUNCTION("""COMPUTED_VALUE"""),"cd")</f>
        <v>cd</v>
      </c>
      <c r="H133" s="2" t="str">
        <f>IFERROR(__xludf.DUMMYFUNCTION("""COMPUTED_VALUE"""),"zcgrgff")</f>
        <v>zcgrgff</v>
      </c>
      <c r="I133" s="2" t="str">
        <f t="shared" si="3"/>
        <v>#VALUE!</v>
      </c>
      <c r="J133" s="2" t="str">
        <f>IFERROR(__xludf.DUMMYFUNCTION("SPLIT(I133,"" "")"),"#VALUE!")</f>
        <v>#VALUE!</v>
      </c>
      <c r="M133" s="2" t="b">
        <f t="shared" si="4"/>
        <v>0</v>
      </c>
      <c r="N133" s="2" t="b">
        <f>IFERROR(__xludf.DUMMYFUNCTION("IF(AND(REGEXMATCH($G$4, ""cd""),M133),N132+J133)"),FALSE)</f>
        <v>0</v>
      </c>
      <c r="O133" s="2" t="str">
        <f t="shared" si="5"/>
        <v>#N/A</v>
      </c>
    </row>
    <row r="134">
      <c r="A134" s="1" t="s">
        <v>2</v>
      </c>
      <c r="B134" s="2" t="str">
        <f t="shared" si="1"/>
        <v>#VALUE!</v>
      </c>
      <c r="C134" s="2" t="str">
        <f>IFERROR(__xludf.DUMMYFUNCTION("SPLIT(B134,"" "")"),"#VALUE!")</f>
        <v>#VALUE!</v>
      </c>
      <c r="E134" s="2" t="str">
        <f t="shared" si="2"/>
        <v>#VALUE!</v>
      </c>
      <c r="F134" s="2" t="str">
        <f>IFERROR(__xludf.DUMMYFUNCTION("SPLIT(E134,"" "")"),"#VALUE!")</f>
        <v>#VALUE!</v>
      </c>
      <c r="I134" s="2" t="str">
        <f t="shared" si="3"/>
        <v>#VALUE!</v>
      </c>
      <c r="J134" s="2" t="str">
        <f>IFERROR(__xludf.DUMMYFUNCTION("SPLIT(I134,"" "")"),"#VALUE!")</f>
        <v>#VALUE!</v>
      </c>
      <c r="M134" s="2" t="b">
        <f t="shared" si="4"/>
        <v>0</v>
      </c>
      <c r="N134" s="2" t="b">
        <f>IFERROR(__xludf.DUMMYFUNCTION("IF(AND(REGEXMATCH($G$4, ""cd""),M134),N133+J134)"),FALSE)</f>
        <v>0</v>
      </c>
      <c r="O134" s="2" t="str">
        <f t="shared" si="5"/>
        <v>#N/A</v>
      </c>
    </row>
    <row r="135">
      <c r="A135" s="1" t="s">
        <v>86</v>
      </c>
      <c r="B135" s="2" t="str">
        <f t="shared" si="1"/>
        <v>#VALUE!</v>
      </c>
      <c r="C135" s="2" t="str">
        <f>IFERROR(__xludf.DUMMYFUNCTION("SPLIT(B135,"" "")"),"#VALUE!")</f>
        <v>#VALUE!</v>
      </c>
      <c r="E135" s="2" t="str">
        <f t="shared" si="2"/>
        <v>73640 mpq.cdn</v>
      </c>
      <c r="F135" s="2">
        <f>IFERROR(__xludf.DUMMYFUNCTION("SPLIT(E135,"" "")"),73640.0)</f>
        <v>73640</v>
      </c>
      <c r="G135" s="2" t="str">
        <f>IFERROR(__xludf.DUMMYFUNCTION("""COMPUTED_VALUE"""),"mpq.cdn")</f>
        <v>mpq.cdn</v>
      </c>
      <c r="I135" s="2" t="str">
        <f t="shared" si="3"/>
        <v>73640 mpq.cdn</v>
      </c>
      <c r="J135" s="2">
        <f>IFERROR(__xludf.DUMMYFUNCTION("SPLIT(I135,"" "")"),73640.0)</f>
        <v>73640</v>
      </c>
      <c r="K135" s="2" t="str">
        <f>IFERROR(__xludf.DUMMYFUNCTION("""COMPUTED_VALUE"""),"mpq.cdn")</f>
        <v>mpq.cdn</v>
      </c>
      <c r="M135" s="2" t="b">
        <f t="shared" si="4"/>
        <v>1</v>
      </c>
      <c r="N135" s="2">
        <f>IFERROR(__xludf.DUMMYFUNCTION("IF(AND(REGEXMATCH($G$4, ""cd""),M135),N134+J135)"),73640.0)</f>
        <v>73640</v>
      </c>
      <c r="O135" s="2" t="str">
        <f t="shared" si="5"/>
        <v>#N/A</v>
      </c>
    </row>
    <row r="136">
      <c r="A136" s="1" t="s">
        <v>46</v>
      </c>
      <c r="B136" s="2" t="str">
        <f t="shared" si="1"/>
        <v>dir zcgrgff</v>
      </c>
      <c r="C136" s="2" t="str">
        <f>IFERROR(__xludf.DUMMYFUNCTION("SPLIT(B136,"" "")"),"dir")</f>
        <v>dir</v>
      </c>
      <c r="D136" s="2" t="str">
        <f>IFERROR(__xludf.DUMMYFUNCTION("""COMPUTED_VALUE"""),"zcgrgff")</f>
        <v>zcgrgff</v>
      </c>
      <c r="E136" s="2" t="str">
        <f t="shared" si="2"/>
        <v>#VALUE!</v>
      </c>
      <c r="F136" s="2" t="str">
        <f>IFERROR(__xludf.DUMMYFUNCTION("SPLIT(E136,"" "")"),"#VALUE!")</f>
        <v>#VALUE!</v>
      </c>
      <c r="I136" s="2" t="str">
        <f t="shared" si="3"/>
        <v>#VALUE!</v>
      </c>
      <c r="J136" s="2" t="str">
        <f>IFERROR(__xludf.DUMMYFUNCTION("SPLIT(I136,"" "")"),"#VALUE!")</f>
        <v>#VALUE!</v>
      </c>
      <c r="M136" s="2" t="b">
        <f t="shared" si="4"/>
        <v>0</v>
      </c>
      <c r="N136" s="2" t="b">
        <f>IFERROR(__xludf.DUMMYFUNCTION("IF(AND(REGEXMATCH($G$4, ""cd""),M136),N135+J136)"),FALSE)</f>
        <v>0</v>
      </c>
      <c r="O136" s="2" t="str">
        <f t="shared" si="5"/>
        <v>#N/A</v>
      </c>
    </row>
    <row r="137">
      <c r="A137" s="1" t="s">
        <v>63</v>
      </c>
      <c r="B137" s="2" t="str">
        <f t="shared" si="1"/>
        <v>#VALUE!</v>
      </c>
      <c r="C137" s="2" t="str">
        <f>IFERROR(__xludf.DUMMYFUNCTION("SPLIT(B137,"" "")"),"#VALUE!")</f>
        <v>#VALUE!</v>
      </c>
      <c r="E137" s="2" t="str">
        <f t="shared" si="2"/>
        <v>$ cd zcgrgff</v>
      </c>
      <c r="F137" s="2" t="str">
        <f>IFERROR(__xludf.DUMMYFUNCTION("SPLIT(E137,"" "")"),"$")</f>
        <v>$</v>
      </c>
      <c r="G137" s="2" t="str">
        <f>IFERROR(__xludf.DUMMYFUNCTION("""COMPUTED_VALUE"""),"cd")</f>
        <v>cd</v>
      </c>
      <c r="H137" s="2" t="str">
        <f>IFERROR(__xludf.DUMMYFUNCTION("""COMPUTED_VALUE"""),"zcgrgff")</f>
        <v>zcgrgff</v>
      </c>
      <c r="I137" s="2" t="str">
        <f t="shared" si="3"/>
        <v>#VALUE!</v>
      </c>
      <c r="J137" s="2" t="str">
        <f>IFERROR(__xludf.DUMMYFUNCTION("SPLIT(I137,"" "")"),"#VALUE!")</f>
        <v>#VALUE!</v>
      </c>
      <c r="M137" s="2" t="b">
        <f t="shared" si="4"/>
        <v>0</v>
      </c>
      <c r="N137" s="2" t="b">
        <f>IFERROR(__xludf.DUMMYFUNCTION("IF(AND(REGEXMATCH($G$4, ""cd""),M137),N136+J137)"),FALSE)</f>
        <v>0</v>
      </c>
      <c r="O137" s="2" t="str">
        <f t="shared" si="5"/>
        <v>#N/A</v>
      </c>
    </row>
    <row r="138">
      <c r="A138" s="1" t="s">
        <v>2</v>
      </c>
      <c r="B138" s="2" t="str">
        <f t="shared" si="1"/>
        <v>#VALUE!</v>
      </c>
      <c r="C138" s="2" t="str">
        <f>IFERROR(__xludf.DUMMYFUNCTION("SPLIT(B138,"" "")"),"#VALUE!")</f>
        <v>#VALUE!</v>
      </c>
      <c r="E138" s="2" t="str">
        <f t="shared" si="2"/>
        <v>#VALUE!</v>
      </c>
      <c r="F138" s="2" t="str">
        <f>IFERROR(__xludf.DUMMYFUNCTION("SPLIT(E138,"" "")"),"#VALUE!")</f>
        <v>#VALUE!</v>
      </c>
      <c r="I138" s="2" t="str">
        <f t="shared" si="3"/>
        <v>#VALUE!</v>
      </c>
      <c r="J138" s="2" t="str">
        <f>IFERROR(__xludf.DUMMYFUNCTION("SPLIT(I138,"" "")"),"#VALUE!")</f>
        <v>#VALUE!</v>
      </c>
      <c r="M138" s="2" t="b">
        <f t="shared" si="4"/>
        <v>0</v>
      </c>
      <c r="N138" s="2" t="b">
        <f>IFERROR(__xludf.DUMMYFUNCTION("IF(AND(REGEXMATCH($G$4, ""cd""),M138),N137+J138)"),FALSE)</f>
        <v>0</v>
      </c>
      <c r="O138" s="2" t="str">
        <f t="shared" si="5"/>
        <v>#N/A</v>
      </c>
    </row>
    <row r="139">
      <c r="A139" s="1" t="s">
        <v>87</v>
      </c>
      <c r="B139" s="2" t="str">
        <f t="shared" si="1"/>
        <v>#VALUE!</v>
      </c>
      <c r="C139" s="2" t="str">
        <f>IFERROR(__xludf.DUMMYFUNCTION("SPLIT(B139,"" "")"),"#VALUE!")</f>
        <v>#VALUE!</v>
      </c>
      <c r="E139" s="2" t="str">
        <f t="shared" si="2"/>
        <v>#VALUE!</v>
      </c>
      <c r="F139" s="2" t="str">
        <f>IFERROR(__xludf.DUMMYFUNCTION("SPLIT(E139,"" "")"),"#VALUE!")</f>
        <v>#VALUE!</v>
      </c>
      <c r="I139" s="2" t="str">
        <f t="shared" si="3"/>
        <v>115955 rssmrfbq.trs</v>
      </c>
      <c r="J139" s="2">
        <f>IFERROR(__xludf.DUMMYFUNCTION("SPLIT(I139,"" "")"),115955.0)</f>
        <v>115955</v>
      </c>
      <c r="K139" s="2" t="str">
        <f>IFERROR(__xludf.DUMMYFUNCTION("""COMPUTED_VALUE"""),"rssmrfbq.trs")</f>
        <v>rssmrfbq.trs</v>
      </c>
      <c r="M139" s="2" t="b">
        <f t="shared" si="4"/>
        <v>1</v>
      </c>
      <c r="N139" s="2">
        <f>IFERROR(__xludf.DUMMYFUNCTION("IF(AND(REGEXMATCH($G$4, ""cd""),M139),N138+J139)"),115955.0)</f>
        <v>115955</v>
      </c>
      <c r="O139" s="2" t="str">
        <f t="shared" si="5"/>
        <v>#N/A</v>
      </c>
    </row>
    <row r="140">
      <c r="A140" s="1" t="s">
        <v>17</v>
      </c>
      <c r="B140" s="2" t="str">
        <f t="shared" si="1"/>
        <v>#VALUE!</v>
      </c>
      <c r="C140" s="2" t="str">
        <f>IFERROR(__xludf.DUMMYFUNCTION("SPLIT(B140,"" "")"),"#VALUE!")</f>
        <v>#VALUE!</v>
      </c>
      <c r="E140" s="2" t="str">
        <f t="shared" si="2"/>
        <v>$ cd ..</v>
      </c>
      <c r="F140" s="2" t="str">
        <f>IFERROR(__xludf.DUMMYFUNCTION("SPLIT(E140,"" "")"),"$")</f>
        <v>$</v>
      </c>
      <c r="G140" s="2" t="str">
        <f>IFERROR(__xludf.DUMMYFUNCTION("""COMPUTED_VALUE"""),"cd")</f>
        <v>cd</v>
      </c>
      <c r="H140" s="2" t="str">
        <f>IFERROR(__xludf.DUMMYFUNCTION("""COMPUTED_VALUE"""),"..")</f>
        <v>..</v>
      </c>
      <c r="I140" s="2" t="str">
        <f t="shared" si="3"/>
        <v>$ cd ..</v>
      </c>
      <c r="J140" s="2" t="str">
        <f>IFERROR(__xludf.DUMMYFUNCTION("SPLIT(I140,"" "")"),"$")</f>
        <v>$</v>
      </c>
      <c r="K140" s="2" t="str">
        <f>IFERROR(__xludf.DUMMYFUNCTION("""COMPUTED_VALUE"""),"cd")</f>
        <v>cd</v>
      </c>
      <c r="L140" s="2" t="str">
        <f>IFERROR(__xludf.DUMMYFUNCTION("""COMPUTED_VALUE"""),"..")</f>
        <v>..</v>
      </c>
      <c r="M140" s="2" t="b">
        <f t="shared" si="4"/>
        <v>0</v>
      </c>
      <c r="N140" s="2" t="b">
        <f>IFERROR(__xludf.DUMMYFUNCTION("IF(AND(REGEXMATCH($G$4, ""cd""),M140),N139+J140)"),FALSE)</f>
        <v>0</v>
      </c>
      <c r="O140" s="2" t="str">
        <f t="shared" si="5"/>
        <v>#N/A</v>
      </c>
    </row>
    <row r="141">
      <c r="A141" s="1" t="s">
        <v>17</v>
      </c>
      <c r="B141" s="2" t="str">
        <f t="shared" si="1"/>
        <v>#VALUE!</v>
      </c>
      <c r="C141" s="2" t="str">
        <f>IFERROR(__xludf.DUMMYFUNCTION("SPLIT(B141,"" "")"),"#VALUE!")</f>
        <v>#VALUE!</v>
      </c>
      <c r="E141" s="2" t="str">
        <f t="shared" si="2"/>
        <v>$ cd ..</v>
      </c>
      <c r="F141" s="2" t="str">
        <f>IFERROR(__xludf.DUMMYFUNCTION("SPLIT(E141,"" "")"),"$")</f>
        <v>$</v>
      </c>
      <c r="G141" s="2" t="str">
        <f>IFERROR(__xludf.DUMMYFUNCTION("""COMPUTED_VALUE"""),"cd")</f>
        <v>cd</v>
      </c>
      <c r="H141" s="2" t="str">
        <f>IFERROR(__xludf.DUMMYFUNCTION("""COMPUTED_VALUE"""),"..")</f>
        <v>..</v>
      </c>
      <c r="I141" s="2" t="str">
        <f t="shared" si="3"/>
        <v>$ cd ..</v>
      </c>
      <c r="J141" s="2" t="str">
        <f>IFERROR(__xludf.DUMMYFUNCTION("SPLIT(I141,"" "")"),"$")</f>
        <v>$</v>
      </c>
      <c r="K141" s="2" t="str">
        <f>IFERROR(__xludf.DUMMYFUNCTION("""COMPUTED_VALUE"""),"cd")</f>
        <v>cd</v>
      </c>
      <c r="L141" s="2" t="str">
        <f>IFERROR(__xludf.DUMMYFUNCTION("""COMPUTED_VALUE"""),"..")</f>
        <v>..</v>
      </c>
      <c r="M141" s="2" t="b">
        <f t="shared" si="4"/>
        <v>0</v>
      </c>
      <c r="N141" s="2" t="b">
        <f>IFERROR(__xludf.DUMMYFUNCTION("IF(AND(REGEXMATCH($G$4, ""cd""),M141),N140+J141)"),FALSE)</f>
        <v>0</v>
      </c>
      <c r="O141" s="2" t="str">
        <f t="shared" si="5"/>
        <v>#N/A</v>
      </c>
    </row>
    <row r="142">
      <c r="A142" s="1" t="s">
        <v>17</v>
      </c>
      <c r="B142" s="2" t="str">
        <f t="shared" si="1"/>
        <v>#VALUE!</v>
      </c>
      <c r="C142" s="2" t="str">
        <f>IFERROR(__xludf.DUMMYFUNCTION("SPLIT(B142,"" "")"),"#VALUE!")</f>
        <v>#VALUE!</v>
      </c>
      <c r="E142" s="2" t="str">
        <f t="shared" si="2"/>
        <v>$ cd ..</v>
      </c>
      <c r="F142" s="2" t="str">
        <f>IFERROR(__xludf.DUMMYFUNCTION("SPLIT(E142,"" "")"),"$")</f>
        <v>$</v>
      </c>
      <c r="G142" s="2" t="str">
        <f>IFERROR(__xludf.DUMMYFUNCTION("""COMPUTED_VALUE"""),"cd")</f>
        <v>cd</v>
      </c>
      <c r="H142" s="2" t="str">
        <f>IFERROR(__xludf.DUMMYFUNCTION("""COMPUTED_VALUE"""),"..")</f>
        <v>..</v>
      </c>
      <c r="I142" s="2" t="str">
        <f t="shared" si="3"/>
        <v>$ cd ..</v>
      </c>
      <c r="J142" s="2" t="str">
        <f>IFERROR(__xludf.DUMMYFUNCTION("SPLIT(I142,"" "")"),"$")</f>
        <v>$</v>
      </c>
      <c r="K142" s="2" t="str">
        <f>IFERROR(__xludf.DUMMYFUNCTION("""COMPUTED_VALUE"""),"cd")</f>
        <v>cd</v>
      </c>
      <c r="L142" s="2" t="str">
        <f>IFERROR(__xludf.DUMMYFUNCTION("""COMPUTED_VALUE"""),"..")</f>
        <v>..</v>
      </c>
      <c r="M142" s="2" t="b">
        <f t="shared" si="4"/>
        <v>0</v>
      </c>
      <c r="N142" s="2" t="b">
        <f>IFERROR(__xludf.DUMMYFUNCTION("IF(AND(REGEXMATCH($G$4, ""cd""),M142),N141+J142)"),FALSE)</f>
        <v>0</v>
      </c>
      <c r="O142" s="2" t="str">
        <f t="shared" si="5"/>
        <v>#N/A</v>
      </c>
    </row>
    <row r="143">
      <c r="A143" s="1" t="s">
        <v>88</v>
      </c>
      <c r="B143" s="2" t="str">
        <f t="shared" si="1"/>
        <v>#VALUE!</v>
      </c>
      <c r="C143" s="2" t="str">
        <f>IFERROR(__xludf.DUMMYFUNCTION("SPLIT(B143,"" "")"),"#VALUE!")</f>
        <v>#VALUE!</v>
      </c>
      <c r="E143" s="2" t="str">
        <f t="shared" si="2"/>
        <v>$ cd zcp</v>
      </c>
      <c r="F143" s="2" t="str">
        <f>IFERROR(__xludf.DUMMYFUNCTION("SPLIT(E143,"" "")"),"$")</f>
        <v>$</v>
      </c>
      <c r="G143" s="2" t="str">
        <f>IFERROR(__xludf.DUMMYFUNCTION("""COMPUTED_VALUE"""),"cd")</f>
        <v>cd</v>
      </c>
      <c r="H143" s="2" t="str">
        <f>IFERROR(__xludf.DUMMYFUNCTION("""COMPUTED_VALUE"""),"zcp")</f>
        <v>zcp</v>
      </c>
      <c r="I143" s="2" t="str">
        <f t="shared" si="3"/>
        <v>#VALUE!</v>
      </c>
      <c r="J143" s="2" t="str">
        <f>IFERROR(__xludf.DUMMYFUNCTION("SPLIT(I143,"" "")"),"#VALUE!")</f>
        <v>#VALUE!</v>
      </c>
      <c r="M143" s="2" t="b">
        <f t="shared" si="4"/>
        <v>0</v>
      </c>
      <c r="N143" s="2" t="b">
        <f>IFERROR(__xludf.DUMMYFUNCTION("IF(AND(REGEXMATCH($G$4, ""cd""),M143),N142+J143)"),FALSE)</f>
        <v>0</v>
      </c>
      <c r="O143" s="2" t="str">
        <f t="shared" si="5"/>
        <v>#N/A</v>
      </c>
    </row>
    <row r="144">
      <c r="A144" s="1" t="s">
        <v>2</v>
      </c>
      <c r="B144" s="2" t="str">
        <f t="shared" si="1"/>
        <v>#VALUE!</v>
      </c>
      <c r="C144" s="2" t="str">
        <f>IFERROR(__xludf.DUMMYFUNCTION("SPLIT(B144,"" "")"),"#VALUE!")</f>
        <v>#VALUE!</v>
      </c>
      <c r="E144" s="2" t="str">
        <f t="shared" si="2"/>
        <v>#VALUE!</v>
      </c>
      <c r="F144" s="2" t="str">
        <f>IFERROR(__xludf.DUMMYFUNCTION("SPLIT(E144,"" "")"),"#VALUE!")</f>
        <v>#VALUE!</v>
      </c>
      <c r="I144" s="2" t="str">
        <f t="shared" si="3"/>
        <v>#VALUE!</v>
      </c>
      <c r="J144" s="2" t="str">
        <f>IFERROR(__xludf.DUMMYFUNCTION("SPLIT(I144,"" "")"),"#VALUE!")</f>
        <v>#VALUE!</v>
      </c>
      <c r="M144" s="2" t="b">
        <f t="shared" si="4"/>
        <v>0</v>
      </c>
      <c r="N144" s="2" t="b">
        <f>IFERROR(__xludf.DUMMYFUNCTION("IF(AND(REGEXMATCH($G$4, ""cd""),M144),N143+J144)"),FALSE)</f>
        <v>0</v>
      </c>
      <c r="O144" s="2" t="str">
        <f t="shared" si="5"/>
        <v>#N/A</v>
      </c>
    </row>
    <row r="145">
      <c r="A145" s="1" t="s">
        <v>89</v>
      </c>
      <c r="B145" s="2" t="str">
        <f t="shared" si="1"/>
        <v>dir qdjtmwrr</v>
      </c>
      <c r="C145" s="2" t="str">
        <f>IFERROR(__xludf.DUMMYFUNCTION("SPLIT(B145,"" "")"),"dir")</f>
        <v>dir</v>
      </c>
      <c r="D145" s="2" t="str">
        <f>IFERROR(__xludf.DUMMYFUNCTION("""COMPUTED_VALUE"""),"qdjtmwrr")</f>
        <v>qdjtmwrr</v>
      </c>
      <c r="E145" s="2" t="str">
        <f t="shared" si="2"/>
        <v>#VALUE!</v>
      </c>
      <c r="F145" s="2" t="str">
        <f>IFERROR(__xludf.DUMMYFUNCTION("SPLIT(E145,"" "")"),"#VALUE!")</f>
        <v>#VALUE!</v>
      </c>
      <c r="I145" s="2" t="str">
        <f t="shared" si="3"/>
        <v>#VALUE!</v>
      </c>
      <c r="J145" s="2" t="str">
        <f>IFERROR(__xludf.DUMMYFUNCTION("SPLIT(I145,"" "")"),"#VALUE!")</f>
        <v>#VALUE!</v>
      </c>
      <c r="M145" s="2" t="b">
        <f t="shared" si="4"/>
        <v>0</v>
      </c>
      <c r="N145" s="2" t="b">
        <f>IFERROR(__xludf.DUMMYFUNCTION("IF(AND(REGEXMATCH($G$4, ""cd""),M145),N144+J145)"),FALSE)</f>
        <v>0</v>
      </c>
      <c r="O145" s="2" t="str">
        <f t="shared" si="5"/>
        <v>#N/A</v>
      </c>
    </row>
    <row r="146">
      <c r="A146" s="1" t="s">
        <v>90</v>
      </c>
      <c r="B146" s="2" t="str">
        <f t="shared" si="1"/>
        <v>dir wpdjttm</v>
      </c>
      <c r="C146" s="2" t="str">
        <f>IFERROR(__xludf.DUMMYFUNCTION("SPLIT(B146,"" "")"),"dir")</f>
        <v>dir</v>
      </c>
      <c r="D146" s="2" t="str">
        <f>IFERROR(__xludf.DUMMYFUNCTION("""COMPUTED_VALUE"""),"wpdjttm")</f>
        <v>wpdjttm</v>
      </c>
      <c r="E146" s="2" t="str">
        <f t="shared" si="2"/>
        <v>#VALUE!</v>
      </c>
      <c r="F146" s="2" t="str">
        <f>IFERROR(__xludf.DUMMYFUNCTION("SPLIT(E146,"" "")"),"#VALUE!")</f>
        <v>#VALUE!</v>
      </c>
      <c r="I146" s="2" t="str">
        <f t="shared" si="3"/>
        <v>#VALUE!</v>
      </c>
      <c r="J146" s="2" t="str">
        <f>IFERROR(__xludf.DUMMYFUNCTION("SPLIT(I146,"" "")"),"#VALUE!")</f>
        <v>#VALUE!</v>
      </c>
      <c r="M146" s="2" t="b">
        <f t="shared" si="4"/>
        <v>0</v>
      </c>
      <c r="N146" s="2" t="b">
        <f>IFERROR(__xludf.DUMMYFUNCTION("IF(AND(REGEXMATCH($G$4, ""cd""),M146),N145+J146)"),FALSE)</f>
        <v>0</v>
      </c>
      <c r="O146" s="2" t="str">
        <f t="shared" si="5"/>
        <v>#N/A</v>
      </c>
    </row>
    <row r="147">
      <c r="A147" s="1" t="s">
        <v>91</v>
      </c>
      <c r="B147" s="2" t="str">
        <f t="shared" si="1"/>
        <v>#VALUE!</v>
      </c>
      <c r="C147" s="2" t="str">
        <f>IFERROR(__xludf.DUMMYFUNCTION("SPLIT(B147,"" "")"),"#VALUE!")</f>
        <v>#VALUE!</v>
      </c>
      <c r="E147" s="2" t="str">
        <f t="shared" si="2"/>
        <v>$ cd qdjtmwrr</v>
      </c>
      <c r="F147" s="2" t="str">
        <f>IFERROR(__xludf.DUMMYFUNCTION("SPLIT(E147,"" "")"),"$")</f>
        <v>$</v>
      </c>
      <c r="G147" s="2" t="str">
        <f>IFERROR(__xludf.DUMMYFUNCTION("""COMPUTED_VALUE"""),"cd")</f>
        <v>cd</v>
      </c>
      <c r="H147" s="2" t="str">
        <f>IFERROR(__xludf.DUMMYFUNCTION("""COMPUTED_VALUE"""),"qdjtmwrr")</f>
        <v>qdjtmwrr</v>
      </c>
      <c r="I147" s="2" t="str">
        <f t="shared" si="3"/>
        <v>#VALUE!</v>
      </c>
      <c r="J147" s="2" t="str">
        <f>IFERROR(__xludf.DUMMYFUNCTION("SPLIT(I147,"" "")"),"#VALUE!")</f>
        <v>#VALUE!</v>
      </c>
      <c r="M147" s="2" t="b">
        <f t="shared" si="4"/>
        <v>0</v>
      </c>
      <c r="N147" s="2" t="b">
        <f>IFERROR(__xludf.DUMMYFUNCTION("IF(AND(REGEXMATCH($G$4, ""cd""),M147),N146+J147)"),FALSE)</f>
        <v>0</v>
      </c>
      <c r="O147" s="2" t="str">
        <f t="shared" si="5"/>
        <v>#N/A</v>
      </c>
    </row>
    <row r="148">
      <c r="A148" s="1" t="s">
        <v>2</v>
      </c>
      <c r="B148" s="2" t="str">
        <f t="shared" si="1"/>
        <v>#VALUE!</v>
      </c>
      <c r="C148" s="2" t="str">
        <f>IFERROR(__xludf.DUMMYFUNCTION("SPLIT(B148,"" "")"),"#VALUE!")</f>
        <v>#VALUE!</v>
      </c>
      <c r="E148" s="2" t="str">
        <f t="shared" si="2"/>
        <v>#VALUE!</v>
      </c>
      <c r="F148" s="2" t="str">
        <f>IFERROR(__xludf.DUMMYFUNCTION("SPLIT(E148,"" "")"),"#VALUE!")</f>
        <v>#VALUE!</v>
      </c>
      <c r="I148" s="2" t="str">
        <f t="shared" si="3"/>
        <v>#VALUE!</v>
      </c>
      <c r="J148" s="2" t="str">
        <f>IFERROR(__xludf.DUMMYFUNCTION("SPLIT(I148,"" "")"),"#VALUE!")</f>
        <v>#VALUE!</v>
      </c>
      <c r="M148" s="2" t="b">
        <f t="shared" si="4"/>
        <v>0</v>
      </c>
      <c r="N148" s="2" t="b">
        <f>IFERROR(__xludf.DUMMYFUNCTION("IF(AND(REGEXMATCH($G$4, ""cd""),M148),N147+J148)"),FALSE)</f>
        <v>0</v>
      </c>
      <c r="O148" s="2" t="str">
        <f t="shared" si="5"/>
        <v>#N/A</v>
      </c>
    </row>
    <row r="149">
      <c r="A149" s="1" t="s">
        <v>92</v>
      </c>
      <c r="B149" s="2" t="str">
        <f t="shared" si="1"/>
        <v>#VALUE!</v>
      </c>
      <c r="C149" s="2" t="str">
        <f>IFERROR(__xludf.DUMMYFUNCTION("SPLIT(B149,"" "")"),"#VALUE!")</f>
        <v>#VALUE!</v>
      </c>
      <c r="E149" s="2" t="str">
        <f t="shared" si="2"/>
        <v>#VALUE!</v>
      </c>
      <c r="F149" s="2" t="str">
        <f>IFERROR(__xludf.DUMMYFUNCTION("SPLIT(E149,"" "")"),"#VALUE!")</f>
        <v>#VALUE!</v>
      </c>
      <c r="I149" s="2" t="str">
        <f t="shared" si="3"/>
        <v>#VALUE!</v>
      </c>
      <c r="J149" s="2" t="str">
        <f>IFERROR(__xludf.DUMMYFUNCTION("SPLIT(I149,"" "")"),"#VALUE!")</f>
        <v>#VALUE!</v>
      </c>
      <c r="M149" s="2" t="b">
        <f t="shared" si="4"/>
        <v>0</v>
      </c>
      <c r="N149" s="2" t="b">
        <f>IFERROR(__xludf.DUMMYFUNCTION("IF(AND(REGEXMATCH($G$4, ""cd""),M149),N148+J149)"),FALSE)</f>
        <v>0</v>
      </c>
      <c r="O149" s="2" t="str">
        <f t="shared" si="5"/>
        <v>#N/A</v>
      </c>
    </row>
    <row r="150">
      <c r="A150" s="1" t="s">
        <v>17</v>
      </c>
      <c r="B150" s="2" t="str">
        <f t="shared" si="1"/>
        <v>#VALUE!</v>
      </c>
      <c r="C150" s="2" t="str">
        <f>IFERROR(__xludf.DUMMYFUNCTION("SPLIT(B150,"" "")"),"#VALUE!")</f>
        <v>#VALUE!</v>
      </c>
      <c r="E150" s="2" t="str">
        <f t="shared" si="2"/>
        <v>$ cd ..</v>
      </c>
      <c r="F150" s="2" t="str">
        <f>IFERROR(__xludf.DUMMYFUNCTION("SPLIT(E150,"" "")"),"$")</f>
        <v>$</v>
      </c>
      <c r="G150" s="2" t="str">
        <f>IFERROR(__xludf.DUMMYFUNCTION("""COMPUTED_VALUE"""),"cd")</f>
        <v>cd</v>
      </c>
      <c r="H150" s="2" t="str">
        <f>IFERROR(__xludf.DUMMYFUNCTION("""COMPUTED_VALUE"""),"..")</f>
        <v>..</v>
      </c>
      <c r="I150" s="2" t="str">
        <f t="shared" si="3"/>
        <v>$ cd ..</v>
      </c>
      <c r="J150" s="2" t="str">
        <f>IFERROR(__xludf.DUMMYFUNCTION("SPLIT(I150,"" "")"),"$")</f>
        <v>$</v>
      </c>
      <c r="K150" s="2" t="str">
        <f>IFERROR(__xludf.DUMMYFUNCTION("""COMPUTED_VALUE"""),"cd")</f>
        <v>cd</v>
      </c>
      <c r="L150" s="2" t="str">
        <f>IFERROR(__xludf.DUMMYFUNCTION("""COMPUTED_VALUE"""),"..")</f>
        <v>..</v>
      </c>
      <c r="M150" s="2" t="b">
        <f t="shared" si="4"/>
        <v>0</v>
      </c>
      <c r="N150" s="2" t="b">
        <f>IFERROR(__xludf.DUMMYFUNCTION("IF(AND(REGEXMATCH($G$4, ""cd""),M150),N149+J150)"),FALSE)</f>
        <v>0</v>
      </c>
      <c r="O150" s="2" t="str">
        <f t="shared" si="5"/>
        <v>#N/A</v>
      </c>
    </row>
    <row r="151">
      <c r="A151" s="1" t="s">
        <v>93</v>
      </c>
      <c r="B151" s="2" t="str">
        <f t="shared" si="1"/>
        <v>#VALUE!</v>
      </c>
      <c r="C151" s="2" t="str">
        <f>IFERROR(__xludf.DUMMYFUNCTION("SPLIT(B151,"" "")"),"#VALUE!")</f>
        <v>#VALUE!</v>
      </c>
      <c r="E151" s="2" t="str">
        <f t="shared" si="2"/>
        <v>$ cd wpdjttm</v>
      </c>
      <c r="F151" s="2" t="str">
        <f>IFERROR(__xludf.DUMMYFUNCTION("SPLIT(E151,"" "")"),"$")</f>
        <v>$</v>
      </c>
      <c r="G151" s="2" t="str">
        <f>IFERROR(__xludf.DUMMYFUNCTION("""COMPUTED_VALUE"""),"cd")</f>
        <v>cd</v>
      </c>
      <c r="H151" s="2" t="str">
        <f>IFERROR(__xludf.DUMMYFUNCTION("""COMPUTED_VALUE"""),"wpdjttm")</f>
        <v>wpdjttm</v>
      </c>
      <c r="I151" s="2" t="str">
        <f t="shared" si="3"/>
        <v>#VALUE!</v>
      </c>
      <c r="J151" s="2" t="str">
        <f>IFERROR(__xludf.DUMMYFUNCTION("SPLIT(I151,"" "")"),"#VALUE!")</f>
        <v>#VALUE!</v>
      </c>
      <c r="M151" s="2" t="b">
        <f t="shared" si="4"/>
        <v>0</v>
      </c>
      <c r="N151" s="2" t="b">
        <f>IFERROR(__xludf.DUMMYFUNCTION("IF(AND(REGEXMATCH($G$4, ""cd""),M151),N150+J151)"),FALSE)</f>
        <v>0</v>
      </c>
      <c r="O151" s="2" t="str">
        <f t="shared" si="5"/>
        <v>#N/A</v>
      </c>
    </row>
    <row r="152">
      <c r="A152" s="1" t="s">
        <v>2</v>
      </c>
      <c r="B152" s="2" t="str">
        <f t="shared" si="1"/>
        <v>#VALUE!</v>
      </c>
      <c r="C152" s="2" t="str">
        <f>IFERROR(__xludf.DUMMYFUNCTION("SPLIT(B152,"" "")"),"#VALUE!")</f>
        <v>#VALUE!</v>
      </c>
      <c r="E152" s="2" t="str">
        <f t="shared" si="2"/>
        <v>#VALUE!</v>
      </c>
      <c r="F152" s="2" t="str">
        <f>IFERROR(__xludf.DUMMYFUNCTION("SPLIT(E152,"" "")"),"#VALUE!")</f>
        <v>#VALUE!</v>
      </c>
      <c r="I152" s="2" t="str">
        <f t="shared" si="3"/>
        <v>#VALUE!</v>
      </c>
      <c r="J152" s="2" t="str">
        <f>IFERROR(__xludf.DUMMYFUNCTION("SPLIT(I152,"" "")"),"#VALUE!")</f>
        <v>#VALUE!</v>
      </c>
      <c r="M152" s="2" t="b">
        <f t="shared" si="4"/>
        <v>0</v>
      </c>
      <c r="N152" s="2" t="b">
        <f>IFERROR(__xludf.DUMMYFUNCTION("IF(AND(REGEXMATCH($G$4, ""cd""),M152),N151+J152)"),FALSE)</f>
        <v>0</v>
      </c>
      <c r="O152" s="2" t="str">
        <f t="shared" si="5"/>
        <v>#N/A</v>
      </c>
    </row>
    <row r="153">
      <c r="A153" s="1" t="s">
        <v>94</v>
      </c>
      <c r="B153" s="2" t="str">
        <f t="shared" si="1"/>
        <v>#VALUE!</v>
      </c>
      <c r="C153" s="2" t="str">
        <f>IFERROR(__xludf.DUMMYFUNCTION("SPLIT(B153,"" "")"),"#VALUE!")</f>
        <v>#VALUE!</v>
      </c>
      <c r="E153" s="2" t="str">
        <f t="shared" si="2"/>
        <v>#VALUE!</v>
      </c>
      <c r="F153" s="2" t="str">
        <f>IFERROR(__xludf.DUMMYFUNCTION("SPLIT(E153,"" "")"),"#VALUE!")</f>
        <v>#VALUE!</v>
      </c>
      <c r="I153" s="2" t="str">
        <f t="shared" si="3"/>
        <v>#VALUE!</v>
      </c>
      <c r="J153" s="2" t="str">
        <f>IFERROR(__xludf.DUMMYFUNCTION("SPLIT(I153,"" "")"),"#VALUE!")</f>
        <v>#VALUE!</v>
      </c>
      <c r="M153" s="2" t="b">
        <f t="shared" si="4"/>
        <v>0</v>
      </c>
      <c r="N153" s="2" t="b">
        <f>IFERROR(__xludf.DUMMYFUNCTION("IF(AND(REGEXMATCH($G$4, ""cd""),M153),N152+J153)"),FALSE)</f>
        <v>0</v>
      </c>
      <c r="O153" s="2" t="str">
        <f t="shared" si="5"/>
        <v>#N/A</v>
      </c>
    </row>
    <row r="154">
      <c r="A154" s="1" t="s">
        <v>17</v>
      </c>
      <c r="B154" s="2" t="str">
        <f t="shared" si="1"/>
        <v>#VALUE!</v>
      </c>
      <c r="C154" s="2" t="str">
        <f>IFERROR(__xludf.DUMMYFUNCTION("SPLIT(B154,"" "")"),"#VALUE!")</f>
        <v>#VALUE!</v>
      </c>
      <c r="E154" s="2" t="str">
        <f t="shared" si="2"/>
        <v>$ cd ..</v>
      </c>
      <c r="F154" s="2" t="str">
        <f>IFERROR(__xludf.DUMMYFUNCTION("SPLIT(E154,"" "")"),"$")</f>
        <v>$</v>
      </c>
      <c r="G154" s="2" t="str">
        <f>IFERROR(__xludf.DUMMYFUNCTION("""COMPUTED_VALUE"""),"cd")</f>
        <v>cd</v>
      </c>
      <c r="H154" s="2" t="str">
        <f>IFERROR(__xludf.DUMMYFUNCTION("""COMPUTED_VALUE"""),"..")</f>
        <v>..</v>
      </c>
      <c r="I154" s="2" t="str">
        <f t="shared" si="3"/>
        <v>$ cd ..</v>
      </c>
      <c r="J154" s="2" t="str">
        <f>IFERROR(__xludf.DUMMYFUNCTION("SPLIT(I154,"" "")"),"$")</f>
        <v>$</v>
      </c>
      <c r="K154" s="2" t="str">
        <f>IFERROR(__xludf.DUMMYFUNCTION("""COMPUTED_VALUE"""),"cd")</f>
        <v>cd</v>
      </c>
      <c r="L154" s="2" t="str">
        <f>IFERROR(__xludf.DUMMYFUNCTION("""COMPUTED_VALUE"""),"..")</f>
        <v>..</v>
      </c>
      <c r="M154" s="2" t="b">
        <f t="shared" si="4"/>
        <v>0</v>
      </c>
      <c r="N154" s="2" t="b">
        <f>IFERROR(__xludf.DUMMYFUNCTION("IF(AND(REGEXMATCH($G$4, ""cd""),M154),N153+J154)"),FALSE)</f>
        <v>0</v>
      </c>
      <c r="O154" s="2" t="str">
        <f t="shared" si="5"/>
        <v>#N/A</v>
      </c>
    </row>
    <row r="155">
      <c r="A155" s="1" t="s">
        <v>17</v>
      </c>
      <c r="B155" s="2" t="str">
        <f t="shared" si="1"/>
        <v>#VALUE!</v>
      </c>
      <c r="C155" s="2" t="str">
        <f>IFERROR(__xludf.DUMMYFUNCTION("SPLIT(B155,"" "")"),"#VALUE!")</f>
        <v>#VALUE!</v>
      </c>
      <c r="E155" s="2" t="str">
        <f t="shared" si="2"/>
        <v>$ cd ..</v>
      </c>
      <c r="F155" s="2" t="str">
        <f>IFERROR(__xludf.DUMMYFUNCTION("SPLIT(E155,"" "")"),"$")</f>
        <v>$</v>
      </c>
      <c r="G155" s="2" t="str">
        <f>IFERROR(__xludf.DUMMYFUNCTION("""COMPUTED_VALUE"""),"cd")</f>
        <v>cd</v>
      </c>
      <c r="H155" s="2" t="str">
        <f>IFERROR(__xludf.DUMMYFUNCTION("""COMPUTED_VALUE"""),"..")</f>
        <v>..</v>
      </c>
      <c r="I155" s="2" t="str">
        <f t="shared" si="3"/>
        <v>$ cd ..</v>
      </c>
      <c r="J155" s="2" t="str">
        <f>IFERROR(__xludf.DUMMYFUNCTION("SPLIT(I155,"" "")"),"$")</f>
        <v>$</v>
      </c>
      <c r="K155" s="2" t="str">
        <f>IFERROR(__xludf.DUMMYFUNCTION("""COMPUTED_VALUE"""),"cd")</f>
        <v>cd</v>
      </c>
      <c r="L155" s="2" t="str">
        <f>IFERROR(__xludf.DUMMYFUNCTION("""COMPUTED_VALUE"""),"..")</f>
        <v>..</v>
      </c>
      <c r="M155" s="2" t="b">
        <f t="shared" si="4"/>
        <v>0</v>
      </c>
      <c r="N155" s="2" t="b">
        <f>IFERROR(__xludf.DUMMYFUNCTION("IF(AND(REGEXMATCH($G$4, ""cd""),M155),N154+J155)"),FALSE)</f>
        <v>0</v>
      </c>
      <c r="O155" s="2" t="str">
        <f t="shared" si="5"/>
        <v>#N/A</v>
      </c>
    </row>
    <row r="156">
      <c r="A156" s="1" t="s">
        <v>17</v>
      </c>
      <c r="B156" s="2" t="str">
        <f t="shared" si="1"/>
        <v>#VALUE!</v>
      </c>
      <c r="C156" s="2" t="str">
        <f>IFERROR(__xludf.DUMMYFUNCTION("SPLIT(B156,"" "")"),"#VALUE!")</f>
        <v>#VALUE!</v>
      </c>
      <c r="E156" s="2" t="str">
        <f t="shared" si="2"/>
        <v>$ cd ..</v>
      </c>
      <c r="F156" s="2" t="str">
        <f>IFERROR(__xludf.DUMMYFUNCTION("SPLIT(E156,"" "")"),"$")</f>
        <v>$</v>
      </c>
      <c r="G156" s="2" t="str">
        <f>IFERROR(__xludf.DUMMYFUNCTION("""COMPUTED_VALUE"""),"cd")</f>
        <v>cd</v>
      </c>
      <c r="H156" s="2" t="str">
        <f>IFERROR(__xludf.DUMMYFUNCTION("""COMPUTED_VALUE"""),"..")</f>
        <v>..</v>
      </c>
      <c r="I156" s="2" t="str">
        <f t="shared" si="3"/>
        <v>$ cd ..</v>
      </c>
      <c r="J156" s="2" t="str">
        <f>IFERROR(__xludf.DUMMYFUNCTION("SPLIT(I156,"" "")"),"$")</f>
        <v>$</v>
      </c>
      <c r="K156" s="2" t="str">
        <f>IFERROR(__xludf.DUMMYFUNCTION("""COMPUTED_VALUE"""),"cd")</f>
        <v>cd</v>
      </c>
      <c r="L156" s="2" t="str">
        <f>IFERROR(__xludf.DUMMYFUNCTION("""COMPUTED_VALUE"""),"..")</f>
        <v>..</v>
      </c>
      <c r="M156" s="2" t="b">
        <f t="shared" si="4"/>
        <v>0</v>
      </c>
      <c r="N156" s="2" t="b">
        <f>IFERROR(__xludf.DUMMYFUNCTION("IF(AND(REGEXMATCH($G$4, ""cd""),M156),N155+J156)"),FALSE)</f>
        <v>0</v>
      </c>
      <c r="O156" s="2" t="str">
        <f t="shared" si="5"/>
        <v>#N/A</v>
      </c>
    </row>
    <row r="157">
      <c r="A157" s="1" t="s">
        <v>17</v>
      </c>
      <c r="B157" s="2" t="str">
        <f t="shared" si="1"/>
        <v>#VALUE!</v>
      </c>
      <c r="C157" s="2" t="str">
        <f>IFERROR(__xludf.DUMMYFUNCTION("SPLIT(B157,"" "")"),"#VALUE!")</f>
        <v>#VALUE!</v>
      </c>
      <c r="E157" s="2" t="str">
        <f t="shared" si="2"/>
        <v>$ cd ..</v>
      </c>
      <c r="F157" s="2" t="str">
        <f>IFERROR(__xludf.DUMMYFUNCTION("SPLIT(E157,"" "")"),"$")</f>
        <v>$</v>
      </c>
      <c r="G157" s="2" t="str">
        <f>IFERROR(__xludf.DUMMYFUNCTION("""COMPUTED_VALUE"""),"cd")</f>
        <v>cd</v>
      </c>
      <c r="H157" s="2" t="str">
        <f>IFERROR(__xludf.DUMMYFUNCTION("""COMPUTED_VALUE"""),"..")</f>
        <v>..</v>
      </c>
      <c r="I157" s="2" t="str">
        <f t="shared" si="3"/>
        <v>$ cd ..</v>
      </c>
      <c r="J157" s="2" t="str">
        <f>IFERROR(__xludf.DUMMYFUNCTION("SPLIT(I157,"" "")"),"$")</f>
        <v>$</v>
      </c>
      <c r="K157" s="2" t="str">
        <f>IFERROR(__xludf.DUMMYFUNCTION("""COMPUTED_VALUE"""),"cd")</f>
        <v>cd</v>
      </c>
      <c r="L157" s="2" t="str">
        <f>IFERROR(__xludf.DUMMYFUNCTION("""COMPUTED_VALUE"""),"..")</f>
        <v>..</v>
      </c>
      <c r="M157" s="2" t="b">
        <f t="shared" si="4"/>
        <v>0</v>
      </c>
      <c r="N157" s="2" t="b">
        <f>IFERROR(__xludf.DUMMYFUNCTION("IF(AND(REGEXMATCH($G$4, ""cd""),M157),N156+J157)"),FALSE)</f>
        <v>0</v>
      </c>
      <c r="O157" s="2" t="str">
        <f t="shared" si="5"/>
        <v>#N/A</v>
      </c>
    </row>
    <row r="158">
      <c r="A158" s="1" t="s">
        <v>17</v>
      </c>
      <c r="B158" s="2" t="str">
        <f t="shared" si="1"/>
        <v>#VALUE!</v>
      </c>
      <c r="C158" s="2" t="str">
        <f>IFERROR(__xludf.DUMMYFUNCTION("SPLIT(B158,"" "")"),"#VALUE!")</f>
        <v>#VALUE!</v>
      </c>
      <c r="E158" s="2" t="str">
        <f t="shared" si="2"/>
        <v>$ cd ..</v>
      </c>
      <c r="F158" s="2" t="str">
        <f>IFERROR(__xludf.DUMMYFUNCTION("SPLIT(E158,"" "")"),"$")</f>
        <v>$</v>
      </c>
      <c r="G158" s="2" t="str">
        <f>IFERROR(__xludf.DUMMYFUNCTION("""COMPUTED_VALUE"""),"cd")</f>
        <v>cd</v>
      </c>
      <c r="H158" s="2" t="str">
        <f>IFERROR(__xludf.DUMMYFUNCTION("""COMPUTED_VALUE"""),"..")</f>
        <v>..</v>
      </c>
      <c r="I158" s="2" t="str">
        <f t="shared" si="3"/>
        <v>$ cd ..</v>
      </c>
      <c r="J158" s="2" t="str">
        <f>IFERROR(__xludf.DUMMYFUNCTION("SPLIT(I158,"" "")"),"$")</f>
        <v>$</v>
      </c>
      <c r="K158" s="2" t="str">
        <f>IFERROR(__xludf.DUMMYFUNCTION("""COMPUTED_VALUE"""),"cd")</f>
        <v>cd</v>
      </c>
      <c r="L158" s="2" t="str">
        <f>IFERROR(__xludf.DUMMYFUNCTION("""COMPUTED_VALUE"""),"..")</f>
        <v>..</v>
      </c>
      <c r="M158" s="2" t="b">
        <f t="shared" si="4"/>
        <v>0</v>
      </c>
      <c r="N158" s="2" t="b">
        <f>IFERROR(__xludf.DUMMYFUNCTION("IF(AND(REGEXMATCH($G$4, ""cd""),M158),N157+J158)"),FALSE)</f>
        <v>0</v>
      </c>
      <c r="O158" s="2" t="str">
        <f t="shared" si="5"/>
        <v>#N/A</v>
      </c>
    </row>
    <row r="159">
      <c r="A159" s="1" t="s">
        <v>95</v>
      </c>
      <c r="B159" s="2" t="str">
        <f t="shared" si="1"/>
        <v>#VALUE!</v>
      </c>
      <c r="C159" s="2" t="str">
        <f>IFERROR(__xludf.DUMMYFUNCTION("SPLIT(B159,"" "")"),"#VALUE!")</f>
        <v>#VALUE!</v>
      </c>
      <c r="E159" s="2" t="str">
        <f t="shared" si="2"/>
        <v>$ cd pwc</v>
      </c>
      <c r="F159" s="2" t="str">
        <f>IFERROR(__xludf.DUMMYFUNCTION("SPLIT(E159,"" "")"),"$")</f>
        <v>$</v>
      </c>
      <c r="G159" s="2" t="str">
        <f>IFERROR(__xludf.DUMMYFUNCTION("""COMPUTED_VALUE"""),"cd")</f>
        <v>cd</v>
      </c>
      <c r="H159" s="2" t="str">
        <f>IFERROR(__xludf.DUMMYFUNCTION("""COMPUTED_VALUE"""),"pwc")</f>
        <v>pwc</v>
      </c>
      <c r="I159" s="2" t="str">
        <f t="shared" si="3"/>
        <v>#VALUE!</v>
      </c>
      <c r="J159" s="2" t="str">
        <f>IFERROR(__xludf.DUMMYFUNCTION("SPLIT(I159,"" "")"),"#VALUE!")</f>
        <v>#VALUE!</v>
      </c>
      <c r="M159" s="2" t="b">
        <f t="shared" si="4"/>
        <v>0</v>
      </c>
      <c r="N159" s="2" t="b">
        <f>IFERROR(__xludf.DUMMYFUNCTION("IF(AND(REGEXMATCH($G$4, ""cd""),M159),N158+J159)"),FALSE)</f>
        <v>0</v>
      </c>
      <c r="O159" s="2" t="str">
        <f t="shared" si="5"/>
        <v>#N/A</v>
      </c>
    </row>
    <row r="160">
      <c r="A160" s="1" t="s">
        <v>2</v>
      </c>
      <c r="B160" s="2" t="str">
        <f t="shared" si="1"/>
        <v>#VALUE!</v>
      </c>
      <c r="C160" s="2" t="str">
        <f>IFERROR(__xludf.DUMMYFUNCTION("SPLIT(B160,"" "")"),"#VALUE!")</f>
        <v>#VALUE!</v>
      </c>
      <c r="E160" s="2" t="str">
        <f t="shared" si="2"/>
        <v>#VALUE!</v>
      </c>
      <c r="F160" s="2" t="str">
        <f>IFERROR(__xludf.DUMMYFUNCTION("SPLIT(E160,"" "")"),"#VALUE!")</f>
        <v>#VALUE!</v>
      </c>
      <c r="I160" s="2" t="str">
        <f t="shared" si="3"/>
        <v>#VALUE!</v>
      </c>
      <c r="J160" s="2" t="str">
        <f>IFERROR(__xludf.DUMMYFUNCTION("SPLIT(I160,"" "")"),"#VALUE!")</f>
        <v>#VALUE!</v>
      </c>
      <c r="M160" s="2" t="b">
        <f t="shared" si="4"/>
        <v>0</v>
      </c>
      <c r="N160" s="2" t="b">
        <f>IFERROR(__xludf.DUMMYFUNCTION("IF(AND(REGEXMATCH($G$4, ""cd""),M160),N159+J160)"),FALSE)</f>
        <v>0</v>
      </c>
      <c r="O160" s="2" t="str">
        <f t="shared" si="5"/>
        <v>#N/A</v>
      </c>
    </row>
    <row r="161">
      <c r="A161" s="1" t="s">
        <v>96</v>
      </c>
      <c r="B161" s="2" t="str">
        <f t="shared" si="1"/>
        <v>#VALUE!</v>
      </c>
      <c r="C161" s="2" t="str">
        <f>IFERROR(__xludf.DUMMYFUNCTION("SPLIT(B161,"" "")"),"#VALUE!")</f>
        <v>#VALUE!</v>
      </c>
      <c r="E161" s="2" t="str">
        <f t="shared" si="2"/>
        <v>#VALUE!</v>
      </c>
      <c r="F161" s="2" t="str">
        <f>IFERROR(__xludf.DUMMYFUNCTION("SPLIT(E161,"" "")"),"#VALUE!")</f>
        <v>#VALUE!</v>
      </c>
      <c r="I161" s="2" t="str">
        <f t="shared" si="3"/>
        <v>#VALUE!</v>
      </c>
      <c r="J161" s="2" t="str">
        <f>IFERROR(__xludf.DUMMYFUNCTION("SPLIT(I161,"" "")"),"#VALUE!")</f>
        <v>#VALUE!</v>
      </c>
      <c r="M161" s="2" t="b">
        <f t="shared" si="4"/>
        <v>0</v>
      </c>
      <c r="N161" s="2" t="b">
        <f>IFERROR(__xludf.DUMMYFUNCTION("IF(AND(REGEXMATCH($G$4, ""cd""),M161),N160+J161)"),FALSE)</f>
        <v>0</v>
      </c>
      <c r="O161" s="2" t="str">
        <f t="shared" si="5"/>
        <v>#N/A</v>
      </c>
    </row>
    <row r="162">
      <c r="A162" s="1" t="s">
        <v>17</v>
      </c>
      <c r="B162" s="2" t="str">
        <f t="shared" si="1"/>
        <v>#VALUE!</v>
      </c>
      <c r="C162" s="2" t="str">
        <f>IFERROR(__xludf.DUMMYFUNCTION("SPLIT(B162,"" "")"),"#VALUE!")</f>
        <v>#VALUE!</v>
      </c>
      <c r="E162" s="2" t="str">
        <f t="shared" si="2"/>
        <v>$ cd ..</v>
      </c>
      <c r="F162" s="2" t="str">
        <f>IFERROR(__xludf.DUMMYFUNCTION("SPLIT(E162,"" "")"),"$")</f>
        <v>$</v>
      </c>
      <c r="G162" s="2" t="str">
        <f>IFERROR(__xludf.DUMMYFUNCTION("""COMPUTED_VALUE"""),"cd")</f>
        <v>cd</v>
      </c>
      <c r="H162" s="2" t="str">
        <f>IFERROR(__xludf.DUMMYFUNCTION("""COMPUTED_VALUE"""),"..")</f>
        <v>..</v>
      </c>
      <c r="I162" s="2" t="str">
        <f t="shared" si="3"/>
        <v>$ cd ..</v>
      </c>
      <c r="J162" s="2" t="str">
        <f>IFERROR(__xludf.DUMMYFUNCTION("SPLIT(I162,"" "")"),"$")</f>
        <v>$</v>
      </c>
      <c r="K162" s="2" t="str">
        <f>IFERROR(__xludf.DUMMYFUNCTION("""COMPUTED_VALUE"""),"cd")</f>
        <v>cd</v>
      </c>
      <c r="L162" s="2" t="str">
        <f>IFERROR(__xludf.DUMMYFUNCTION("""COMPUTED_VALUE"""),"..")</f>
        <v>..</v>
      </c>
      <c r="M162" s="2" t="b">
        <f t="shared" si="4"/>
        <v>0</v>
      </c>
      <c r="N162" s="2" t="b">
        <f>IFERROR(__xludf.DUMMYFUNCTION("IF(AND(REGEXMATCH($G$4, ""cd""),M162),N161+J162)"),FALSE)</f>
        <v>0</v>
      </c>
      <c r="O162" s="2" t="str">
        <f t="shared" si="5"/>
        <v>#N/A</v>
      </c>
    </row>
    <row r="163">
      <c r="A163" s="1" t="s">
        <v>97</v>
      </c>
      <c r="B163" s="2" t="str">
        <f t="shared" si="1"/>
        <v>#VALUE!</v>
      </c>
      <c r="C163" s="2" t="str">
        <f>IFERROR(__xludf.DUMMYFUNCTION("SPLIT(B163,"" "")"),"#VALUE!")</f>
        <v>#VALUE!</v>
      </c>
      <c r="E163" s="2" t="str">
        <f t="shared" si="2"/>
        <v>$ cd rjl</v>
      </c>
      <c r="F163" s="2" t="str">
        <f>IFERROR(__xludf.DUMMYFUNCTION("SPLIT(E163,"" "")"),"$")</f>
        <v>$</v>
      </c>
      <c r="G163" s="2" t="str">
        <f>IFERROR(__xludf.DUMMYFUNCTION("""COMPUTED_VALUE"""),"cd")</f>
        <v>cd</v>
      </c>
      <c r="H163" s="2" t="str">
        <f>IFERROR(__xludf.DUMMYFUNCTION("""COMPUTED_VALUE"""),"rjl")</f>
        <v>rjl</v>
      </c>
      <c r="I163" s="2" t="str">
        <f t="shared" si="3"/>
        <v>#VALUE!</v>
      </c>
      <c r="J163" s="2" t="str">
        <f>IFERROR(__xludf.DUMMYFUNCTION("SPLIT(I163,"" "")"),"#VALUE!")</f>
        <v>#VALUE!</v>
      </c>
      <c r="M163" s="2" t="b">
        <f t="shared" si="4"/>
        <v>0</v>
      </c>
      <c r="N163" s="2" t="b">
        <f>IFERROR(__xludf.DUMMYFUNCTION("IF(AND(REGEXMATCH($G$4, ""cd""),M163),N162+J163)"),FALSE)</f>
        <v>0</v>
      </c>
      <c r="O163" s="2" t="str">
        <f t="shared" si="5"/>
        <v>#N/A</v>
      </c>
    </row>
    <row r="164">
      <c r="A164" s="1" t="s">
        <v>2</v>
      </c>
      <c r="B164" s="2" t="str">
        <f t="shared" si="1"/>
        <v>#VALUE!</v>
      </c>
      <c r="C164" s="2" t="str">
        <f>IFERROR(__xludf.DUMMYFUNCTION("SPLIT(B164,"" "")"),"#VALUE!")</f>
        <v>#VALUE!</v>
      </c>
      <c r="E164" s="2" t="str">
        <f t="shared" si="2"/>
        <v>#VALUE!</v>
      </c>
      <c r="F164" s="2" t="str">
        <f>IFERROR(__xludf.DUMMYFUNCTION("SPLIT(E164,"" "")"),"#VALUE!")</f>
        <v>#VALUE!</v>
      </c>
      <c r="I164" s="2" t="str">
        <f t="shared" si="3"/>
        <v>#VALUE!</v>
      </c>
      <c r="J164" s="2" t="str">
        <f>IFERROR(__xludf.DUMMYFUNCTION("SPLIT(I164,"" "")"),"#VALUE!")</f>
        <v>#VALUE!</v>
      </c>
      <c r="M164" s="2" t="b">
        <f t="shared" si="4"/>
        <v>0</v>
      </c>
      <c r="N164" s="2" t="b">
        <f>IFERROR(__xludf.DUMMYFUNCTION("IF(AND(REGEXMATCH($G$4, ""cd""),M164),N163+J164)"),FALSE)</f>
        <v>0</v>
      </c>
      <c r="O164" s="2" t="str">
        <f t="shared" si="5"/>
        <v>#N/A</v>
      </c>
    </row>
    <row r="165">
      <c r="A165" s="1" t="s">
        <v>98</v>
      </c>
      <c r="B165" s="2" t="str">
        <f t="shared" si="1"/>
        <v>#VALUE!</v>
      </c>
      <c r="C165" s="2" t="str">
        <f>IFERROR(__xludf.DUMMYFUNCTION("SPLIT(B165,"" "")"),"#VALUE!")</f>
        <v>#VALUE!</v>
      </c>
      <c r="E165" s="2" t="str">
        <f t="shared" si="2"/>
        <v>#VALUE!</v>
      </c>
      <c r="F165" s="2" t="str">
        <f>IFERROR(__xludf.DUMMYFUNCTION("SPLIT(E165,"" "")"),"#VALUE!")</f>
        <v>#VALUE!</v>
      </c>
      <c r="I165" s="2" t="str">
        <f t="shared" si="3"/>
        <v>#VALUE!</v>
      </c>
      <c r="J165" s="2" t="str">
        <f>IFERROR(__xludf.DUMMYFUNCTION("SPLIT(I165,"" "")"),"#VALUE!")</f>
        <v>#VALUE!</v>
      </c>
      <c r="M165" s="2" t="b">
        <f t="shared" si="4"/>
        <v>0</v>
      </c>
      <c r="N165" s="2" t="b">
        <f>IFERROR(__xludf.DUMMYFUNCTION("IF(AND(REGEXMATCH($G$4, ""cd""),M165),N164+J165)"),FALSE)</f>
        <v>0</v>
      </c>
      <c r="O165" s="2" t="str">
        <f t="shared" si="5"/>
        <v>#N/A</v>
      </c>
    </row>
    <row r="166">
      <c r="A166" s="1" t="s">
        <v>17</v>
      </c>
      <c r="B166" s="2" t="str">
        <f t="shared" si="1"/>
        <v>#VALUE!</v>
      </c>
      <c r="C166" s="2" t="str">
        <f>IFERROR(__xludf.DUMMYFUNCTION("SPLIT(B166,"" "")"),"#VALUE!")</f>
        <v>#VALUE!</v>
      </c>
      <c r="E166" s="2" t="str">
        <f t="shared" si="2"/>
        <v>$ cd ..</v>
      </c>
      <c r="F166" s="2" t="str">
        <f>IFERROR(__xludf.DUMMYFUNCTION("SPLIT(E166,"" "")"),"$")</f>
        <v>$</v>
      </c>
      <c r="G166" s="2" t="str">
        <f>IFERROR(__xludf.DUMMYFUNCTION("""COMPUTED_VALUE"""),"cd")</f>
        <v>cd</v>
      </c>
      <c r="H166" s="2" t="str">
        <f>IFERROR(__xludf.DUMMYFUNCTION("""COMPUTED_VALUE"""),"..")</f>
        <v>..</v>
      </c>
      <c r="I166" s="2" t="str">
        <f t="shared" si="3"/>
        <v>$ cd ..</v>
      </c>
      <c r="J166" s="2" t="str">
        <f>IFERROR(__xludf.DUMMYFUNCTION("SPLIT(I166,"" "")"),"$")</f>
        <v>$</v>
      </c>
      <c r="K166" s="2" t="str">
        <f>IFERROR(__xludf.DUMMYFUNCTION("""COMPUTED_VALUE"""),"cd")</f>
        <v>cd</v>
      </c>
      <c r="L166" s="2" t="str">
        <f>IFERROR(__xludf.DUMMYFUNCTION("""COMPUTED_VALUE"""),"..")</f>
        <v>..</v>
      </c>
      <c r="M166" s="2" t="b">
        <f t="shared" si="4"/>
        <v>0</v>
      </c>
      <c r="N166" s="2" t="b">
        <f>IFERROR(__xludf.DUMMYFUNCTION("IF(AND(REGEXMATCH($G$4, ""cd""),M166),N165+J166)"),FALSE)</f>
        <v>0</v>
      </c>
      <c r="O166" s="2" t="str">
        <f t="shared" si="5"/>
        <v>#N/A</v>
      </c>
    </row>
    <row r="167">
      <c r="A167" s="1" t="s">
        <v>99</v>
      </c>
      <c r="B167" s="2" t="str">
        <f t="shared" si="1"/>
        <v>#VALUE!</v>
      </c>
      <c r="C167" s="2" t="str">
        <f>IFERROR(__xludf.DUMMYFUNCTION("SPLIT(B167,"" "")"),"#VALUE!")</f>
        <v>#VALUE!</v>
      </c>
      <c r="E167" s="2" t="str">
        <f t="shared" si="2"/>
        <v>$ cd rzvqvv</v>
      </c>
      <c r="F167" s="2" t="str">
        <f>IFERROR(__xludf.DUMMYFUNCTION("SPLIT(E167,"" "")"),"$")</f>
        <v>$</v>
      </c>
      <c r="G167" s="2" t="str">
        <f>IFERROR(__xludf.DUMMYFUNCTION("""COMPUTED_VALUE"""),"cd")</f>
        <v>cd</v>
      </c>
      <c r="H167" s="2" t="str">
        <f>IFERROR(__xludf.DUMMYFUNCTION("""COMPUTED_VALUE"""),"rzvqvv")</f>
        <v>rzvqvv</v>
      </c>
      <c r="I167" s="2" t="str">
        <f t="shared" si="3"/>
        <v>#VALUE!</v>
      </c>
      <c r="J167" s="2" t="str">
        <f>IFERROR(__xludf.DUMMYFUNCTION("SPLIT(I167,"" "")"),"#VALUE!")</f>
        <v>#VALUE!</v>
      </c>
      <c r="M167" s="2" t="b">
        <f t="shared" si="4"/>
        <v>0</v>
      </c>
      <c r="N167" s="2" t="b">
        <f>IFERROR(__xludf.DUMMYFUNCTION("IF(AND(REGEXMATCH($G$4, ""cd""),M167),N166+J167)"),FALSE)</f>
        <v>0</v>
      </c>
      <c r="O167" s="2" t="str">
        <f t="shared" si="5"/>
        <v>#N/A</v>
      </c>
    </row>
    <row r="168">
      <c r="A168" s="1" t="s">
        <v>2</v>
      </c>
      <c r="B168" s="2" t="str">
        <f t="shared" si="1"/>
        <v>#VALUE!</v>
      </c>
      <c r="C168" s="2" t="str">
        <f>IFERROR(__xludf.DUMMYFUNCTION("SPLIT(B168,"" "")"),"#VALUE!")</f>
        <v>#VALUE!</v>
      </c>
      <c r="E168" s="2" t="str">
        <f t="shared" si="2"/>
        <v>#VALUE!</v>
      </c>
      <c r="F168" s="2" t="str">
        <f>IFERROR(__xludf.DUMMYFUNCTION("SPLIT(E168,"" "")"),"#VALUE!")</f>
        <v>#VALUE!</v>
      </c>
      <c r="I168" s="2" t="str">
        <f t="shared" si="3"/>
        <v>#VALUE!</v>
      </c>
      <c r="J168" s="2" t="str">
        <f>IFERROR(__xludf.DUMMYFUNCTION("SPLIT(I168,"" "")"),"#VALUE!")</f>
        <v>#VALUE!</v>
      </c>
      <c r="M168" s="2" t="b">
        <f t="shared" si="4"/>
        <v>0</v>
      </c>
      <c r="N168" s="2" t="b">
        <f>IFERROR(__xludf.DUMMYFUNCTION("IF(AND(REGEXMATCH($G$4, ""cd""),M168),N167+J168)"),FALSE)</f>
        <v>0</v>
      </c>
      <c r="O168" s="2" t="str">
        <f t="shared" si="5"/>
        <v>#N/A</v>
      </c>
    </row>
    <row r="169">
      <c r="A169" s="1" t="s">
        <v>100</v>
      </c>
      <c r="B169" s="2" t="str">
        <f t="shared" si="1"/>
        <v>#VALUE!</v>
      </c>
      <c r="C169" s="2" t="str">
        <f>IFERROR(__xludf.DUMMYFUNCTION("SPLIT(B169,"" "")"),"#VALUE!")</f>
        <v>#VALUE!</v>
      </c>
      <c r="E169" s="2" t="str">
        <f t="shared" si="2"/>
        <v>#VALUE!</v>
      </c>
      <c r="F169" s="2" t="str">
        <f>IFERROR(__xludf.DUMMYFUNCTION("SPLIT(E169,"" "")"),"#VALUE!")</f>
        <v>#VALUE!</v>
      </c>
      <c r="I169" s="2" t="str">
        <f t="shared" si="3"/>
        <v>#VALUE!</v>
      </c>
      <c r="J169" s="2" t="str">
        <f>IFERROR(__xludf.DUMMYFUNCTION("SPLIT(I169,"" "")"),"#VALUE!")</f>
        <v>#VALUE!</v>
      </c>
      <c r="M169" s="2" t="b">
        <f t="shared" si="4"/>
        <v>0</v>
      </c>
      <c r="N169" s="2" t="b">
        <f>IFERROR(__xludf.DUMMYFUNCTION("IF(AND(REGEXMATCH($G$4, ""cd""),M169),N168+J169)"),FALSE)</f>
        <v>0</v>
      </c>
      <c r="O169" s="2" t="str">
        <f t="shared" si="5"/>
        <v>#N/A</v>
      </c>
    </row>
    <row r="170">
      <c r="A170" s="1" t="s">
        <v>17</v>
      </c>
      <c r="B170" s="2" t="str">
        <f t="shared" si="1"/>
        <v>#VALUE!</v>
      </c>
      <c r="C170" s="2" t="str">
        <f>IFERROR(__xludf.DUMMYFUNCTION("SPLIT(B170,"" "")"),"#VALUE!")</f>
        <v>#VALUE!</v>
      </c>
      <c r="E170" s="2" t="str">
        <f t="shared" si="2"/>
        <v>$ cd ..</v>
      </c>
      <c r="F170" s="2" t="str">
        <f>IFERROR(__xludf.DUMMYFUNCTION("SPLIT(E170,"" "")"),"$")</f>
        <v>$</v>
      </c>
      <c r="G170" s="2" t="str">
        <f>IFERROR(__xludf.DUMMYFUNCTION("""COMPUTED_VALUE"""),"cd")</f>
        <v>cd</v>
      </c>
      <c r="H170" s="2" t="str">
        <f>IFERROR(__xludf.DUMMYFUNCTION("""COMPUTED_VALUE"""),"..")</f>
        <v>..</v>
      </c>
      <c r="I170" s="2" t="str">
        <f t="shared" si="3"/>
        <v>$ cd ..</v>
      </c>
      <c r="J170" s="2" t="str">
        <f>IFERROR(__xludf.DUMMYFUNCTION("SPLIT(I170,"" "")"),"$")</f>
        <v>$</v>
      </c>
      <c r="K170" s="2" t="str">
        <f>IFERROR(__xludf.DUMMYFUNCTION("""COMPUTED_VALUE"""),"cd")</f>
        <v>cd</v>
      </c>
      <c r="L170" s="2" t="str">
        <f>IFERROR(__xludf.DUMMYFUNCTION("""COMPUTED_VALUE"""),"..")</f>
        <v>..</v>
      </c>
      <c r="M170" s="2" t="b">
        <f t="shared" si="4"/>
        <v>0</v>
      </c>
      <c r="N170" s="2" t="b">
        <f>IFERROR(__xludf.DUMMYFUNCTION("IF(AND(REGEXMATCH($G$4, ""cd""),M170),N169+J170)"),FALSE)</f>
        <v>0</v>
      </c>
      <c r="O170" s="2" t="str">
        <f t="shared" si="5"/>
        <v>#N/A</v>
      </c>
    </row>
    <row r="171">
      <c r="A171" s="1" t="s">
        <v>60</v>
      </c>
      <c r="B171" s="2" t="str">
        <f t="shared" si="1"/>
        <v>#VALUE!</v>
      </c>
      <c r="C171" s="2" t="str">
        <f>IFERROR(__xludf.DUMMYFUNCTION("SPLIT(B171,"" "")"),"#VALUE!")</f>
        <v>#VALUE!</v>
      </c>
      <c r="E171" s="2" t="str">
        <f t="shared" si="2"/>
        <v>$ cd slzdbm</v>
      </c>
      <c r="F171" s="2" t="str">
        <f>IFERROR(__xludf.DUMMYFUNCTION("SPLIT(E171,"" "")"),"$")</f>
        <v>$</v>
      </c>
      <c r="G171" s="2" t="str">
        <f>IFERROR(__xludf.DUMMYFUNCTION("""COMPUTED_VALUE"""),"cd")</f>
        <v>cd</v>
      </c>
      <c r="H171" s="2" t="str">
        <f>IFERROR(__xludf.DUMMYFUNCTION("""COMPUTED_VALUE"""),"slzdbm")</f>
        <v>slzdbm</v>
      </c>
      <c r="I171" s="2" t="str">
        <f t="shared" si="3"/>
        <v>#VALUE!</v>
      </c>
      <c r="J171" s="2" t="str">
        <f>IFERROR(__xludf.DUMMYFUNCTION("SPLIT(I171,"" "")"),"#VALUE!")</f>
        <v>#VALUE!</v>
      </c>
      <c r="M171" s="2" t="b">
        <f t="shared" si="4"/>
        <v>0</v>
      </c>
      <c r="N171" s="2" t="b">
        <f>IFERROR(__xludf.DUMMYFUNCTION("IF(AND(REGEXMATCH($G$4, ""cd""),M171),N170+J171)"),FALSE)</f>
        <v>0</v>
      </c>
      <c r="O171" s="2" t="str">
        <f t="shared" si="5"/>
        <v>#N/A</v>
      </c>
    </row>
    <row r="172">
      <c r="A172" s="1" t="s">
        <v>2</v>
      </c>
      <c r="B172" s="2" t="str">
        <f t="shared" si="1"/>
        <v>#VALUE!</v>
      </c>
      <c r="C172" s="2" t="str">
        <f>IFERROR(__xludf.DUMMYFUNCTION("SPLIT(B172,"" "")"),"#VALUE!")</f>
        <v>#VALUE!</v>
      </c>
      <c r="E172" s="2" t="str">
        <f t="shared" si="2"/>
        <v>#VALUE!</v>
      </c>
      <c r="F172" s="2" t="str">
        <f>IFERROR(__xludf.DUMMYFUNCTION("SPLIT(E172,"" "")"),"#VALUE!")</f>
        <v>#VALUE!</v>
      </c>
      <c r="I172" s="2" t="str">
        <f t="shared" si="3"/>
        <v>#VALUE!</v>
      </c>
      <c r="J172" s="2" t="str">
        <f>IFERROR(__xludf.DUMMYFUNCTION("SPLIT(I172,"" "")"),"#VALUE!")</f>
        <v>#VALUE!</v>
      </c>
      <c r="M172" s="2" t="b">
        <f t="shared" si="4"/>
        <v>0</v>
      </c>
      <c r="N172" s="2" t="b">
        <f>IFERROR(__xludf.DUMMYFUNCTION("IF(AND(REGEXMATCH($G$4, ""cd""),M172),N171+J172)"),FALSE)</f>
        <v>0</v>
      </c>
      <c r="O172" s="2" t="str">
        <f t="shared" si="5"/>
        <v>#N/A</v>
      </c>
    </row>
    <row r="173">
      <c r="A173" s="1" t="s">
        <v>50</v>
      </c>
      <c r="B173" s="2" t="str">
        <f t="shared" si="1"/>
        <v>dir hlvpfw</v>
      </c>
      <c r="C173" s="2" t="str">
        <f>IFERROR(__xludf.DUMMYFUNCTION("SPLIT(B173,"" "")"),"dir")</f>
        <v>dir</v>
      </c>
      <c r="D173" s="2" t="str">
        <f>IFERROR(__xludf.DUMMYFUNCTION("""COMPUTED_VALUE"""),"hlvpfw")</f>
        <v>hlvpfw</v>
      </c>
      <c r="E173" s="2" t="str">
        <f t="shared" si="2"/>
        <v>#VALUE!</v>
      </c>
      <c r="F173" s="2" t="str">
        <f>IFERROR(__xludf.DUMMYFUNCTION("SPLIT(E173,"" "")"),"#VALUE!")</f>
        <v>#VALUE!</v>
      </c>
      <c r="I173" s="2" t="str">
        <f t="shared" si="3"/>
        <v>#VALUE!</v>
      </c>
      <c r="J173" s="2" t="str">
        <f>IFERROR(__xludf.DUMMYFUNCTION("SPLIT(I173,"" "")"),"#VALUE!")</f>
        <v>#VALUE!</v>
      </c>
      <c r="M173" s="2" t="b">
        <f t="shared" si="4"/>
        <v>0</v>
      </c>
      <c r="N173" s="2" t="b">
        <f>IFERROR(__xludf.DUMMYFUNCTION("IF(AND(REGEXMATCH($G$4, ""cd""),M173),N172+J173)"),FALSE)</f>
        <v>0</v>
      </c>
      <c r="O173" s="2" t="str">
        <f t="shared" si="5"/>
        <v>#N/A</v>
      </c>
    </row>
    <row r="174">
      <c r="A174" s="1" t="s">
        <v>101</v>
      </c>
      <c r="B174" s="2" t="str">
        <f t="shared" si="1"/>
        <v>#VALUE!</v>
      </c>
      <c r="C174" s="2" t="str">
        <f>IFERROR(__xludf.DUMMYFUNCTION("SPLIT(B174,"" "")"),"#VALUE!")</f>
        <v>#VALUE!</v>
      </c>
      <c r="E174" s="2" t="str">
        <f t="shared" si="2"/>
        <v>#VALUE!</v>
      </c>
      <c r="F174" s="2" t="str">
        <f>IFERROR(__xludf.DUMMYFUNCTION("SPLIT(E174,"" "")"),"#VALUE!")</f>
        <v>#VALUE!</v>
      </c>
      <c r="I174" s="2" t="str">
        <f t="shared" si="3"/>
        <v>290414 lgzbzjvd.glj</v>
      </c>
      <c r="J174" s="2">
        <f>IFERROR(__xludf.DUMMYFUNCTION("SPLIT(I174,"" "")"),290414.0)</f>
        <v>290414</v>
      </c>
      <c r="K174" s="2" t="str">
        <f>IFERROR(__xludf.DUMMYFUNCTION("""COMPUTED_VALUE"""),"lgzbzjvd.glj")</f>
        <v>lgzbzjvd.glj</v>
      </c>
      <c r="M174" s="2" t="b">
        <f t="shared" si="4"/>
        <v>1</v>
      </c>
      <c r="N174" s="2">
        <f>IFERROR(__xludf.DUMMYFUNCTION("IF(AND(REGEXMATCH($G$4, ""cd""),M174),N173+J174)"),290414.0)</f>
        <v>290414</v>
      </c>
      <c r="O174" s="2" t="str">
        <f t="shared" si="5"/>
        <v>#N/A</v>
      </c>
    </row>
    <row r="175">
      <c r="A175" s="1" t="s">
        <v>102</v>
      </c>
      <c r="B175" s="2" t="str">
        <f t="shared" si="1"/>
        <v>dir ljpmphn</v>
      </c>
      <c r="C175" s="2" t="str">
        <f>IFERROR(__xludf.DUMMYFUNCTION("SPLIT(B175,"" "")"),"dir")</f>
        <v>dir</v>
      </c>
      <c r="D175" s="2" t="str">
        <f>IFERROR(__xludf.DUMMYFUNCTION("""COMPUTED_VALUE"""),"ljpmphn")</f>
        <v>ljpmphn</v>
      </c>
      <c r="E175" s="2" t="str">
        <f t="shared" si="2"/>
        <v>#VALUE!</v>
      </c>
      <c r="F175" s="2" t="str">
        <f>IFERROR(__xludf.DUMMYFUNCTION("SPLIT(E175,"" "")"),"#VALUE!")</f>
        <v>#VALUE!</v>
      </c>
      <c r="I175" s="2" t="str">
        <f t="shared" si="3"/>
        <v>#VALUE!</v>
      </c>
      <c r="J175" s="2" t="str">
        <f>IFERROR(__xludf.DUMMYFUNCTION("SPLIT(I175,"" "")"),"#VALUE!")</f>
        <v>#VALUE!</v>
      </c>
      <c r="M175" s="2" t="b">
        <f t="shared" si="4"/>
        <v>0</v>
      </c>
      <c r="N175" s="2" t="b">
        <f>IFERROR(__xludf.DUMMYFUNCTION("IF(AND(REGEXMATCH($G$4, ""cd""),M175),N174+J175)"),FALSE)</f>
        <v>0</v>
      </c>
      <c r="O175" s="2" t="str">
        <f t="shared" si="5"/>
        <v>#N/A</v>
      </c>
    </row>
    <row r="176">
      <c r="A176" s="1" t="s">
        <v>103</v>
      </c>
      <c r="B176" s="2" t="str">
        <f t="shared" si="1"/>
        <v>#VALUE!</v>
      </c>
      <c r="C176" s="2" t="str">
        <f>IFERROR(__xludf.DUMMYFUNCTION("SPLIT(B176,"" "")"),"#VALUE!")</f>
        <v>#VALUE!</v>
      </c>
      <c r="E176" s="2" t="str">
        <f t="shared" si="2"/>
        <v>#VALUE!</v>
      </c>
      <c r="F176" s="2" t="str">
        <f>IFERROR(__xludf.DUMMYFUNCTION("SPLIT(E176,"" "")"),"#VALUE!")</f>
        <v>#VALUE!</v>
      </c>
      <c r="I176" s="2" t="str">
        <f t="shared" si="3"/>
        <v>316440 slzdbm.tsj</v>
      </c>
      <c r="J176" s="2">
        <f>IFERROR(__xludf.DUMMYFUNCTION("SPLIT(I176,"" "")"),316440.0)</f>
        <v>316440</v>
      </c>
      <c r="K176" s="2" t="str">
        <f>IFERROR(__xludf.DUMMYFUNCTION("""COMPUTED_VALUE"""),"slzdbm.tsj")</f>
        <v>slzdbm.tsj</v>
      </c>
      <c r="M176" s="2" t="b">
        <f t="shared" si="4"/>
        <v>1</v>
      </c>
      <c r="N176" s="2">
        <f>IFERROR(__xludf.DUMMYFUNCTION("IF(AND(REGEXMATCH($G$4, ""cd""),M176),N175+J176)"),316440.0)</f>
        <v>316440</v>
      </c>
      <c r="O176" s="2" t="str">
        <f t="shared" si="5"/>
        <v>#N/A</v>
      </c>
    </row>
    <row r="177">
      <c r="A177" s="1" t="s">
        <v>52</v>
      </c>
      <c r="B177" s="2" t="str">
        <f t="shared" si="1"/>
        <v>#VALUE!</v>
      </c>
      <c r="C177" s="2" t="str">
        <f>IFERROR(__xludf.DUMMYFUNCTION("SPLIT(B177,"" "")"),"#VALUE!")</f>
        <v>#VALUE!</v>
      </c>
      <c r="E177" s="2" t="str">
        <f t="shared" si="2"/>
        <v>$ cd hlvpfw</v>
      </c>
      <c r="F177" s="2" t="str">
        <f>IFERROR(__xludf.DUMMYFUNCTION("SPLIT(E177,"" "")"),"$")</f>
        <v>$</v>
      </c>
      <c r="G177" s="2" t="str">
        <f>IFERROR(__xludf.DUMMYFUNCTION("""COMPUTED_VALUE"""),"cd")</f>
        <v>cd</v>
      </c>
      <c r="H177" s="2" t="str">
        <f>IFERROR(__xludf.DUMMYFUNCTION("""COMPUTED_VALUE"""),"hlvpfw")</f>
        <v>hlvpfw</v>
      </c>
      <c r="I177" s="2" t="str">
        <f t="shared" si="3"/>
        <v>#VALUE!</v>
      </c>
      <c r="J177" s="2" t="str">
        <f>IFERROR(__xludf.DUMMYFUNCTION("SPLIT(I177,"" "")"),"#VALUE!")</f>
        <v>#VALUE!</v>
      </c>
      <c r="M177" s="2" t="b">
        <f t="shared" si="4"/>
        <v>0</v>
      </c>
      <c r="N177" s="2" t="b">
        <f>IFERROR(__xludf.DUMMYFUNCTION("IF(AND(REGEXMATCH($G$4, ""cd""),M177),N176+J177)"),FALSE)</f>
        <v>0</v>
      </c>
      <c r="O177" s="2" t="str">
        <f t="shared" si="5"/>
        <v>#N/A</v>
      </c>
    </row>
    <row r="178">
      <c r="A178" s="1" t="s">
        <v>2</v>
      </c>
      <c r="B178" s="2" t="str">
        <f t="shared" si="1"/>
        <v>#VALUE!</v>
      </c>
      <c r="C178" s="2" t="str">
        <f>IFERROR(__xludf.DUMMYFUNCTION("SPLIT(B178,"" "")"),"#VALUE!")</f>
        <v>#VALUE!</v>
      </c>
      <c r="E178" s="2" t="str">
        <f t="shared" si="2"/>
        <v>#VALUE!</v>
      </c>
      <c r="F178" s="2" t="str">
        <f>IFERROR(__xludf.DUMMYFUNCTION("SPLIT(E178,"" "")"),"#VALUE!")</f>
        <v>#VALUE!</v>
      </c>
      <c r="I178" s="2" t="str">
        <f t="shared" si="3"/>
        <v>#VALUE!</v>
      </c>
      <c r="J178" s="2" t="str">
        <f>IFERROR(__xludf.DUMMYFUNCTION("SPLIT(I178,"" "")"),"#VALUE!")</f>
        <v>#VALUE!</v>
      </c>
      <c r="M178" s="2" t="b">
        <f t="shared" si="4"/>
        <v>0</v>
      </c>
      <c r="N178" s="2" t="b">
        <f>IFERROR(__xludf.DUMMYFUNCTION("IF(AND(REGEXMATCH($G$4, ""cd""),M178),N177+J178)"),FALSE)</f>
        <v>0</v>
      </c>
      <c r="O178" s="2" t="str">
        <f t="shared" si="5"/>
        <v>#N/A</v>
      </c>
    </row>
    <row r="179">
      <c r="A179" s="1" t="s">
        <v>104</v>
      </c>
      <c r="B179" s="2" t="str">
        <f t="shared" si="1"/>
        <v>dir mhvmszgh</v>
      </c>
      <c r="C179" s="2" t="str">
        <f>IFERROR(__xludf.DUMMYFUNCTION("SPLIT(B179,"" "")"),"dir")</f>
        <v>dir</v>
      </c>
      <c r="D179" s="2" t="str">
        <f>IFERROR(__xludf.DUMMYFUNCTION("""COMPUTED_VALUE"""),"mhvmszgh")</f>
        <v>mhvmszgh</v>
      </c>
      <c r="E179" s="2" t="str">
        <f t="shared" si="2"/>
        <v>#VALUE!</v>
      </c>
      <c r="F179" s="2" t="str">
        <f>IFERROR(__xludf.DUMMYFUNCTION("SPLIT(E179,"" "")"),"#VALUE!")</f>
        <v>#VALUE!</v>
      </c>
      <c r="I179" s="2" t="str">
        <f t="shared" si="3"/>
        <v>#VALUE!</v>
      </c>
      <c r="J179" s="2" t="str">
        <f>IFERROR(__xludf.DUMMYFUNCTION("SPLIT(I179,"" "")"),"#VALUE!")</f>
        <v>#VALUE!</v>
      </c>
      <c r="M179" s="2" t="b">
        <f t="shared" si="4"/>
        <v>0</v>
      </c>
      <c r="N179" s="2" t="b">
        <f>IFERROR(__xludf.DUMMYFUNCTION("IF(AND(REGEXMATCH($G$4, ""cd""),M179),N178+J179)"),FALSE)</f>
        <v>0</v>
      </c>
      <c r="O179" s="2" t="str">
        <f t="shared" si="5"/>
        <v>#N/A</v>
      </c>
    </row>
    <row r="180">
      <c r="A180" s="1" t="s">
        <v>105</v>
      </c>
      <c r="B180" s="2" t="str">
        <f t="shared" si="1"/>
        <v>#VALUE!</v>
      </c>
      <c r="C180" s="2" t="str">
        <f>IFERROR(__xludf.DUMMYFUNCTION("SPLIT(B180,"" "")"),"#VALUE!")</f>
        <v>#VALUE!</v>
      </c>
      <c r="E180" s="2" t="str">
        <f t="shared" si="2"/>
        <v>#VALUE!</v>
      </c>
      <c r="F180" s="2" t="str">
        <f>IFERROR(__xludf.DUMMYFUNCTION("SPLIT(E180,"" "")"),"#VALUE!")</f>
        <v>#VALUE!</v>
      </c>
      <c r="I180" s="2" t="str">
        <f t="shared" si="3"/>
        <v>#VALUE!</v>
      </c>
      <c r="J180" s="2" t="str">
        <f>IFERROR(__xludf.DUMMYFUNCTION("SPLIT(I180,"" "")"),"#VALUE!")</f>
        <v>#VALUE!</v>
      </c>
      <c r="M180" s="2" t="b">
        <f t="shared" si="4"/>
        <v>0</v>
      </c>
      <c r="N180" s="2" t="b">
        <f>IFERROR(__xludf.DUMMYFUNCTION("IF(AND(REGEXMATCH($G$4, ""cd""),M180),N179+J180)"),FALSE)</f>
        <v>0</v>
      </c>
      <c r="O180" s="2" t="str">
        <f t="shared" si="5"/>
        <v>#N/A</v>
      </c>
    </row>
    <row r="181">
      <c r="A181" s="1" t="s">
        <v>106</v>
      </c>
      <c r="B181" s="2" t="str">
        <f t="shared" si="1"/>
        <v>#VALUE!</v>
      </c>
      <c r="C181" s="2" t="str">
        <f>IFERROR(__xludf.DUMMYFUNCTION("SPLIT(B181,"" "")"),"#VALUE!")</f>
        <v>#VALUE!</v>
      </c>
      <c r="E181" s="2" t="str">
        <f t="shared" si="2"/>
        <v>$ cd mhvmszgh</v>
      </c>
      <c r="F181" s="2" t="str">
        <f>IFERROR(__xludf.DUMMYFUNCTION("SPLIT(E181,"" "")"),"$")</f>
        <v>$</v>
      </c>
      <c r="G181" s="2" t="str">
        <f>IFERROR(__xludf.DUMMYFUNCTION("""COMPUTED_VALUE"""),"cd")</f>
        <v>cd</v>
      </c>
      <c r="H181" s="2" t="str">
        <f>IFERROR(__xludf.DUMMYFUNCTION("""COMPUTED_VALUE"""),"mhvmszgh")</f>
        <v>mhvmszgh</v>
      </c>
      <c r="I181" s="2" t="str">
        <f t="shared" si="3"/>
        <v>#VALUE!</v>
      </c>
      <c r="J181" s="2" t="str">
        <f>IFERROR(__xludf.DUMMYFUNCTION("SPLIT(I181,"" "")"),"#VALUE!")</f>
        <v>#VALUE!</v>
      </c>
      <c r="M181" s="2" t="b">
        <f t="shared" si="4"/>
        <v>0</v>
      </c>
      <c r="N181" s="2" t="b">
        <f>IFERROR(__xludf.DUMMYFUNCTION("IF(AND(REGEXMATCH($G$4, ""cd""),M181),N180+J181)"),FALSE)</f>
        <v>0</v>
      </c>
      <c r="O181" s="2" t="str">
        <f t="shared" si="5"/>
        <v>#N/A</v>
      </c>
    </row>
    <row r="182">
      <c r="A182" s="1" t="s">
        <v>2</v>
      </c>
      <c r="B182" s="2" t="str">
        <f t="shared" si="1"/>
        <v>#VALUE!</v>
      </c>
      <c r="C182" s="2" t="str">
        <f>IFERROR(__xludf.DUMMYFUNCTION("SPLIT(B182,"" "")"),"#VALUE!")</f>
        <v>#VALUE!</v>
      </c>
      <c r="E182" s="2" t="str">
        <f t="shared" si="2"/>
        <v>#VALUE!</v>
      </c>
      <c r="F182" s="2" t="str">
        <f>IFERROR(__xludf.DUMMYFUNCTION("SPLIT(E182,"" "")"),"#VALUE!")</f>
        <v>#VALUE!</v>
      </c>
      <c r="I182" s="2" t="str">
        <f t="shared" si="3"/>
        <v>#VALUE!</v>
      </c>
      <c r="J182" s="2" t="str">
        <f>IFERROR(__xludf.DUMMYFUNCTION("SPLIT(I182,"" "")"),"#VALUE!")</f>
        <v>#VALUE!</v>
      </c>
      <c r="M182" s="2" t="b">
        <f t="shared" si="4"/>
        <v>0</v>
      </c>
      <c r="N182" s="2" t="b">
        <f>IFERROR(__xludf.DUMMYFUNCTION("IF(AND(REGEXMATCH($G$4, ""cd""),M182),N181+J182)"),FALSE)</f>
        <v>0</v>
      </c>
      <c r="O182" s="2" t="str">
        <f t="shared" si="5"/>
        <v>#N/A</v>
      </c>
    </row>
    <row r="183">
      <c r="A183" s="1" t="s">
        <v>107</v>
      </c>
      <c r="B183" s="2" t="str">
        <f t="shared" si="1"/>
        <v>dir tftstdp</v>
      </c>
      <c r="C183" s="2" t="str">
        <f>IFERROR(__xludf.DUMMYFUNCTION("SPLIT(B183,"" "")"),"dir")</f>
        <v>dir</v>
      </c>
      <c r="D183" s="2" t="str">
        <f>IFERROR(__xludf.DUMMYFUNCTION("""COMPUTED_VALUE"""),"tftstdp")</f>
        <v>tftstdp</v>
      </c>
      <c r="E183" s="2" t="str">
        <f t="shared" si="2"/>
        <v>#VALUE!</v>
      </c>
      <c r="F183" s="2" t="str">
        <f>IFERROR(__xludf.DUMMYFUNCTION("SPLIT(E183,"" "")"),"#VALUE!")</f>
        <v>#VALUE!</v>
      </c>
      <c r="I183" s="2" t="str">
        <f t="shared" si="3"/>
        <v>#VALUE!</v>
      </c>
      <c r="J183" s="2" t="str">
        <f>IFERROR(__xludf.DUMMYFUNCTION("SPLIT(I183,"" "")"),"#VALUE!")</f>
        <v>#VALUE!</v>
      </c>
      <c r="M183" s="2" t="b">
        <f t="shared" si="4"/>
        <v>0</v>
      </c>
      <c r="N183" s="2" t="b">
        <f>IFERROR(__xludf.DUMMYFUNCTION("IF(AND(REGEXMATCH($G$4, ""cd""),M183),N182+J183)"),FALSE)</f>
        <v>0</v>
      </c>
      <c r="O183" s="2" t="str">
        <f t="shared" si="5"/>
        <v>#N/A</v>
      </c>
    </row>
    <row r="184">
      <c r="A184" s="1" t="s">
        <v>108</v>
      </c>
      <c r="B184" s="2" t="str">
        <f t="shared" si="1"/>
        <v>#VALUE!</v>
      </c>
      <c r="C184" s="2" t="str">
        <f>IFERROR(__xludf.DUMMYFUNCTION("SPLIT(B184,"" "")"),"#VALUE!")</f>
        <v>#VALUE!</v>
      </c>
      <c r="E184" s="2" t="str">
        <f t="shared" si="2"/>
        <v>$ cd tftstdp</v>
      </c>
      <c r="F184" s="2" t="str">
        <f>IFERROR(__xludf.DUMMYFUNCTION("SPLIT(E184,"" "")"),"$")</f>
        <v>$</v>
      </c>
      <c r="G184" s="2" t="str">
        <f>IFERROR(__xludf.DUMMYFUNCTION("""COMPUTED_VALUE"""),"cd")</f>
        <v>cd</v>
      </c>
      <c r="H184" s="2" t="str">
        <f>IFERROR(__xludf.DUMMYFUNCTION("""COMPUTED_VALUE"""),"tftstdp")</f>
        <v>tftstdp</v>
      </c>
      <c r="I184" s="2" t="str">
        <f t="shared" si="3"/>
        <v>#VALUE!</v>
      </c>
      <c r="J184" s="2" t="str">
        <f>IFERROR(__xludf.DUMMYFUNCTION("SPLIT(I184,"" "")"),"#VALUE!")</f>
        <v>#VALUE!</v>
      </c>
      <c r="M184" s="2" t="b">
        <f t="shared" si="4"/>
        <v>0</v>
      </c>
      <c r="N184" s="2" t="b">
        <f>IFERROR(__xludf.DUMMYFUNCTION("IF(AND(REGEXMATCH($G$4, ""cd""),M184),N183+J184)"),FALSE)</f>
        <v>0</v>
      </c>
      <c r="O184" s="2" t="str">
        <f t="shared" si="5"/>
        <v>#N/A</v>
      </c>
    </row>
    <row r="185">
      <c r="A185" s="1" t="s">
        <v>2</v>
      </c>
      <c r="B185" s="2" t="str">
        <f t="shared" si="1"/>
        <v>#VALUE!</v>
      </c>
      <c r="C185" s="2" t="str">
        <f>IFERROR(__xludf.DUMMYFUNCTION("SPLIT(B185,"" "")"),"#VALUE!")</f>
        <v>#VALUE!</v>
      </c>
      <c r="E185" s="2" t="str">
        <f t="shared" si="2"/>
        <v>#VALUE!</v>
      </c>
      <c r="F185" s="2" t="str">
        <f>IFERROR(__xludf.DUMMYFUNCTION("SPLIT(E185,"" "")"),"#VALUE!")</f>
        <v>#VALUE!</v>
      </c>
      <c r="I185" s="2" t="str">
        <f t="shared" si="3"/>
        <v>#VALUE!</v>
      </c>
      <c r="J185" s="2" t="str">
        <f>IFERROR(__xludf.DUMMYFUNCTION("SPLIT(I185,"" "")"),"#VALUE!")</f>
        <v>#VALUE!</v>
      </c>
      <c r="M185" s="2" t="b">
        <f t="shared" si="4"/>
        <v>0</v>
      </c>
      <c r="N185" s="2" t="b">
        <f>IFERROR(__xludf.DUMMYFUNCTION("IF(AND(REGEXMATCH($G$4, ""cd""),M185),N184+J185)"),FALSE)</f>
        <v>0</v>
      </c>
      <c r="O185" s="2" t="str">
        <f t="shared" si="5"/>
        <v>#N/A</v>
      </c>
    </row>
    <row r="186">
      <c r="A186" s="1" t="s">
        <v>109</v>
      </c>
      <c r="B186" s="2" t="str">
        <f t="shared" si="1"/>
        <v>#VALUE!</v>
      </c>
      <c r="C186" s="2" t="str">
        <f>IFERROR(__xludf.DUMMYFUNCTION("SPLIT(B186,"" "")"),"#VALUE!")</f>
        <v>#VALUE!</v>
      </c>
      <c r="E186" s="2" t="str">
        <f t="shared" si="2"/>
        <v>176794 mpq.cdn</v>
      </c>
      <c r="F186" s="2">
        <f>IFERROR(__xludf.DUMMYFUNCTION("SPLIT(E186,"" "")"),176794.0)</f>
        <v>176794</v>
      </c>
      <c r="G186" s="2" t="str">
        <f>IFERROR(__xludf.DUMMYFUNCTION("""COMPUTED_VALUE"""),"mpq.cdn")</f>
        <v>mpq.cdn</v>
      </c>
      <c r="I186" s="2" t="str">
        <f t="shared" si="3"/>
        <v>176794 mpq.cdn</v>
      </c>
      <c r="J186" s="2">
        <f>IFERROR(__xludf.DUMMYFUNCTION("SPLIT(I186,"" "")"),176794.0)</f>
        <v>176794</v>
      </c>
      <c r="K186" s="2" t="str">
        <f>IFERROR(__xludf.DUMMYFUNCTION("""COMPUTED_VALUE"""),"mpq.cdn")</f>
        <v>mpq.cdn</v>
      </c>
      <c r="M186" s="2" t="b">
        <f t="shared" si="4"/>
        <v>1</v>
      </c>
      <c r="N186" s="2">
        <f>IFERROR(__xludf.DUMMYFUNCTION("IF(AND(REGEXMATCH($G$4, ""cd""),M186),N185+J186)"),176794.0)</f>
        <v>176794</v>
      </c>
      <c r="O186" s="2" t="str">
        <f t="shared" si="5"/>
        <v>#N/A</v>
      </c>
    </row>
    <row r="187">
      <c r="A187" s="1" t="s">
        <v>17</v>
      </c>
      <c r="B187" s="2" t="str">
        <f t="shared" si="1"/>
        <v>#VALUE!</v>
      </c>
      <c r="C187" s="2" t="str">
        <f>IFERROR(__xludf.DUMMYFUNCTION("SPLIT(B187,"" "")"),"#VALUE!")</f>
        <v>#VALUE!</v>
      </c>
      <c r="E187" s="2" t="str">
        <f t="shared" si="2"/>
        <v>$ cd ..</v>
      </c>
      <c r="F187" s="2" t="str">
        <f>IFERROR(__xludf.DUMMYFUNCTION("SPLIT(E187,"" "")"),"$")</f>
        <v>$</v>
      </c>
      <c r="G187" s="2" t="str">
        <f>IFERROR(__xludf.DUMMYFUNCTION("""COMPUTED_VALUE"""),"cd")</f>
        <v>cd</v>
      </c>
      <c r="H187" s="2" t="str">
        <f>IFERROR(__xludf.DUMMYFUNCTION("""COMPUTED_VALUE"""),"..")</f>
        <v>..</v>
      </c>
      <c r="I187" s="2" t="str">
        <f t="shared" si="3"/>
        <v>$ cd ..</v>
      </c>
      <c r="J187" s="2" t="str">
        <f>IFERROR(__xludf.DUMMYFUNCTION("SPLIT(I187,"" "")"),"$")</f>
        <v>$</v>
      </c>
      <c r="K187" s="2" t="str">
        <f>IFERROR(__xludf.DUMMYFUNCTION("""COMPUTED_VALUE"""),"cd")</f>
        <v>cd</v>
      </c>
      <c r="L187" s="2" t="str">
        <f>IFERROR(__xludf.DUMMYFUNCTION("""COMPUTED_VALUE"""),"..")</f>
        <v>..</v>
      </c>
      <c r="M187" s="2" t="b">
        <f t="shared" si="4"/>
        <v>0</v>
      </c>
      <c r="N187" s="2" t="b">
        <f>IFERROR(__xludf.DUMMYFUNCTION("IF(AND(REGEXMATCH($G$4, ""cd""),M187),N186+J187)"),FALSE)</f>
        <v>0</v>
      </c>
      <c r="O187" s="2" t="str">
        <f t="shared" si="5"/>
        <v>#N/A</v>
      </c>
    </row>
    <row r="188">
      <c r="A188" s="1" t="s">
        <v>17</v>
      </c>
      <c r="B188" s="2" t="str">
        <f t="shared" si="1"/>
        <v>#VALUE!</v>
      </c>
      <c r="C188" s="2" t="str">
        <f>IFERROR(__xludf.DUMMYFUNCTION("SPLIT(B188,"" "")"),"#VALUE!")</f>
        <v>#VALUE!</v>
      </c>
      <c r="E188" s="2" t="str">
        <f t="shared" si="2"/>
        <v>$ cd ..</v>
      </c>
      <c r="F188" s="2" t="str">
        <f>IFERROR(__xludf.DUMMYFUNCTION("SPLIT(E188,"" "")"),"$")</f>
        <v>$</v>
      </c>
      <c r="G188" s="2" t="str">
        <f>IFERROR(__xludf.DUMMYFUNCTION("""COMPUTED_VALUE"""),"cd")</f>
        <v>cd</v>
      </c>
      <c r="H188" s="2" t="str">
        <f>IFERROR(__xludf.DUMMYFUNCTION("""COMPUTED_VALUE"""),"..")</f>
        <v>..</v>
      </c>
      <c r="I188" s="2" t="str">
        <f t="shared" si="3"/>
        <v>$ cd ..</v>
      </c>
      <c r="J188" s="2" t="str">
        <f>IFERROR(__xludf.DUMMYFUNCTION("SPLIT(I188,"" "")"),"$")</f>
        <v>$</v>
      </c>
      <c r="K188" s="2" t="str">
        <f>IFERROR(__xludf.DUMMYFUNCTION("""COMPUTED_VALUE"""),"cd")</f>
        <v>cd</v>
      </c>
      <c r="L188" s="2" t="str">
        <f>IFERROR(__xludf.DUMMYFUNCTION("""COMPUTED_VALUE"""),"..")</f>
        <v>..</v>
      </c>
      <c r="M188" s="2" t="b">
        <f t="shared" si="4"/>
        <v>0</v>
      </c>
      <c r="N188" s="2" t="b">
        <f>IFERROR(__xludf.DUMMYFUNCTION("IF(AND(REGEXMATCH($G$4, ""cd""),M188),N187+J188)"),FALSE)</f>
        <v>0</v>
      </c>
      <c r="O188" s="2" t="str">
        <f t="shared" si="5"/>
        <v>#N/A</v>
      </c>
    </row>
    <row r="189">
      <c r="A189" s="1" t="s">
        <v>17</v>
      </c>
      <c r="B189" s="2" t="str">
        <f t="shared" si="1"/>
        <v>#VALUE!</v>
      </c>
      <c r="C189" s="2" t="str">
        <f>IFERROR(__xludf.DUMMYFUNCTION("SPLIT(B189,"" "")"),"#VALUE!")</f>
        <v>#VALUE!</v>
      </c>
      <c r="E189" s="2" t="str">
        <f t="shared" si="2"/>
        <v>$ cd ..</v>
      </c>
      <c r="F189" s="2" t="str">
        <f>IFERROR(__xludf.DUMMYFUNCTION("SPLIT(E189,"" "")"),"$")</f>
        <v>$</v>
      </c>
      <c r="G189" s="2" t="str">
        <f>IFERROR(__xludf.DUMMYFUNCTION("""COMPUTED_VALUE"""),"cd")</f>
        <v>cd</v>
      </c>
      <c r="H189" s="2" t="str">
        <f>IFERROR(__xludf.DUMMYFUNCTION("""COMPUTED_VALUE"""),"..")</f>
        <v>..</v>
      </c>
      <c r="I189" s="2" t="str">
        <f t="shared" si="3"/>
        <v>$ cd ..</v>
      </c>
      <c r="J189" s="2" t="str">
        <f>IFERROR(__xludf.DUMMYFUNCTION("SPLIT(I189,"" "")"),"$")</f>
        <v>$</v>
      </c>
      <c r="K189" s="2" t="str">
        <f>IFERROR(__xludf.DUMMYFUNCTION("""COMPUTED_VALUE"""),"cd")</f>
        <v>cd</v>
      </c>
      <c r="L189" s="2" t="str">
        <f>IFERROR(__xludf.DUMMYFUNCTION("""COMPUTED_VALUE"""),"..")</f>
        <v>..</v>
      </c>
      <c r="M189" s="2" t="b">
        <f t="shared" si="4"/>
        <v>0</v>
      </c>
      <c r="N189" s="2" t="b">
        <f>IFERROR(__xludf.DUMMYFUNCTION("IF(AND(REGEXMATCH($G$4, ""cd""),M189),N188+J189)"),FALSE)</f>
        <v>0</v>
      </c>
      <c r="O189" s="2" t="str">
        <f t="shared" si="5"/>
        <v>#N/A</v>
      </c>
    </row>
    <row r="190">
      <c r="A190" s="1" t="s">
        <v>110</v>
      </c>
      <c r="B190" s="2" t="str">
        <f t="shared" si="1"/>
        <v>#VALUE!</v>
      </c>
      <c r="C190" s="2" t="str">
        <f>IFERROR(__xludf.DUMMYFUNCTION("SPLIT(B190,"" "")"),"#VALUE!")</f>
        <v>#VALUE!</v>
      </c>
      <c r="E190" s="2" t="str">
        <f t="shared" si="2"/>
        <v>$ cd ljpmphn</v>
      </c>
      <c r="F190" s="2" t="str">
        <f>IFERROR(__xludf.DUMMYFUNCTION("SPLIT(E190,"" "")"),"$")</f>
        <v>$</v>
      </c>
      <c r="G190" s="2" t="str">
        <f>IFERROR(__xludf.DUMMYFUNCTION("""COMPUTED_VALUE"""),"cd")</f>
        <v>cd</v>
      </c>
      <c r="H190" s="2" t="str">
        <f>IFERROR(__xludf.DUMMYFUNCTION("""COMPUTED_VALUE"""),"ljpmphn")</f>
        <v>ljpmphn</v>
      </c>
      <c r="I190" s="2" t="str">
        <f t="shared" si="3"/>
        <v>#VALUE!</v>
      </c>
      <c r="J190" s="2" t="str">
        <f>IFERROR(__xludf.DUMMYFUNCTION("SPLIT(I190,"" "")"),"#VALUE!")</f>
        <v>#VALUE!</v>
      </c>
      <c r="M190" s="2" t="b">
        <f t="shared" si="4"/>
        <v>0</v>
      </c>
      <c r="N190" s="2" t="b">
        <f>IFERROR(__xludf.DUMMYFUNCTION("IF(AND(REGEXMATCH($G$4, ""cd""),M190),N189+J190)"),FALSE)</f>
        <v>0</v>
      </c>
      <c r="O190" s="2" t="str">
        <f t="shared" si="5"/>
        <v>#N/A</v>
      </c>
    </row>
    <row r="191">
      <c r="A191" s="1" t="s">
        <v>2</v>
      </c>
      <c r="B191" s="2" t="str">
        <f t="shared" si="1"/>
        <v>#VALUE!</v>
      </c>
      <c r="C191" s="2" t="str">
        <f>IFERROR(__xludf.DUMMYFUNCTION("SPLIT(B191,"" "")"),"#VALUE!")</f>
        <v>#VALUE!</v>
      </c>
      <c r="E191" s="2" t="str">
        <f t="shared" si="2"/>
        <v>#VALUE!</v>
      </c>
      <c r="F191" s="2" t="str">
        <f>IFERROR(__xludf.DUMMYFUNCTION("SPLIT(E191,"" "")"),"#VALUE!")</f>
        <v>#VALUE!</v>
      </c>
      <c r="I191" s="2" t="str">
        <f t="shared" si="3"/>
        <v>#VALUE!</v>
      </c>
      <c r="J191" s="2" t="str">
        <f>IFERROR(__xludf.DUMMYFUNCTION("SPLIT(I191,"" "")"),"#VALUE!")</f>
        <v>#VALUE!</v>
      </c>
      <c r="M191" s="2" t="b">
        <f t="shared" si="4"/>
        <v>0</v>
      </c>
      <c r="N191" s="2" t="b">
        <f>IFERROR(__xludf.DUMMYFUNCTION("IF(AND(REGEXMATCH($G$4, ""cd""),M191),N190+J191)"),FALSE)</f>
        <v>0</v>
      </c>
      <c r="O191" s="2" t="str">
        <f t="shared" si="5"/>
        <v>#N/A</v>
      </c>
    </row>
    <row r="192">
      <c r="A192" s="1" t="s">
        <v>111</v>
      </c>
      <c r="B192" s="2" t="str">
        <f t="shared" si="1"/>
        <v>#VALUE!</v>
      </c>
      <c r="C192" s="2" t="str">
        <f>IFERROR(__xludf.DUMMYFUNCTION("SPLIT(B192,"" "")"),"#VALUE!")</f>
        <v>#VALUE!</v>
      </c>
      <c r="E192" s="2" t="str">
        <f t="shared" si="2"/>
        <v>#VALUE!</v>
      </c>
      <c r="F192" s="2" t="str">
        <f>IFERROR(__xludf.DUMMYFUNCTION("SPLIT(E192,"" "")"),"#VALUE!")</f>
        <v>#VALUE!</v>
      </c>
      <c r="I192" s="2" t="str">
        <f t="shared" si="3"/>
        <v>37528 slfdb.bqt</v>
      </c>
      <c r="J192" s="2">
        <f>IFERROR(__xludf.DUMMYFUNCTION("SPLIT(I192,"" "")"),37528.0)</f>
        <v>37528</v>
      </c>
      <c r="K192" s="2" t="str">
        <f>IFERROR(__xludf.DUMMYFUNCTION("""COMPUTED_VALUE"""),"slfdb.bqt")</f>
        <v>slfdb.bqt</v>
      </c>
      <c r="M192" s="2" t="b">
        <f t="shared" si="4"/>
        <v>1</v>
      </c>
      <c r="N192" s="2">
        <f>IFERROR(__xludf.DUMMYFUNCTION("IF(AND(REGEXMATCH($G$4, ""cd""),M192),N191+J192)"),37528.0)</f>
        <v>37528</v>
      </c>
      <c r="O192" s="2" t="str">
        <f t="shared" si="5"/>
        <v>#N/A</v>
      </c>
    </row>
    <row r="193">
      <c r="A193" s="1" t="s">
        <v>17</v>
      </c>
      <c r="B193" s="2" t="str">
        <f t="shared" si="1"/>
        <v>#VALUE!</v>
      </c>
      <c r="C193" s="2" t="str">
        <f>IFERROR(__xludf.DUMMYFUNCTION("SPLIT(B193,"" "")"),"#VALUE!")</f>
        <v>#VALUE!</v>
      </c>
      <c r="E193" s="2" t="str">
        <f t="shared" si="2"/>
        <v>$ cd ..</v>
      </c>
      <c r="F193" s="2" t="str">
        <f>IFERROR(__xludf.DUMMYFUNCTION("SPLIT(E193,"" "")"),"$")</f>
        <v>$</v>
      </c>
      <c r="G193" s="2" t="str">
        <f>IFERROR(__xludf.DUMMYFUNCTION("""COMPUTED_VALUE"""),"cd")</f>
        <v>cd</v>
      </c>
      <c r="H193" s="2" t="str">
        <f>IFERROR(__xludf.DUMMYFUNCTION("""COMPUTED_VALUE"""),"..")</f>
        <v>..</v>
      </c>
      <c r="I193" s="2" t="str">
        <f t="shared" si="3"/>
        <v>$ cd ..</v>
      </c>
      <c r="J193" s="2" t="str">
        <f>IFERROR(__xludf.DUMMYFUNCTION("SPLIT(I193,"" "")"),"$")</f>
        <v>$</v>
      </c>
      <c r="K193" s="2" t="str">
        <f>IFERROR(__xludf.DUMMYFUNCTION("""COMPUTED_VALUE"""),"cd")</f>
        <v>cd</v>
      </c>
      <c r="L193" s="2" t="str">
        <f>IFERROR(__xludf.DUMMYFUNCTION("""COMPUTED_VALUE"""),"..")</f>
        <v>..</v>
      </c>
      <c r="M193" s="2" t="b">
        <f t="shared" si="4"/>
        <v>0</v>
      </c>
      <c r="N193" s="2" t="b">
        <f>IFERROR(__xludf.DUMMYFUNCTION("IF(AND(REGEXMATCH($G$4, ""cd""),M193),N192+J193)"),FALSE)</f>
        <v>0</v>
      </c>
      <c r="O193" s="2" t="str">
        <f t="shared" si="5"/>
        <v>#N/A</v>
      </c>
    </row>
    <row r="194">
      <c r="A194" s="1" t="s">
        <v>17</v>
      </c>
      <c r="B194" s="2" t="str">
        <f t="shared" si="1"/>
        <v>#VALUE!</v>
      </c>
      <c r="C194" s="2" t="str">
        <f>IFERROR(__xludf.DUMMYFUNCTION("SPLIT(B194,"" "")"),"#VALUE!")</f>
        <v>#VALUE!</v>
      </c>
      <c r="E194" s="2" t="str">
        <f t="shared" si="2"/>
        <v>$ cd ..</v>
      </c>
      <c r="F194" s="2" t="str">
        <f>IFERROR(__xludf.DUMMYFUNCTION("SPLIT(E194,"" "")"),"$")</f>
        <v>$</v>
      </c>
      <c r="G194" s="2" t="str">
        <f>IFERROR(__xludf.DUMMYFUNCTION("""COMPUTED_VALUE"""),"cd")</f>
        <v>cd</v>
      </c>
      <c r="H194" s="2" t="str">
        <f>IFERROR(__xludf.DUMMYFUNCTION("""COMPUTED_VALUE"""),"..")</f>
        <v>..</v>
      </c>
      <c r="I194" s="2" t="str">
        <f t="shared" si="3"/>
        <v>$ cd ..</v>
      </c>
      <c r="J194" s="2" t="str">
        <f>IFERROR(__xludf.DUMMYFUNCTION("SPLIT(I194,"" "")"),"$")</f>
        <v>$</v>
      </c>
      <c r="K194" s="2" t="str">
        <f>IFERROR(__xludf.DUMMYFUNCTION("""COMPUTED_VALUE"""),"cd")</f>
        <v>cd</v>
      </c>
      <c r="L194" s="2" t="str">
        <f>IFERROR(__xludf.DUMMYFUNCTION("""COMPUTED_VALUE"""),"..")</f>
        <v>..</v>
      </c>
      <c r="M194" s="2" t="b">
        <f t="shared" si="4"/>
        <v>0</v>
      </c>
      <c r="N194" s="2" t="b">
        <f>IFERROR(__xludf.DUMMYFUNCTION("IF(AND(REGEXMATCH($G$4, ""cd""),M194),N193+J194)"),FALSE)</f>
        <v>0</v>
      </c>
      <c r="O194" s="2" t="str">
        <f t="shared" si="5"/>
        <v>#N/A</v>
      </c>
    </row>
    <row r="195">
      <c r="A195" s="1" t="s">
        <v>112</v>
      </c>
      <c r="B195" s="2" t="str">
        <f t="shared" si="1"/>
        <v>#VALUE!</v>
      </c>
      <c r="C195" s="2" t="str">
        <f>IFERROR(__xludf.DUMMYFUNCTION("SPLIT(B195,"" "")"),"#VALUE!")</f>
        <v>#VALUE!</v>
      </c>
      <c r="E195" s="2" t="str">
        <f t="shared" si="2"/>
        <v>$ cd tcbjmq</v>
      </c>
      <c r="F195" s="2" t="str">
        <f>IFERROR(__xludf.DUMMYFUNCTION("SPLIT(E195,"" "")"),"$")</f>
        <v>$</v>
      </c>
      <c r="G195" s="2" t="str">
        <f>IFERROR(__xludf.DUMMYFUNCTION("""COMPUTED_VALUE"""),"cd")</f>
        <v>cd</v>
      </c>
      <c r="H195" s="2" t="str">
        <f>IFERROR(__xludf.DUMMYFUNCTION("""COMPUTED_VALUE"""),"tcbjmq")</f>
        <v>tcbjmq</v>
      </c>
      <c r="I195" s="2" t="str">
        <f t="shared" si="3"/>
        <v>#VALUE!</v>
      </c>
      <c r="J195" s="2" t="str">
        <f>IFERROR(__xludf.DUMMYFUNCTION("SPLIT(I195,"" "")"),"#VALUE!")</f>
        <v>#VALUE!</v>
      </c>
      <c r="M195" s="2" t="b">
        <f t="shared" si="4"/>
        <v>0</v>
      </c>
      <c r="N195" s="2" t="b">
        <f>IFERROR(__xludf.DUMMYFUNCTION("IF(AND(REGEXMATCH($G$4, ""cd""),M195),N194+J195)"),FALSE)</f>
        <v>0</v>
      </c>
      <c r="O195" s="2" t="str">
        <f t="shared" si="5"/>
        <v>#N/A</v>
      </c>
    </row>
    <row r="196">
      <c r="A196" s="1" t="s">
        <v>2</v>
      </c>
      <c r="B196" s="2" t="str">
        <f t="shared" si="1"/>
        <v>#VALUE!</v>
      </c>
      <c r="C196" s="2" t="str">
        <f>IFERROR(__xludf.DUMMYFUNCTION("SPLIT(B196,"" "")"),"#VALUE!")</f>
        <v>#VALUE!</v>
      </c>
      <c r="E196" s="2" t="str">
        <f t="shared" si="2"/>
        <v>#VALUE!</v>
      </c>
      <c r="F196" s="2" t="str">
        <f>IFERROR(__xludf.DUMMYFUNCTION("SPLIT(E196,"" "")"),"#VALUE!")</f>
        <v>#VALUE!</v>
      </c>
      <c r="I196" s="2" t="str">
        <f t="shared" si="3"/>
        <v>#VALUE!</v>
      </c>
      <c r="J196" s="2" t="str">
        <f>IFERROR(__xludf.DUMMYFUNCTION("SPLIT(I196,"" "")"),"#VALUE!")</f>
        <v>#VALUE!</v>
      </c>
      <c r="M196" s="2" t="b">
        <f t="shared" si="4"/>
        <v>0</v>
      </c>
      <c r="N196" s="2" t="b">
        <f>IFERROR(__xludf.DUMMYFUNCTION("IF(AND(REGEXMATCH($G$4, ""cd""),M196),N195+J196)"),FALSE)</f>
        <v>0</v>
      </c>
      <c r="O196" s="2" t="str">
        <f t="shared" si="5"/>
        <v>#N/A</v>
      </c>
    </row>
    <row r="197">
      <c r="A197" s="1" t="s">
        <v>113</v>
      </c>
      <c r="B197" s="2" t="str">
        <f t="shared" si="1"/>
        <v>#VALUE!</v>
      </c>
      <c r="C197" s="2" t="str">
        <f>IFERROR(__xludf.DUMMYFUNCTION("SPLIT(B197,"" "")"),"#VALUE!")</f>
        <v>#VALUE!</v>
      </c>
      <c r="E197" s="2" t="str">
        <f t="shared" si="2"/>
        <v>#VALUE!</v>
      </c>
      <c r="F197" s="2" t="str">
        <f>IFERROR(__xludf.DUMMYFUNCTION("SPLIT(E197,"" "")"),"#VALUE!")</f>
        <v>#VALUE!</v>
      </c>
      <c r="I197" s="2" t="str">
        <f t="shared" si="3"/>
        <v>96506 lrz.nhb</v>
      </c>
      <c r="J197" s="2">
        <f>IFERROR(__xludf.DUMMYFUNCTION("SPLIT(I197,"" "")"),96506.0)</f>
        <v>96506</v>
      </c>
      <c r="K197" s="2" t="str">
        <f>IFERROR(__xludf.DUMMYFUNCTION("""COMPUTED_VALUE"""),"lrz.nhb")</f>
        <v>lrz.nhb</v>
      </c>
      <c r="M197" s="2" t="b">
        <f t="shared" si="4"/>
        <v>1</v>
      </c>
      <c r="N197" s="2">
        <f>IFERROR(__xludf.DUMMYFUNCTION("IF(AND(REGEXMATCH($G$4, ""cd""),M197),N196+J197)"),96506.0)</f>
        <v>96506</v>
      </c>
      <c r="O197" s="2" t="str">
        <f t="shared" si="5"/>
        <v>#N/A</v>
      </c>
    </row>
    <row r="198">
      <c r="A198" s="1" t="s">
        <v>17</v>
      </c>
      <c r="B198" s="2" t="str">
        <f t="shared" si="1"/>
        <v>#VALUE!</v>
      </c>
      <c r="C198" s="2" t="str">
        <f>IFERROR(__xludf.DUMMYFUNCTION("SPLIT(B198,"" "")"),"#VALUE!")</f>
        <v>#VALUE!</v>
      </c>
      <c r="E198" s="2" t="str">
        <f t="shared" si="2"/>
        <v>$ cd ..</v>
      </c>
      <c r="F198" s="2" t="str">
        <f>IFERROR(__xludf.DUMMYFUNCTION("SPLIT(E198,"" "")"),"$")</f>
        <v>$</v>
      </c>
      <c r="G198" s="2" t="str">
        <f>IFERROR(__xludf.DUMMYFUNCTION("""COMPUTED_VALUE"""),"cd")</f>
        <v>cd</v>
      </c>
      <c r="H198" s="2" t="str">
        <f>IFERROR(__xludf.DUMMYFUNCTION("""COMPUTED_VALUE"""),"..")</f>
        <v>..</v>
      </c>
      <c r="I198" s="2" t="str">
        <f t="shared" si="3"/>
        <v>$ cd ..</v>
      </c>
      <c r="J198" s="2" t="str">
        <f>IFERROR(__xludf.DUMMYFUNCTION("SPLIT(I198,"" "")"),"$")</f>
        <v>$</v>
      </c>
      <c r="K198" s="2" t="str">
        <f>IFERROR(__xludf.DUMMYFUNCTION("""COMPUTED_VALUE"""),"cd")</f>
        <v>cd</v>
      </c>
      <c r="L198" s="2" t="str">
        <f>IFERROR(__xludf.DUMMYFUNCTION("""COMPUTED_VALUE"""),"..")</f>
        <v>..</v>
      </c>
      <c r="M198" s="2" t="b">
        <f t="shared" si="4"/>
        <v>0</v>
      </c>
      <c r="N198" s="2" t="b">
        <f>IFERROR(__xludf.DUMMYFUNCTION("IF(AND(REGEXMATCH($G$4, ""cd""),M198),N197+J198)"),FALSE)</f>
        <v>0</v>
      </c>
      <c r="O198" s="2" t="str">
        <f t="shared" si="5"/>
        <v>#N/A</v>
      </c>
    </row>
    <row r="199">
      <c r="A199" s="1" t="s">
        <v>114</v>
      </c>
      <c r="B199" s="2" t="str">
        <f t="shared" si="1"/>
        <v>#VALUE!</v>
      </c>
      <c r="C199" s="2" t="str">
        <f>IFERROR(__xludf.DUMMYFUNCTION("SPLIT(B199,"" "")"),"#VALUE!")</f>
        <v>#VALUE!</v>
      </c>
      <c r="E199" s="2" t="str">
        <f t="shared" si="2"/>
        <v>$ cd zhbpqlnd</v>
      </c>
      <c r="F199" s="2" t="str">
        <f>IFERROR(__xludf.DUMMYFUNCTION("SPLIT(E199,"" "")"),"$")</f>
        <v>$</v>
      </c>
      <c r="G199" s="2" t="str">
        <f>IFERROR(__xludf.DUMMYFUNCTION("""COMPUTED_VALUE"""),"cd")</f>
        <v>cd</v>
      </c>
      <c r="H199" s="2" t="str">
        <f>IFERROR(__xludf.DUMMYFUNCTION("""COMPUTED_VALUE"""),"zhbpqlnd")</f>
        <v>zhbpqlnd</v>
      </c>
      <c r="I199" s="2" t="str">
        <f t="shared" si="3"/>
        <v>#VALUE!</v>
      </c>
      <c r="J199" s="2" t="str">
        <f>IFERROR(__xludf.DUMMYFUNCTION("SPLIT(I199,"" "")"),"#VALUE!")</f>
        <v>#VALUE!</v>
      </c>
      <c r="M199" s="2" t="b">
        <f t="shared" si="4"/>
        <v>0</v>
      </c>
      <c r="N199" s="2" t="b">
        <f>IFERROR(__xludf.DUMMYFUNCTION("IF(AND(REGEXMATCH($G$4, ""cd""),M199),N198+J199)"),FALSE)</f>
        <v>0</v>
      </c>
      <c r="O199" s="2" t="str">
        <f t="shared" si="5"/>
        <v>#N/A</v>
      </c>
    </row>
    <row r="200">
      <c r="A200" s="1" t="s">
        <v>2</v>
      </c>
      <c r="B200" s="2" t="str">
        <f t="shared" si="1"/>
        <v>#VALUE!</v>
      </c>
      <c r="C200" s="2" t="str">
        <f>IFERROR(__xludf.DUMMYFUNCTION("SPLIT(B200,"" "")"),"#VALUE!")</f>
        <v>#VALUE!</v>
      </c>
      <c r="E200" s="2" t="str">
        <f t="shared" si="2"/>
        <v>#VALUE!</v>
      </c>
      <c r="F200" s="2" t="str">
        <f>IFERROR(__xludf.DUMMYFUNCTION("SPLIT(E200,"" "")"),"#VALUE!")</f>
        <v>#VALUE!</v>
      </c>
      <c r="I200" s="2" t="str">
        <f t="shared" si="3"/>
        <v>#VALUE!</v>
      </c>
      <c r="J200" s="2" t="str">
        <f>IFERROR(__xludf.DUMMYFUNCTION("SPLIT(I200,"" "")"),"#VALUE!")</f>
        <v>#VALUE!</v>
      </c>
      <c r="M200" s="2" t="b">
        <f t="shared" si="4"/>
        <v>0</v>
      </c>
      <c r="N200" s="2" t="b">
        <f>IFERROR(__xludf.DUMMYFUNCTION("IF(AND(REGEXMATCH($G$4, ""cd""),M200),N199+J200)"),FALSE)</f>
        <v>0</v>
      </c>
      <c r="O200" s="2" t="str">
        <f t="shared" si="5"/>
        <v>#N/A</v>
      </c>
    </row>
    <row r="201">
      <c r="A201" s="1" t="s">
        <v>115</v>
      </c>
      <c r="B201" s="2" t="str">
        <f t="shared" si="1"/>
        <v>#VALUE!</v>
      </c>
      <c r="C201" s="2" t="str">
        <f>IFERROR(__xludf.DUMMYFUNCTION("SPLIT(B201,"" "")"),"#VALUE!")</f>
        <v>#VALUE!</v>
      </c>
      <c r="E201" s="2" t="str">
        <f t="shared" si="2"/>
        <v>#VALUE!</v>
      </c>
      <c r="F201" s="2" t="str">
        <f>IFERROR(__xludf.DUMMYFUNCTION("SPLIT(E201,"" "")"),"#VALUE!")</f>
        <v>#VALUE!</v>
      </c>
      <c r="I201" s="2" t="str">
        <f t="shared" si="3"/>
        <v>14027 ccswrthv.pfd</v>
      </c>
      <c r="J201" s="2">
        <f>IFERROR(__xludf.DUMMYFUNCTION("SPLIT(I201,"" "")"),14027.0)</f>
        <v>14027</v>
      </c>
      <c r="K201" s="2" t="str">
        <f>IFERROR(__xludf.DUMMYFUNCTION("""COMPUTED_VALUE"""),"ccswrthv.pfd")</f>
        <v>ccswrthv.pfd</v>
      </c>
      <c r="M201" s="2" t="b">
        <f t="shared" si="4"/>
        <v>1</v>
      </c>
      <c r="N201" s="2">
        <f>IFERROR(__xludf.DUMMYFUNCTION("IF(AND(REGEXMATCH($G$4, ""cd""),M201),N200+J201)"),14027.0)</f>
        <v>14027</v>
      </c>
      <c r="O201" s="2" t="str">
        <f t="shared" si="5"/>
        <v>#N/A</v>
      </c>
    </row>
    <row r="202">
      <c r="A202" s="1" t="s">
        <v>116</v>
      </c>
      <c r="B202" s="2" t="str">
        <f t="shared" si="1"/>
        <v>dir clnqtjz</v>
      </c>
      <c r="C202" s="2" t="str">
        <f>IFERROR(__xludf.DUMMYFUNCTION("SPLIT(B202,"" "")"),"dir")</f>
        <v>dir</v>
      </c>
      <c r="D202" s="2" t="str">
        <f>IFERROR(__xludf.DUMMYFUNCTION("""COMPUTED_VALUE"""),"clnqtjz")</f>
        <v>clnqtjz</v>
      </c>
      <c r="E202" s="2" t="str">
        <f t="shared" si="2"/>
        <v>#VALUE!</v>
      </c>
      <c r="F202" s="2" t="str">
        <f>IFERROR(__xludf.DUMMYFUNCTION("SPLIT(E202,"" "")"),"#VALUE!")</f>
        <v>#VALUE!</v>
      </c>
      <c r="I202" s="2" t="str">
        <f t="shared" si="3"/>
        <v>#VALUE!</v>
      </c>
      <c r="J202" s="2" t="str">
        <f>IFERROR(__xludf.DUMMYFUNCTION("SPLIT(I202,"" "")"),"#VALUE!")</f>
        <v>#VALUE!</v>
      </c>
      <c r="M202" s="2" t="b">
        <f t="shared" si="4"/>
        <v>0</v>
      </c>
      <c r="N202" s="2" t="b">
        <f>IFERROR(__xludf.DUMMYFUNCTION("IF(AND(REGEXMATCH($G$4, ""cd""),M202),N201+J202)"),FALSE)</f>
        <v>0</v>
      </c>
      <c r="O202" s="2" t="str">
        <f t="shared" si="5"/>
        <v>#N/A</v>
      </c>
    </row>
    <row r="203">
      <c r="A203" s="1" t="s">
        <v>117</v>
      </c>
      <c r="B203" s="2" t="str">
        <f t="shared" si="1"/>
        <v>dir fdsqmnn</v>
      </c>
      <c r="C203" s="2" t="str">
        <f>IFERROR(__xludf.DUMMYFUNCTION("SPLIT(B203,"" "")"),"dir")</f>
        <v>dir</v>
      </c>
      <c r="D203" s="2" t="str">
        <f>IFERROR(__xludf.DUMMYFUNCTION("""COMPUTED_VALUE"""),"fdsqmnn")</f>
        <v>fdsqmnn</v>
      </c>
      <c r="E203" s="2" t="str">
        <f t="shared" si="2"/>
        <v>#VALUE!</v>
      </c>
      <c r="F203" s="2" t="str">
        <f>IFERROR(__xludf.DUMMYFUNCTION("SPLIT(E203,"" "")"),"#VALUE!")</f>
        <v>#VALUE!</v>
      </c>
      <c r="I203" s="2" t="str">
        <f t="shared" si="3"/>
        <v>#VALUE!</v>
      </c>
      <c r="J203" s="2" t="str">
        <f>IFERROR(__xludf.DUMMYFUNCTION("SPLIT(I203,"" "")"),"#VALUE!")</f>
        <v>#VALUE!</v>
      </c>
      <c r="M203" s="2" t="b">
        <f t="shared" si="4"/>
        <v>0</v>
      </c>
      <c r="N203" s="2" t="b">
        <f>IFERROR(__xludf.DUMMYFUNCTION("IF(AND(REGEXMATCH($G$4, ""cd""),M203),N202+J203)"),FALSE)</f>
        <v>0</v>
      </c>
      <c r="O203" s="2" t="str">
        <f t="shared" si="5"/>
        <v>#N/A</v>
      </c>
    </row>
    <row r="204">
      <c r="A204" s="1" t="s">
        <v>118</v>
      </c>
      <c r="B204" s="2" t="str">
        <f t="shared" si="1"/>
        <v>dir fwdt</v>
      </c>
      <c r="C204" s="2" t="str">
        <f>IFERROR(__xludf.DUMMYFUNCTION("SPLIT(B204,"" "")"),"dir")</f>
        <v>dir</v>
      </c>
      <c r="D204" s="2" t="str">
        <f>IFERROR(__xludf.DUMMYFUNCTION("""COMPUTED_VALUE"""),"fwdt")</f>
        <v>fwdt</v>
      </c>
      <c r="E204" s="2" t="str">
        <f t="shared" si="2"/>
        <v>#VALUE!</v>
      </c>
      <c r="F204" s="2" t="str">
        <f>IFERROR(__xludf.DUMMYFUNCTION("SPLIT(E204,"" "")"),"#VALUE!")</f>
        <v>#VALUE!</v>
      </c>
      <c r="I204" s="2" t="str">
        <f t="shared" si="3"/>
        <v>#VALUE!</v>
      </c>
      <c r="J204" s="2" t="str">
        <f>IFERROR(__xludf.DUMMYFUNCTION("SPLIT(I204,"" "")"),"#VALUE!")</f>
        <v>#VALUE!</v>
      </c>
      <c r="M204" s="2" t="b">
        <f t="shared" si="4"/>
        <v>0</v>
      </c>
      <c r="N204" s="2" t="b">
        <f>IFERROR(__xludf.DUMMYFUNCTION("IF(AND(REGEXMATCH($G$4, ""cd""),M204),N203+J204)"),FALSE)</f>
        <v>0</v>
      </c>
      <c r="O204" s="2" t="str">
        <f t="shared" si="5"/>
        <v>#N/A</v>
      </c>
    </row>
    <row r="205">
      <c r="A205" s="1" t="s">
        <v>119</v>
      </c>
      <c r="B205" s="2" t="str">
        <f t="shared" si="1"/>
        <v>dir nljb</v>
      </c>
      <c r="C205" s="2" t="str">
        <f>IFERROR(__xludf.DUMMYFUNCTION("SPLIT(B205,"" "")"),"dir")</f>
        <v>dir</v>
      </c>
      <c r="D205" s="2" t="str">
        <f>IFERROR(__xludf.DUMMYFUNCTION("""COMPUTED_VALUE"""),"nljb")</f>
        <v>nljb</v>
      </c>
      <c r="E205" s="2" t="str">
        <f t="shared" si="2"/>
        <v>#VALUE!</v>
      </c>
      <c r="F205" s="2" t="str">
        <f>IFERROR(__xludf.DUMMYFUNCTION("SPLIT(E205,"" "")"),"#VALUE!")</f>
        <v>#VALUE!</v>
      </c>
      <c r="I205" s="2" t="str">
        <f t="shared" si="3"/>
        <v>#VALUE!</v>
      </c>
      <c r="J205" s="2" t="str">
        <f>IFERROR(__xludf.DUMMYFUNCTION("SPLIT(I205,"" "")"),"#VALUE!")</f>
        <v>#VALUE!</v>
      </c>
      <c r="M205" s="2" t="b">
        <f t="shared" si="4"/>
        <v>0</v>
      </c>
      <c r="N205" s="2" t="b">
        <f>IFERROR(__xludf.DUMMYFUNCTION("IF(AND(REGEXMATCH($G$4, ""cd""),M205),N204+J205)"),FALSE)</f>
        <v>0</v>
      </c>
      <c r="O205" s="2" t="str">
        <f t="shared" si="5"/>
        <v>#N/A</v>
      </c>
    </row>
    <row r="206">
      <c r="A206" s="1" t="s">
        <v>120</v>
      </c>
      <c r="B206" s="2" t="str">
        <f t="shared" si="1"/>
        <v>dir npmsdrgp</v>
      </c>
      <c r="C206" s="2" t="str">
        <f>IFERROR(__xludf.DUMMYFUNCTION("SPLIT(B206,"" "")"),"dir")</f>
        <v>dir</v>
      </c>
      <c r="D206" s="2" t="str">
        <f>IFERROR(__xludf.DUMMYFUNCTION("""COMPUTED_VALUE"""),"npmsdrgp")</f>
        <v>npmsdrgp</v>
      </c>
      <c r="E206" s="2" t="str">
        <f t="shared" si="2"/>
        <v>#VALUE!</v>
      </c>
      <c r="F206" s="2" t="str">
        <f>IFERROR(__xludf.DUMMYFUNCTION("SPLIT(E206,"" "")"),"#VALUE!")</f>
        <v>#VALUE!</v>
      </c>
      <c r="I206" s="2" t="str">
        <f t="shared" si="3"/>
        <v>#VALUE!</v>
      </c>
      <c r="J206" s="2" t="str">
        <f>IFERROR(__xludf.DUMMYFUNCTION("SPLIT(I206,"" "")"),"#VALUE!")</f>
        <v>#VALUE!</v>
      </c>
      <c r="M206" s="2" t="b">
        <f t="shared" si="4"/>
        <v>0</v>
      </c>
      <c r="N206" s="2" t="b">
        <f>IFERROR(__xludf.DUMMYFUNCTION("IF(AND(REGEXMATCH($G$4, ""cd""),M206),N205+J206)"),FALSE)</f>
        <v>0</v>
      </c>
      <c r="O206" s="2" t="str">
        <f t="shared" si="5"/>
        <v>#N/A</v>
      </c>
    </row>
    <row r="207">
      <c r="A207" s="1" t="s">
        <v>121</v>
      </c>
      <c r="B207" s="2" t="str">
        <f t="shared" si="1"/>
        <v>#VALUE!</v>
      </c>
      <c r="C207" s="2" t="str">
        <f>IFERROR(__xludf.DUMMYFUNCTION("SPLIT(B207,"" "")"),"#VALUE!")</f>
        <v>#VALUE!</v>
      </c>
      <c r="E207" s="2" t="str">
        <f t="shared" si="2"/>
        <v>#VALUE!</v>
      </c>
      <c r="F207" s="2" t="str">
        <f>IFERROR(__xludf.DUMMYFUNCTION("SPLIT(E207,"" "")"),"#VALUE!")</f>
        <v>#VALUE!</v>
      </c>
      <c r="I207" s="2" t="str">
        <f t="shared" si="3"/>
        <v>57812 slfdb.bqt</v>
      </c>
      <c r="J207" s="2">
        <f>IFERROR(__xludf.DUMMYFUNCTION("SPLIT(I207,"" "")"),57812.0)</f>
        <v>57812</v>
      </c>
      <c r="K207" s="2" t="str">
        <f>IFERROR(__xludf.DUMMYFUNCTION("""COMPUTED_VALUE"""),"slfdb.bqt")</f>
        <v>slfdb.bqt</v>
      </c>
      <c r="M207" s="2" t="b">
        <f t="shared" si="4"/>
        <v>1</v>
      </c>
      <c r="N207" s="2">
        <f>IFERROR(__xludf.DUMMYFUNCTION("IF(AND(REGEXMATCH($G$4, ""cd""),M207),N206+J207)"),57812.0)</f>
        <v>57812</v>
      </c>
      <c r="O207" s="2" t="str">
        <f t="shared" si="5"/>
        <v>#N/A</v>
      </c>
    </row>
    <row r="208">
      <c r="A208" s="1" t="s">
        <v>122</v>
      </c>
      <c r="B208" s="2" t="str">
        <f t="shared" si="1"/>
        <v>#VALUE!</v>
      </c>
      <c r="C208" s="2" t="str">
        <f>IFERROR(__xludf.DUMMYFUNCTION("SPLIT(B208,"" "")"),"#VALUE!")</f>
        <v>#VALUE!</v>
      </c>
      <c r="E208" s="2" t="str">
        <f t="shared" si="2"/>
        <v>#VALUE!</v>
      </c>
      <c r="F208" s="2" t="str">
        <f>IFERROR(__xludf.DUMMYFUNCTION("SPLIT(E208,"" "")"),"#VALUE!")</f>
        <v>#VALUE!</v>
      </c>
      <c r="I208" s="2" t="str">
        <f t="shared" si="3"/>
        <v>#VALUE!</v>
      </c>
      <c r="J208" s="2" t="str">
        <f>IFERROR(__xludf.DUMMYFUNCTION("SPLIT(I208,"" "")"),"#VALUE!")</f>
        <v>#VALUE!</v>
      </c>
      <c r="M208" s="2" t="b">
        <f t="shared" si="4"/>
        <v>0</v>
      </c>
      <c r="N208" s="2" t="b">
        <f>IFERROR(__xludf.DUMMYFUNCTION("IF(AND(REGEXMATCH($G$4, ""cd""),M208),N207+J208)"),FALSE)</f>
        <v>0</v>
      </c>
      <c r="O208" s="2" t="str">
        <f t="shared" si="5"/>
        <v>#N/A</v>
      </c>
    </row>
    <row r="209">
      <c r="A209" s="1" t="s">
        <v>123</v>
      </c>
      <c r="B209" s="2" t="str">
        <f t="shared" si="1"/>
        <v>#VALUE!</v>
      </c>
      <c r="C209" s="2" t="str">
        <f>IFERROR(__xludf.DUMMYFUNCTION("SPLIT(B209,"" "")"),"#VALUE!")</f>
        <v>#VALUE!</v>
      </c>
      <c r="E209" s="2" t="str">
        <f t="shared" si="2"/>
        <v>#VALUE!</v>
      </c>
      <c r="F209" s="2" t="str">
        <f>IFERROR(__xludf.DUMMYFUNCTION("SPLIT(E209,"" "")"),"#VALUE!")</f>
        <v>#VALUE!</v>
      </c>
      <c r="I209" s="2" t="str">
        <f t="shared" si="3"/>
        <v>241025 zcgrgff.wbh</v>
      </c>
      <c r="J209" s="2">
        <f>IFERROR(__xludf.DUMMYFUNCTION("SPLIT(I209,"" "")"),241025.0)</f>
        <v>241025</v>
      </c>
      <c r="K209" s="2" t="str">
        <f>IFERROR(__xludf.DUMMYFUNCTION("""COMPUTED_VALUE"""),"zcgrgff.wbh")</f>
        <v>zcgrgff.wbh</v>
      </c>
      <c r="M209" s="2" t="b">
        <f t="shared" si="4"/>
        <v>1</v>
      </c>
      <c r="N209" s="2">
        <f>IFERROR(__xludf.DUMMYFUNCTION("IF(AND(REGEXMATCH($G$4, ""cd""),M209),N208+J209)"),241025.0)</f>
        <v>241025</v>
      </c>
      <c r="O209" s="2" t="str">
        <f t="shared" si="5"/>
        <v>#N/A</v>
      </c>
    </row>
    <row r="210">
      <c r="A210" s="1" t="s">
        <v>124</v>
      </c>
      <c r="B210" s="2" t="str">
        <f t="shared" si="1"/>
        <v>dir zggqfj</v>
      </c>
      <c r="C210" s="2" t="str">
        <f>IFERROR(__xludf.DUMMYFUNCTION("SPLIT(B210,"" "")"),"dir")</f>
        <v>dir</v>
      </c>
      <c r="D210" s="2" t="str">
        <f>IFERROR(__xludf.DUMMYFUNCTION("""COMPUTED_VALUE"""),"zggqfj")</f>
        <v>zggqfj</v>
      </c>
      <c r="E210" s="2" t="str">
        <f t="shared" si="2"/>
        <v>#VALUE!</v>
      </c>
      <c r="F210" s="2" t="str">
        <f>IFERROR(__xludf.DUMMYFUNCTION("SPLIT(E210,"" "")"),"#VALUE!")</f>
        <v>#VALUE!</v>
      </c>
      <c r="I210" s="2" t="str">
        <f t="shared" si="3"/>
        <v>#VALUE!</v>
      </c>
      <c r="J210" s="2" t="str">
        <f>IFERROR(__xludf.DUMMYFUNCTION("SPLIT(I210,"" "")"),"#VALUE!")</f>
        <v>#VALUE!</v>
      </c>
      <c r="M210" s="2" t="b">
        <f t="shared" si="4"/>
        <v>0</v>
      </c>
      <c r="N210" s="2" t="b">
        <f>IFERROR(__xludf.DUMMYFUNCTION("IF(AND(REGEXMATCH($G$4, ""cd""),M210),N209+J210)"),FALSE)</f>
        <v>0</v>
      </c>
      <c r="O210" s="2" t="str">
        <f t="shared" si="5"/>
        <v>#N/A</v>
      </c>
    </row>
    <row r="211">
      <c r="A211" s="1" t="s">
        <v>125</v>
      </c>
      <c r="B211" s="2" t="str">
        <f t="shared" si="1"/>
        <v>#VALUE!</v>
      </c>
      <c r="C211" s="2" t="str">
        <f>IFERROR(__xludf.DUMMYFUNCTION("SPLIT(B211,"" "")"),"#VALUE!")</f>
        <v>#VALUE!</v>
      </c>
      <c r="E211" s="2" t="str">
        <f t="shared" si="2"/>
        <v>$ cd clnqtjz</v>
      </c>
      <c r="F211" s="2" t="str">
        <f>IFERROR(__xludf.DUMMYFUNCTION("SPLIT(E211,"" "")"),"$")</f>
        <v>$</v>
      </c>
      <c r="G211" s="2" t="str">
        <f>IFERROR(__xludf.DUMMYFUNCTION("""COMPUTED_VALUE"""),"cd")</f>
        <v>cd</v>
      </c>
      <c r="H211" s="2" t="str">
        <f>IFERROR(__xludf.DUMMYFUNCTION("""COMPUTED_VALUE"""),"clnqtjz")</f>
        <v>clnqtjz</v>
      </c>
      <c r="I211" s="2" t="str">
        <f t="shared" si="3"/>
        <v>#VALUE!</v>
      </c>
      <c r="J211" s="2" t="str">
        <f>IFERROR(__xludf.DUMMYFUNCTION("SPLIT(I211,"" "")"),"#VALUE!")</f>
        <v>#VALUE!</v>
      </c>
      <c r="M211" s="2" t="b">
        <f t="shared" si="4"/>
        <v>0</v>
      </c>
      <c r="N211" s="2" t="b">
        <f>IFERROR(__xludf.DUMMYFUNCTION("IF(AND(REGEXMATCH($G$4, ""cd""),M211),N210+J211)"),FALSE)</f>
        <v>0</v>
      </c>
      <c r="O211" s="2" t="str">
        <f t="shared" si="5"/>
        <v>#N/A</v>
      </c>
    </row>
    <row r="212">
      <c r="A212" s="1" t="s">
        <v>2</v>
      </c>
      <c r="B212" s="2" t="str">
        <f t="shared" si="1"/>
        <v>#VALUE!</v>
      </c>
      <c r="C212" s="2" t="str">
        <f>IFERROR(__xludf.DUMMYFUNCTION("SPLIT(B212,"" "")"),"#VALUE!")</f>
        <v>#VALUE!</v>
      </c>
      <c r="E212" s="2" t="str">
        <f t="shared" si="2"/>
        <v>#VALUE!</v>
      </c>
      <c r="F212" s="2" t="str">
        <f>IFERROR(__xludf.DUMMYFUNCTION("SPLIT(E212,"" "")"),"#VALUE!")</f>
        <v>#VALUE!</v>
      </c>
      <c r="I212" s="2" t="str">
        <f t="shared" si="3"/>
        <v>#VALUE!</v>
      </c>
      <c r="J212" s="2" t="str">
        <f>IFERROR(__xludf.DUMMYFUNCTION("SPLIT(I212,"" "")"),"#VALUE!")</f>
        <v>#VALUE!</v>
      </c>
      <c r="M212" s="2" t="b">
        <f t="shared" si="4"/>
        <v>0</v>
      </c>
      <c r="N212" s="2" t="b">
        <f>IFERROR(__xludf.DUMMYFUNCTION("IF(AND(REGEXMATCH($G$4, ""cd""),M212),N211+J212)"),FALSE)</f>
        <v>0</v>
      </c>
      <c r="O212" s="2" t="str">
        <f t="shared" si="5"/>
        <v>#N/A</v>
      </c>
    </row>
    <row r="213">
      <c r="A213" s="1" t="s">
        <v>126</v>
      </c>
      <c r="B213" s="2" t="str">
        <f t="shared" si="1"/>
        <v>#VALUE!</v>
      </c>
      <c r="C213" s="2" t="str">
        <f>IFERROR(__xludf.DUMMYFUNCTION("SPLIT(B213,"" "")"),"#VALUE!")</f>
        <v>#VALUE!</v>
      </c>
      <c r="E213" s="2" t="str">
        <f t="shared" si="2"/>
        <v>#VALUE!</v>
      </c>
      <c r="F213" s="2" t="str">
        <f>IFERROR(__xludf.DUMMYFUNCTION("SPLIT(E213,"" "")"),"#VALUE!")</f>
        <v>#VALUE!</v>
      </c>
      <c r="I213" s="2" t="str">
        <f t="shared" si="3"/>
        <v>62391 cbhw.wgr</v>
      </c>
      <c r="J213" s="2">
        <f>IFERROR(__xludf.DUMMYFUNCTION("SPLIT(I213,"" "")"),62391.0)</f>
        <v>62391</v>
      </c>
      <c r="K213" s="2" t="str">
        <f>IFERROR(__xludf.DUMMYFUNCTION("""COMPUTED_VALUE"""),"cbhw.wgr")</f>
        <v>cbhw.wgr</v>
      </c>
      <c r="M213" s="2" t="b">
        <f t="shared" si="4"/>
        <v>1</v>
      </c>
      <c r="N213" s="2">
        <f>IFERROR(__xludf.DUMMYFUNCTION("IF(AND(REGEXMATCH($G$4, ""cd""),M213),N212+J213)"),62391.0)</f>
        <v>62391</v>
      </c>
      <c r="O213" s="2" t="str">
        <f t="shared" si="5"/>
        <v>#N/A</v>
      </c>
    </row>
    <row r="214">
      <c r="A214" s="1" t="s">
        <v>127</v>
      </c>
      <c r="B214" s="2" t="str">
        <f t="shared" si="1"/>
        <v>#VALUE!</v>
      </c>
      <c r="C214" s="2" t="str">
        <f>IFERROR(__xludf.DUMMYFUNCTION("SPLIT(B214,"" "")"),"#VALUE!")</f>
        <v>#VALUE!</v>
      </c>
      <c r="E214" s="2" t="str">
        <f t="shared" si="2"/>
        <v>#VALUE!</v>
      </c>
      <c r="F214" s="2" t="str">
        <f>IFERROR(__xludf.DUMMYFUNCTION("SPLIT(E214,"" "")"),"#VALUE!")</f>
        <v>#VALUE!</v>
      </c>
      <c r="I214" s="2" t="str">
        <f t="shared" si="3"/>
        <v>309318 jlm.lfq</v>
      </c>
      <c r="J214" s="2">
        <f>IFERROR(__xludf.DUMMYFUNCTION("SPLIT(I214,"" "")"),309318.0)</f>
        <v>309318</v>
      </c>
      <c r="K214" s="2" t="str">
        <f>IFERROR(__xludf.DUMMYFUNCTION("""COMPUTED_VALUE"""),"jlm.lfq")</f>
        <v>jlm.lfq</v>
      </c>
      <c r="M214" s="2" t="b">
        <f t="shared" si="4"/>
        <v>1</v>
      </c>
      <c r="N214" s="2">
        <f>IFERROR(__xludf.DUMMYFUNCTION("IF(AND(REGEXMATCH($G$4, ""cd""),M214),N213+J214)"),371709.0)</f>
        <v>371709</v>
      </c>
      <c r="O214" s="2" t="str">
        <f t="shared" si="5"/>
        <v>#N/A</v>
      </c>
    </row>
    <row r="215">
      <c r="A215" s="1" t="s">
        <v>128</v>
      </c>
      <c r="B215" s="2" t="str">
        <f t="shared" si="1"/>
        <v>dir mzsfcvgv</v>
      </c>
      <c r="C215" s="2" t="str">
        <f>IFERROR(__xludf.DUMMYFUNCTION("SPLIT(B215,"" "")"),"dir")</f>
        <v>dir</v>
      </c>
      <c r="D215" s="2" t="str">
        <f>IFERROR(__xludf.DUMMYFUNCTION("""COMPUTED_VALUE"""),"mzsfcvgv")</f>
        <v>mzsfcvgv</v>
      </c>
      <c r="E215" s="2" t="str">
        <f t="shared" si="2"/>
        <v>#VALUE!</v>
      </c>
      <c r="F215" s="2" t="str">
        <f>IFERROR(__xludf.DUMMYFUNCTION("SPLIT(E215,"" "")"),"#VALUE!")</f>
        <v>#VALUE!</v>
      </c>
      <c r="I215" s="2" t="str">
        <f t="shared" si="3"/>
        <v>#VALUE!</v>
      </c>
      <c r="J215" s="2" t="str">
        <f>IFERROR(__xludf.DUMMYFUNCTION("SPLIT(I215,"" "")"),"#VALUE!")</f>
        <v>#VALUE!</v>
      </c>
      <c r="M215" s="2" t="b">
        <f t="shared" si="4"/>
        <v>0</v>
      </c>
      <c r="N215" s="2" t="b">
        <f>IFERROR(__xludf.DUMMYFUNCTION("IF(AND(REGEXMATCH($G$4, ""cd""),M215),N214+J215)"),FALSE)</f>
        <v>0</v>
      </c>
      <c r="O215" s="2" t="str">
        <f t="shared" si="5"/>
        <v>#N/A</v>
      </c>
    </row>
    <row r="216">
      <c r="A216" s="1" t="s">
        <v>129</v>
      </c>
      <c r="B216" s="2" t="str">
        <f t="shared" si="1"/>
        <v>dir rrn</v>
      </c>
      <c r="C216" s="2" t="str">
        <f>IFERROR(__xludf.DUMMYFUNCTION("SPLIT(B216,"" "")"),"dir")</f>
        <v>dir</v>
      </c>
      <c r="D216" s="2" t="str">
        <f>IFERROR(__xludf.DUMMYFUNCTION("""COMPUTED_VALUE"""),"rrn")</f>
        <v>rrn</v>
      </c>
      <c r="E216" s="2" t="str">
        <f t="shared" si="2"/>
        <v>#VALUE!</v>
      </c>
      <c r="F216" s="2" t="str">
        <f>IFERROR(__xludf.DUMMYFUNCTION("SPLIT(E216,"" "")"),"#VALUE!")</f>
        <v>#VALUE!</v>
      </c>
      <c r="I216" s="2" t="str">
        <f t="shared" si="3"/>
        <v>#VALUE!</v>
      </c>
      <c r="J216" s="2" t="str">
        <f>IFERROR(__xludf.DUMMYFUNCTION("SPLIT(I216,"" "")"),"#VALUE!")</f>
        <v>#VALUE!</v>
      </c>
      <c r="M216" s="2" t="b">
        <f t="shared" si="4"/>
        <v>0</v>
      </c>
      <c r="N216" s="2" t="b">
        <f>IFERROR(__xludf.DUMMYFUNCTION("IF(AND(REGEXMATCH($G$4, ""cd""),M216),N215+J216)"),FALSE)</f>
        <v>0</v>
      </c>
      <c r="O216" s="2" t="str">
        <f t="shared" si="5"/>
        <v>#N/A</v>
      </c>
    </row>
    <row r="217">
      <c r="A217" s="1" t="s">
        <v>130</v>
      </c>
      <c r="B217" s="2" t="str">
        <f t="shared" si="1"/>
        <v>#VALUE!</v>
      </c>
      <c r="C217" s="2" t="str">
        <f>IFERROR(__xludf.DUMMYFUNCTION("SPLIT(B217,"" "")"),"#VALUE!")</f>
        <v>#VALUE!</v>
      </c>
      <c r="E217" s="2" t="str">
        <f t="shared" si="2"/>
        <v>#VALUE!</v>
      </c>
      <c r="F217" s="2" t="str">
        <f>IFERROR(__xludf.DUMMYFUNCTION("SPLIT(E217,"" "")"),"#VALUE!")</f>
        <v>#VALUE!</v>
      </c>
      <c r="I217" s="2" t="str">
        <f t="shared" si="3"/>
        <v>#VALUE!</v>
      </c>
      <c r="J217" s="2" t="str">
        <f>IFERROR(__xludf.DUMMYFUNCTION("SPLIT(I217,"" "")"),"#VALUE!")</f>
        <v>#VALUE!</v>
      </c>
      <c r="M217" s="2" t="b">
        <f t="shared" si="4"/>
        <v>0</v>
      </c>
      <c r="N217" s="2" t="b">
        <f>IFERROR(__xludf.DUMMYFUNCTION("IF(AND(REGEXMATCH($G$4, ""cd""),M217),N216+J217)"),FALSE)</f>
        <v>0</v>
      </c>
      <c r="O217" s="2" t="str">
        <f t="shared" si="5"/>
        <v>#N/A</v>
      </c>
    </row>
    <row r="218">
      <c r="A218" s="1" t="s">
        <v>131</v>
      </c>
      <c r="B218" s="2" t="str">
        <f t="shared" si="1"/>
        <v>#VALUE!</v>
      </c>
      <c r="C218" s="2" t="str">
        <f>IFERROR(__xludf.DUMMYFUNCTION("SPLIT(B218,"" "")"),"#VALUE!")</f>
        <v>#VALUE!</v>
      </c>
      <c r="E218" s="2" t="str">
        <f t="shared" si="2"/>
        <v>$ cd mzsfcvgv</v>
      </c>
      <c r="F218" s="2" t="str">
        <f>IFERROR(__xludf.DUMMYFUNCTION("SPLIT(E218,"" "")"),"$")</f>
        <v>$</v>
      </c>
      <c r="G218" s="2" t="str">
        <f>IFERROR(__xludf.DUMMYFUNCTION("""COMPUTED_VALUE"""),"cd")</f>
        <v>cd</v>
      </c>
      <c r="H218" s="2" t="str">
        <f>IFERROR(__xludf.DUMMYFUNCTION("""COMPUTED_VALUE"""),"mzsfcvgv")</f>
        <v>mzsfcvgv</v>
      </c>
      <c r="I218" s="2" t="str">
        <f t="shared" si="3"/>
        <v>#VALUE!</v>
      </c>
      <c r="J218" s="2" t="str">
        <f>IFERROR(__xludf.DUMMYFUNCTION("SPLIT(I218,"" "")"),"#VALUE!")</f>
        <v>#VALUE!</v>
      </c>
      <c r="M218" s="2" t="b">
        <f t="shared" si="4"/>
        <v>0</v>
      </c>
      <c r="N218" s="2" t="b">
        <f>IFERROR(__xludf.DUMMYFUNCTION("IF(AND(REGEXMATCH($G$4, ""cd""),M218),N217+J218)"),FALSE)</f>
        <v>0</v>
      </c>
      <c r="O218" s="2" t="str">
        <f t="shared" si="5"/>
        <v>#N/A</v>
      </c>
    </row>
    <row r="219">
      <c r="A219" s="1" t="s">
        <v>2</v>
      </c>
      <c r="B219" s="2" t="str">
        <f t="shared" si="1"/>
        <v>#VALUE!</v>
      </c>
      <c r="C219" s="2" t="str">
        <f>IFERROR(__xludf.DUMMYFUNCTION("SPLIT(B219,"" "")"),"#VALUE!")</f>
        <v>#VALUE!</v>
      </c>
      <c r="E219" s="2" t="str">
        <f t="shared" si="2"/>
        <v>#VALUE!</v>
      </c>
      <c r="F219" s="2" t="str">
        <f>IFERROR(__xludf.DUMMYFUNCTION("SPLIT(E219,"" "")"),"#VALUE!")</f>
        <v>#VALUE!</v>
      </c>
      <c r="I219" s="2" t="str">
        <f t="shared" si="3"/>
        <v>#VALUE!</v>
      </c>
      <c r="J219" s="2" t="str">
        <f>IFERROR(__xludf.DUMMYFUNCTION("SPLIT(I219,"" "")"),"#VALUE!")</f>
        <v>#VALUE!</v>
      </c>
      <c r="M219" s="2" t="b">
        <f t="shared" si="4"/>
        <v>0</v>
      </c>
      <c r="N219" s="2" t="b">
        <f>IFERROR(__xludf.DUMMYFUNCTION("IF(AND(REGEXMATCH($G$4, ""cd""),M219),N218+J219)"),FALSE)</f>
        <v>0</v>
      </c>
      <c r="O219" s="2" t="str">
        <f t="shared" si="5"/>
        <v>#N/A</v>
      </c>
    </row>
    <row r="220">
      <c r="A220" s="1" t="s">
        <v>132</v>
      </c>
      <c r="B220" s="2" t="str">
        <f t="shared" si="1"/>
        <v>#VALUE!</v>
      </c>
      <c r="C220" s="2" t="str">
        <f>IFERROR(__xludf.DUMMYFUNCTION("SPLIT(B220,"" "")"),"#VALUE!")</f>
        <v>#VALUE!</v>
      </c>
      <c r="E220" s="2" t="str">
        <f t="shared" si="2"/>
        <v>#VALUE!</v>
      </c>
      <c r="F220" s="2" t="str">
        <f>IFERROR(__xludf.DUMMYFUNCTION("SPLIT(E220,"" "")"),"#VALUE!")</f>
        <v>#VALUE!</v>
      </c>
      <c r="I220" s="2" t="str">
        <f t="shared" si="3"/>
        <v>1356 hrbh.wpz</v>
      </c>
      <c r="J220" s="2">
        <f>IFERROR(__xludf.DUMMYFUNCTION("SPLIT(I220,"" "")"),1356.0)</f>
        <v>1356</v>
      </c>
      <c r="K220" s="2" t="str">
        <f>IFERROR(__xludf.DUMMYFUNCTION("""COMPUTED_VALUE"""),"hrbh.wpz")</f>
        <v>hrbh.wpz</v>
      </c>
      <c r="M220" s="2" t="b">
        <f t="shared" si="4"/>
        <v>1</v>
      </c>
      <c r="N220" s="2">
        <f>IFERROR(__xludf.DUMMYFUNCTION("IF(AND(REGEXMATCH($G$4, ""cd""),M220),N219+J220)"),1356.0)</f>
        <v>1356</v>
      </c>
      <c r="O220" s="2" t="str">
        <f t="shared" si="5"/>
        <v>#N/A</v>
      </c>
    </row>
    <row r="221">
      <c r="A221" s="1" t="s">
        <v>133</v>
      </c>
      <c r="B221" s="2" t="str">
        <f t="shared" si="1"/>
        <v>dir vnwqstw</v>
      </c>
      <c r="C221" s="2" t="str">
        <f>IFERROR(__xludf.DUMMYFUNCTION("SPLIT(B221,"" "")"),"dir")</f>
        <v>dir</v>
      </c>
      <c r="D221" s="2" t="str">
        <f>IFERROR(__xludf.DUMMYFUNCTION("""COMPUTED_VALUE"""),"vnwqstw")</f>
        <v>vnwqstw</v>
      </c>
      <c r="E221" s="2" t="str">
        <f t="shared" si="2"/>
        <v>#VALUE!</v>
      </c>
      <c r="F221" s="2" t="str">
        <f>IFERROR(__xludf.DUMMYFUNCTION("SPLIT(E221,"" "")"),"#VALUE!")</f>
        <v>#VALUE!</v>
      </c>
      <c r="I221" s="2" t="str">
        <f t="shared" si="3"/>
        <v>#VALUE!</v>
      </c>
      <c r="J221" s="2" t="str">
        <f>IFERROR(__xludf.DUMMYFUNCTION("SPLIT(I221,"" "")"),"#VALUE!")</f>
        <v>#VALUE!</v>
      </c>
      <c r="M221" s="2" t="b">
        <f t="shared" si="4"/>
        <v>0</v>
      </c>
      <c r="N221" s="2" t="b">
        <f>IFERROR(__xludf.DUMMYFUNCTION("IF(AND(REGEXMATCH($G$4, ""cd""),M221),N220+J221)"),FALSE)</f>
        <v>0</v>
      </c>
      <c r="O221" s="2" t="str">
        <f t="shared" si="5"/>
        <v>#N/A</v>
      </c>
    </row>
    <row r="222">
      <c r="A222" s="1" t="s">
        <v>134</v>
      </c>
      <c r="B222" s="2" t="str">
        <f t="shared" si="1"/>
        <v>#VALUE!</v>
      </c>
      <c r="C222" s="2" t="str">
        <f>IFERROR(__xludf.DUMMYFUNCTION("SPLIT(B222,"" "")"),"#VALUE!")</f>
        <v>#VALUE!</v>
      </c>
      <c r="E222" s="2" t="str">
        <f t="shared" si="2"/>
        <v>$ cd vnwqstw</v>
      </c>
      <c r="F222" s="2" t="str">
        <f>IFERROR(__xludf.DUMMYFUNCTION("SPLIT(E222,"" "")"),"$")</f>
        <v>$</v>
      </c>
      <c r="G222" s="2" t="str">
        <f>IFERROR(__xludf.DUMMYFUNCTION("""COMPUTED_VALUE"""),"cd")</f>
        <v>cd</v>
      </c>
      <c r="H222" s="2" t="str">
        <f>IFERROR(__xludf.DUMMYFUNCTION("""COMPUTED_VALUE"""),"vnwqstw")</f>
        <v>vnwqstw</v>
      </c>
      <c r="I222" s="2" t="str">
        <f t="shared" si="3"/>
        <v>#VALUE!</v>
      </c>
      <c r="J222" s="2" t="str">
        <f>IFERROR(__xludf.DUMMYFUNCTION("SPLIT(I222,"" "")"),"#VALUE!")</f>
        <v>#VALUE!</v>
      </c>
      <c r="M222" s="2" t="b">
        <f t="shared" si="4"/>
        <v>0</v>
      </c>
      <c r="N222" s="2" t="b">
        <f>IFERROR(__xludf.DUMMYFUNCTION("IF(AND(REGEXMATCH($G$4, ""cd""),M222),N221+J222)"),FALSE)</f>
        <v>0</v>
      </c>
      <c r="O222" s="2" t="str">
        <f t="shared" si="5"/>
        <v>#N/A</v>
      </c>
    </row>
    <row r="223">
      <c r="A223" s="1" t="s">
        <v>2</v>
      </c>
      <c r="B223" s="2" t="str">
        <f t="shared" si="1"/>
        <v>#VALUE!</v>
      </c>
      <c r="C223" s="2" t="str">
        <f>IFERROR(__xludf.DUMMYFUNCTION("SPLIT(B223,"" "")"),"#VALUE!")</f>
        <v>#VALUE!</v>
      </c>
      <c r="E223" s="2" t="str">
        <f t="shared" si="2"/>
        <v>#VALUE!</v>
      </c>
      <c r="F223" s="2" t="str">
        <f>IFERROR(__xludf.DUMMYFUNCTION("SPLIT(E223,"" "")"),"#VALUE!")</f>
        <v>#VALUE!</v>
      </c>
      <c r="I223" s="2" t="str">
        <f t="shared" si="3"/>
        <v>#VALUE!</v>
      </c>
      <c r="J223" s="2" t="str">
        <f>IFERROR(__xludf.DUMMYFUNCTION("SPLIT(I223,"" "")"),"#VALUE!")</f>
        <v>#VALUE!</v>
      </c>
      <c r="M223" s="2" t="b">
        <f t="shared" si="4"/>
        <v>0</v>
      </c>
      <c r="N223" s="2" t="b">
        <f>IFERROR(__xludf.DUMMYFUNCTION("IF(AND(REGEXMATCH($G$4, ""cd""),M223),N222+J223)"),FALSE)</f>
        <v>0</v>
      </c>
      <c r="O223" s="2" t="str">
        <f t="shared" si="5"/>
        <v>#N/A</v>
      </c>
    </row>
    <row r="224">
      <c r="A224" s="1" t="s">
        <v>135</v>
      </c>
      <c r="B224" s="2" t="str">
        <f t="shared" si="1"/>
        <v>#VALUE!</v>
      </c>
      <c r="C224" s="2" t="str">
        <f>IFERROR(__xludf.DUMMYFUNCTION("SPLIT(B224,"" "")"),"#VALUE!")</f>
        <v>#VALUE!</v>
      </c>
      <c r="E224" s="2" t="str">
        <f t="shared" si="2"/>
        <v>#VALUE!</v>
      </c>
      <c r="F224" s="2" t="str">
        <f>IFERROR(__xludf.DUMMYFUNCTION("SPLIT(E224,"" "")"),"#VALUE!")</f>
        <v>#VALUE!</v>
      </c>
      <c r="I224" s="2" t="str">
        <f t="shared" si="3"/>
        <v>184434 hnhzdshl.lrl</v>
      </c>
      <c r="J224" s="2">
        <f>IFERROR(__xludf.DUMMYFUNCTION("SPLIT(I224,"" "")"),184434.0)</f>
        <v>184434</v>
      </c>
      <c r="K224" s="2" t="str">
        <f>IFERROR(__xludf.DUMMYFUNCTION("""COMPUTED_VALUE"""),"hnhzdshl.lrl")</f>
        <v>hnhzdshl.lrl</v>
      </c>
      <c r="M224" s="2" t="b">
        <f t="shared" si="4"/>
        <v>1</v>
      </c>
      <c r="N224" s="2">
        <f>IFERROR(__xludf.DUMMYFUNCTION("IF(AND(REGEXMATCH($G$4, ""cd""),M224),N223+J224)"),184434.0)</f>
        <v>184434</v>
      </c>
      <c r="O224" s="2" t="str">
        <f t="shared" si="5"/>
        <v>#N/A</v>
      </c>
    </row>
    <row r="225">
      <c r="A225" s="1" t="s">
        <v>136</v>
      </c>
      <c r="B225" s="2" t="str">
        <f t="shared" si="1"/>
        <v>#VALUE!</v>
      </c>
      <c r="C225" s="2" t="str">
        <f>IFERROR(__xludf.DUMMYFUNCTION("SPLIT(B225,"" "")"),"#VALUE!")</f>
        <v>#VALUE!</v>
      </c>
      <c r="E225" s="2" t="str">
        <f t="shared" si="2"/>
        <v>#VALUE!</v>
      </c>
      <c r="F225" s="2" t="str">
        <f>IFERROR(__xludf.DUMMYFUNCTION("SPLIT(E225,"" "")"),"#VALUE!")</f>
        <v>#VALUE!</v>
      </c>
      <c r="I225" s="2" t="str">
        <f t="shared" si="3"/>
        <v>150624 wsrnprdb.pjf</v>
      </c>
      <c r="J225" s="2">
        <f>IFERROR(__xludf.DUMMYFUNCTION("SPLIT(I225,"" "")"),150624.0)</f>
        <v>150624</v>
      </c>
      <c r="K225" s="2" t="str">
        <f>IFERROR(__xludf.DUMMYFUNCTION("""COMPUTED_VALUE"""),"wsrnprdb.pjf")</f>
        <v>wsrnprdb.pjf</v>
      </c>
      <c r="M225" s="2" t="b">
        <f t="shared" si="4"/>
        <v>1</v>
      </c>
      <c r="N225" s="2">
        <f>IFERROR(__xludf.DUMMYFUNCTION("IF(AND(REGEXMATCH($G$4, ""cd""),M225),N224+J225)"),335058.0)</f>
        <v>335058</v>
      </c>
      <c r="O225" s="2" t="str">
        <f t="shared" si="5"/>
        <v>#N/A</v>
      </c>
    </row>
    <row r="226">
      <c r="A226" s="1" t="s">
        <v>17</v>
      </c>
      <c r="B226" s="2" t="str">
        <f t="shared" si="1"/>
        <v>#VALUE!</v>
      </c>
      <c r="C226" s="2" t="str">
        <f>IFERROR(__xludf.DUMMYFUNCTION("SPLIT(B226,"" "")"),"#VALUE!")</f>
        <v>#VALUE!</v>
      </c>
      <c r="E226" s="2" t="str">
        <f t="shared" si="2"/>
        <v>$ cd ..</v>
      </c>
      <c r="F226" s="2" t="str">
        <f>IFERROR(__xludf.DUMMYFUNCTION("SPLIT(E226,"" "")"),"$")</f>
        <v>$</v>
      </c>
      <c r="G226" s="2" t="str">
        <f>IFERROR(__xludf.DUMMYFUNCTION("""COMPUTED_VALUE"""),"cd")</f>
        <v>cd</v>
      </c>
      <c r="H226" s="2" t="str">
        <f>IFERROR(__xludf.DUMMYFUNCTION("""COMPUTED_VALUE"""),"..")</f>
        <v>..</v>
      </c>
      <c r="I226" s="2" t="str">
        <f t="shared" si="3"/>
        <v>$ cd ..</v>
      </c>
      <c r="J226" s="2" t="str">
        <f>IFERROR(__xludf.DUMMYFUNCTION("SPLIT(I226,"" "")"),"$")</f>
        <v>$</v>
      </c>
      <c r="K226" s="2" t="str">
        <f>IFERROR(__xludf.DUMMYFUNCTION("""COMPUTED_VALUE"""),"cd")</f>
        <v>cd</v>
      </c>
      <c r="L226" s="2" t="str">
        <f>IFERROR(__xludf.DUMMYFUNCTION("""COMPUTED_VALUE"""),"..")</f>
        <v>..</v>
      </c>
      <c r="M226" s="2" t="b">
        <f t="shared" si="4"/>
        <v>0</v>
      </c>
      <c r="N226" s="2" t="b">
        <f>IFERROR(__xludf.DUMMYFUNCTION("IF(AND(REGEXMATCH($G$4, ""cd""),M226),N225+J226)"),FALSE)</f>
        <v>0</v>
      </c>
      <c r="O226" s="2" t="str">
        <f t="shared" si="5"/>
        <v>#N/A</v>
      </c>
    </row>
    <row r="227">
      <c r="A227" s="1" t="s">
        <v>17</v>
      </c>
      <c r="B227" s="2" t="str">
        <f t="shared" si="1"/>
        <v>#VALUE!</v>
      </c>
      <c r="C227" s="2" t="str">
        <f>IFERROR(__xludf.DUMMYFUNCTION("SPLIT(B227,"" "")"),"#VALUE!")</f>
        <v>#VALUE!</v>
      </c>
      <c r="E227" s="2" t="str">
        <f t="shared" si="2"/>
        <v>$ cd ..</v>
      </c>
      <c r="F227" s="2" t="str">
        <f>IFERROR(__xludf.DUMMYFUNCTION("SPLIT(E227,"" "")"),"$")</f>
        <v>$</v>
      </c>
      <c r="G227" s="2" t="str">
        <f>IFERROR(__xludf.DUMMYFUNCTION("""COMPUTED_VALUE"""),"cd")</f>
        <v>cd</v>
      </c>
      <c r="H227" s="2" t="str">
        <f>IFERROR(__xludf.DUMMYFUNCTION("""COMPUTED_VALUE"""),"..")</f>
        <v>..</v>
      </c>
      <c r="I227" s="2" t="str">
        <f t="shared" si="3"/>
        <v>$ cd ..</v>
      </c>
      <c r="J227" s="2" t="str">
        <f>IFERROR(__xludf.DUMMYFUNCTION("SPLIT(I227,"" "")"),"$")</f>
        <v>$</v>
      </c>
      <c r="K227" s="2" t="str">
        <f>IFERROR(__xludf.DUMMYFUNCTION("""COMPUTED_VALUE"""),"cd")</f>
        <v>cd</v>
      </c>
      <c r="L227" s="2" t="str">
        <f>IFERROR(__xludf.DUMMYFUNCTION("""COMPUTED_VALUE"""),"..")</f>
        <v>..</v>
      </c>
      <c r="M227" s="2" t="b">
        <f t="shared" si="4"/>
        <v>0</v>
      </c>
      <c r="N227" s="2" t="b">
        <f>IFERROR(__xludf.DUMMYFUNCTION("IF(AND(REGEXMATCH($G$4, ""cd""),M227),N226+J227)"),FALSE)</f>
        <v>0</v>
      </c>
      <c r="O227" s="2" t="str">
        <f t="shared" si="5"/>
        <v>#N/A</v>
      </c>
    </row>
    <row r="228">
      <c r="A228" s="1" t="s">
        <v>137</v>
      </c>
      <c r="B228" s="2" t="str">
        <f t="shared" si="1"/>
        <v>#VALUE!</v>
      </c>
      <c r="C228" s="2" t="str">
        <f>IFERROR(__xludf.DUMMYFUNCTION("SPLIT(B228,"" "")"),"#VALUE!")</f>
        <v>#VALUE!</v>
      </c>
      <c r="E228" s="2" t="str">
        <f t="shared" si="2"/>
        <v>$ cd rrn</v>
      </c>
      <c r="F228" s="2" t="str">
        <f>IFERROR(__xludf.DUMMYFUNCTION("SPLIT(E228,"" "")"),"$")</f>
        <v>$</v>
      </c>
      <c r="G228" s="2" t="str">
        <f>IFERROR(__xludf.DUMMYFUNCTION("""COMPUTED_VALUE"""),"cd")</f>
        <v>cd</v>
      </c>
      <c r="H228" s="2" t="str">
        <f>IFERROR(__xludf.DUMMYFUNCTION("""COMPUTED_VALUE"""),"rrn")</f>
        <v>rrn</v>
      </c>
      <c r="I228" s="2" t="str">
        <f t="shared" si="3"/>
        <v>#VALUE!</v>
      </c>
      <c r="J228" s="2" t="str">
        <f>IFERROR(__xludf.DUMMYFUNCTION("SPLIT(I228,"" "")"),"#VALUE!")</f>
        <v>#VALUE!</v>
      </c>
      <c r="M228" s="2" t="b">
        <f t="shared" si="4"/>
        <v>0</v>
      </c>
      <c r="N228" s="2" t="b">
        <f>IFERROR(__xludf.DUMMYFUNCTION("IF(AND(REGEXMATCH($G$4, ""cd""),M228),N227+J228)"),FALSE)</f>
        <v>0</v>
      </c>
      <c r="O228" s="2" t="str">
        <f t="shared" si="5"/>
        <v>#N/A</v>
      </c>
    </row>
    <row r="229">
      <c r="A229" s="1" t="s">
        <v>2</v>
      </c>
      <c r="B229" s="2" t="str">
        <f t="shared" si="1"/>
        <v>#VALUE!</v>
      </c>
      <c r="C229" s="2" t="str">
        <f>IFERROR(__xludf.DUMMYFUNCTION("SPLIT(B229,"" "")"),"#VALUE!")</f>
        <v>#VALUE!</v>
      </c>
      <c r="E229" s="2" t="str">
        <f t="shared" si="2"/>
        <v>#VALUE!</v>
      </c>
      <c r="F229" s="2" t="str">
        <f>IFERROR(__xludf.DUMMYFUNCTION("SPLIT(E229,"" "")"),"#VALUE!")</f>
        <v>#VALUE!</v>
      </c>
      <c r="I229" s="2" t="str">
        <f t="shared" si="3"/>
        <v>#VALUE!</v>
      </c>
      <c r="J229" s="2" t="str">
        <f>IFERROR(__xludf.DUMMYFUNCTION("SPLIT(I229,"" "")"),"#VALUE!")</f>
        <v>#VALUE!</v>
      </c>
      <c r="M229" s="2" t="b">
        <f t="shared" si="4"/>
        <v>0</v>
      </c>
      <c r="N229" s="2" t="b">
        <f>IFERROR(__xludf.DUMMYFUNCTION("IF(AND(REGEXMATCH($G$4, ""cd""),M229),N228+J229)"),FALSE)</f>
        <v>0</v>
      </c>
      <c r="O229" s="2" t="str">
        <f t="shared" si="5"/>
        <v>#N/A</v>
      </c>
    </row>
    <row r="230">
      <c r="A230" s="1" t="s">
        <v>138</v>
      </c>
      <c r="B230" s="2" t="str">
        <f t="shared" si="1"/>
        <v>#VALUE!</v>
      </c>
      <c r="C230" s="2" t="str">
        <f>IFERROR(__xludf.DUMMYFUNCTION("SPLIT(B230,"" "")"),"#VALUE!")</f>
        <v>#VALUE!</v>
      </c>
      <c r="E230" s="2" t="str">
        <f t="shared" si="2"/>
        <v>#VALUE!</v>
      </c>
      <c r="F230" s="2" t="str">
        <f>IFERROR(__xludf.DUMMYFUNCTION("SPLIT(E230,"" "")"),"#VALUE!")</f>
        <v>#VALUE!</v>
      </c>
      <c r="I230" s="2" t="str">
        <f t="shared" si="3"/>
        <v>105792 dzprqqc.rbh</v>
      </c>
      <c r="J230" s="2">
        <f>IFERROR(__xludf.DUMMYFUNCTION("SPLIT(I230,"" "")"),105792.0)</f>
        <v>105792</v>
      </c>
      <c r="K230" s="2" t="str">
        <f>IFERROR(__xludf.DUMMYFUNCTION("""COMPUTED_VALUE"""),"dzprqqc.rbh")</f>
        <v>dzprqqc.rbh</v>
      </c>
      <c r="M230" s="2" t="b">
        <f t="shared" si="4"/>
        <v>1</v>
      </c>
      <c r="N230" s="2">
        <f>IFERROR(__xludf.DUMMYFUNCTION("IF(AND(REGEXMATCH($G$4, ""cd""),M230),N229+J230)"),105792.0)</f>
        <v>105792</v>
      </c>
      <c r="O230" s="2" t="str">
        <f t="shared" si="5"/>
        <v>#N/A</v>
      </c>
    </row>
    <row r="231">
      <c r="A231" s="1" t="s">
        <v>139</v>
      </c>
      <c r="B231" s="2" t="str">
        <f t="shared" si="1"/>
        <v>#VALUE!</v>
      </c>
      <c r="C231" s="2" t="str">
        <f>IFERROR(__xludf.DUMMYFUNCTION("SPLIT(B231,"" "")"),"#VALUE!")</f>
        <v>#VALUE!</v>
      </c>
      <c r="E231" s="2" t="str">
        <f t="shared" si="2"/>
        <v>#VALUE!</v>
      </c>
      <c r="F231" s="2" t="str">
        <f>IFERROR(__xludf.DUMMYFUNCTION("SPLIT(E231,"" "")"),"#VALUE!")</f>
        <v>#VALUE!</v>
      </c>
      <c r="I231" s="2" t="str">
        <f t="shared" si="3"/>
        <v>#VALUE!</v>
      </c>
      <c r="J231" s="2" t="str">
        <f>IFERROR(__xludf.DUMMYFUNCTION("SPLIT(I231,"" "")"),"#VALUE!")</f>
        <v>#VALUE!</v>
      </c>
      <c r="M231" s="2" t="b">
        <f t="shared" si="4"/>
        <v>0</v>
      </c>
      <c r="N231" s="2" t="b">
        <f>IFERROR(__xludf.DUMMYFUNCTION("IF(AND(REGEXMATCH($G$4, ""cd""),M231),N230+J231)"),FALSE)</f>
        <v>0</v>
      </c>
      <c r="O231" s="2" t="str">
        <f t="shared" si="5"/>
        <v>#N/A</v>
      </c>
    </row>
    <row r="232">
      <c r="A232" s="1" t="s">
        <v>140</v>
      </c>
      <c r="B232" s="2" t="str">
        <f t="shared" si="1"/>
        <v>dir hnr</v>
      </c>
      <c r="C232" s="2" t="str">
        <f>IFERROR(__xludf.DUMMYFUNCTION("SPLIT(B232,"" "")"),"dir")</f>
        <v>dir</v>
      </c>
      <c r="D232" s="2" t="str">
        <f>IFERROR(__xludf.DUMMYFUNCTION("""COMPUTED_VALUE"""),"hnr")</f>
        <v>hnr</v>
      </c>
      <c r="E232" s="2" t="str">
        <f t="shared" si="2"/>
        <v>#VALUE!</v>
      </c>
      <c r="F232" s="2" t="str">
        <f>IFERROR(__xludf.DUMMYFUNCTION("SPLIT(E232,"" "")"),"#VALUE!")</f>
        <v>#VALUE!</v>
      </c>
      <c r="I232" s="2" t="str">
        <f t="shared" si="3"/>
        <v>#VALUE!</v>
      </c>
      <c r="J232" s="2" t="str">
        <f>IFERROR(__xludf.DUMMYFUNCTION("SPLIT(I232,"" "")"),"#VALUE!")</f>
        <v>#VALUE!</v>
      </c>
      <c r="M232" s="2" t="b">
        <f t="shared" si="4"/>
        <v>0</v>
      </c>
      <c r="N232" s="2" t="b">
        <f>IFERROR(__xludf.DUMMYFUNCTION("IF(AND(REGEXMATCH($G$4, ""cd""),M232),N231+J232)"),FALSE)</f>
        <v>0</v>
      </c>
      <c r="O232" s="2" t="str">
        <f t="shared" si="5"/>
        <v>#N/A</v>
      </c>
    </row>
    <row r="233">
      <c r="A233" s="1" t="s">
        <v>141</v>
      </c>
      <c r="B233" s="2" t="str">
        <f t="shared" si="1"/>
        <v>dir rdmgtf</v>
      </c>
      <c r="C233" s="2" t="str">
        <f>IFERROR(__xludf.DUMMYFUNCTION("SPLIT(B233,"" "")"),"dir")</f>
        <v>dir</v>
      </c>
      <c r="D233" s="2" t="str">
        <f>IFERROR(__xludf.DUMMYFUNCTION("""COMPUTED_VALUE"""),"rdmgtf")</f>
        <v>rdmgtf</v>
      </c>
      <c r="E233" s="2" t="str">
        <f t="shared" si="2"/>
        <v>#VALUE!</v>
      </c>
      <c r="F233" s="2" t="str">
        <f>IFERROR(__xludf.DUMMYFUNCTION("SPLIT(E233,"" "")"),"#VALUE!")</f>
        <v>#VALUE!</v>
      </c>
      <c r="I233" s="2" t="str">
        <f t="shared" si="3"/>
        <v>#VALUE!</v>
      </c>
      <c r="J233" s="2" t="str">
        <f>IFERROR(__xludf.DUMMYFUNCTION("SPLIT(I233,"" "")"),"#VALUE!")</f>
        <v>#VALUE!</v>
      </c>
      <c r="M233" s="2" t="b">
        <f t="shared" si="4"/>
        <v>0</v>
      </c>
      <c r="N233" s="2" t="b">
        <f>IFERROR(__xludf.DUMMYFUNCTION("IF(AND(REGEXMATCH($G$4, ""cd""),M233),N232+J233)"),FALSE)</f>
        <v>0</v>
      </c>
      <c r="O233" s="2" t="str">
        <f t="shared" si="5"/>
        <v>#N/A</v>
      </c>
    </row>
    <row r="234">
      <c r="A234" s="1" t="s">
        <v>142</v>
      </c>
      <c r="B234" s="2" t="str">
        <f t="shared" si="1"/>
        <v>dir rgrwp</v>
      </c>
      <c r="C234" s="2" t="str">
        <f>IFERROR(__xludf.DUMMYFUNCTION("SPLIT(B234,"" "")"),"dir")</f>
        <v>dir</v>
      </c>
      <c r="D234" s="2" t="str">
        <f>IFERROR(__xludf.DUMMYFUNCTION("""COMPUTED_VALUE"""),"rgrwp")</f>
        <v>rgrwp</v>
      </c>
      <c r="E234" s="2" t="str">
        <f t="shared" si="2"/>
        <v>#VALUE!</v>
      </c>
      <c r="F234" s="2" t="str">
        <f>IFERROR(__xludf.DUMMYFUNCTION("SPLIT(E234,"" "")"),"#VALUE!")</f>
        <v>#VALUE!</v>
      </c>
      <c r="I234" s="2" t="str">
        <f t="shared" si="3"/>
        <v>#VALUE!</v>
      </c>
      <c r="J234" s="2" t="str">
        <f>IFERROR(__xludf.DUMMYFUNCTION("SPLIT(I234,"" "")"),"#VALUE!")</f>
        <v>#VALUE!</v>
      </c>
      <c r="M234" s="2" t="b">
        <f t="shared" si="4"/>
        <v>0</v>
      </c>
      <c r="N234" s="2" t="b">
        <f>IFERROR(__xludf.DUMMYFUNCTION("IF(AND(REGEXMATCH($G$4, ""cd""),M234),N233+J234)"),FALSE)</f>
        <v>0</v>
      </c>
      <c r="O234" s="2" t="str">
        <f t="shared" si="5"/>
        <v>#N/A</v>
      </c>
    </row>
    <row r="235">
      <c r="A235" s="1" t="s">
        <v>143</v>
      </c>
      <c r="B235" s="2" t="str">
        <f t="shared" si="1"/>
        <v>#VALUE!</v>
      </c>
      <c r="C235" s="2" t="str">
        <f>IFERROR(__xludf.DUMMYFUNCTION("SPLIT(B235,"" "")"),"#VALUE!")</f>
        <v>#VALUE!</v>
      </c>
      <c r="E235" s="2" t="str">
        <f t="shared" si="2"/>
        <v>#VALUE!</v>
      </c>
      <c r="F235" s="2" t="str">
        <f>IFERROR(__xludf.DUMMYFUNCTION("SPLIT(E235,"" "")"),"#VALUE!")</f>
        <v>#VALUE!</v>
      </c>
      <c r="I235" s="2" t="str">
        <f t="shared" si="3"/>
        <v>325147 shqr.pdj</v>
      </c>
      <c r="J235" s="2">
        <f>IFERROR(__xludf.DUMMYFUNCTION("SPLIT(I235,"" "")"),325147.0)</f>
        <v>325147</v>
      </c>
      <c r="K235" s="2" t="str">
        <f>IFERROR(__xludf.DUMMYFUNCTION("""COMPUTED_VALUE"""),"shqr.pdj")</f>
        <v>shqr.pdj</v>
      </c>
      <c r="M235" s="2" t="b">
        <f t="shared" si="4"/>
        <v>1</v>
      </c>
      <c r="N235" s="2">
        <f>IFERROR(__xludf.DUMMYFUNCTION("IF(AND(REGEXMATCH($G$4, ""cd""),M235),N234+J235)"),325147.0)</f>
        <v>325147</v>
      </c>
      <c r="O235" s="2" t="str">
        <f t="shared" si="5"/>
        <v>#N/A</v>
      </c>
    </row>
    <row r="236">
      <c r="A236" s="1" t="s">
        <v>144</v>
      </c>
      <c r="B236" s="2" t="str">
        <f t="shared" si="1"/>
        <v>#VALUE!</v>
      </c>
      <c r="C236" s="2" t="str">
        <f>IFERROR(__xludf.DUMMYFUNCTION("SPLIT(B236,"" "")"),"#VALUE!")</f>
        <v>#VALUE!</v>
      </c>
      <c r="E236" s="2" t="str">
        <f t="shared" si="2"/>
        <v>#VALUE!</v>
      </c>
      <c r="F236" s="2" t="str">
        <f>IFERROR(__xludf.DUMMYFUNCTION("SPLIT(E236,"" "")"),"#VALUE!")</f>
        <v>#VALUE!</v>
      </c>
      <c r="I236" s="2" t="str">
        <f t="shared" si="3"/>
        <v>43186 slfdb.bqt</v>
      </c>
      <c r="J236" s="2">
        <f>IFERROR(__xludf.DUMMYFUNCTION("SPLIT(I236,"" "")"),43186.0)</f>
        <v>43186</v>
      </c>
      <c r="K236" s="2" t="str">
        <f>IFERROR(__xludf.DUMMYFUNCTION("""COMPUTED_VALUE"""),"slfdb.bqt")</f>
        <v>slfdb.bqt</v>
      </c>
      <c r="M236" s="2" t="b">
        <f t="shared" si="4"/>
        <v>1</v>
      </c>
      <c r="N236" s="2">
        <f>IFERROR(__xludf.DUMMYFUNCTION("IF(AND(REGEXMATCH($G$4, ""cd""),M236),N235+J236)"),368333.0)</f>
        <v>368333</v>
      </c>
      <c r="O236" s="2" t="str">
        <f t="shared" si="5"/>
        <v>#N/A</v>
      </c>
    </row>
    <row r="237">
      <c r="A237" s="1" t="s">
        <v>145</v>
      </c>
      <c r="B237" s="2" t="str">
        <f t="shared" si="1"/>
        <v>#VALUE!</v>
      </c>
      <c r="C237" s="2" t="str">
        <f>IFERROR(__xludf.DUMMYFUNCTION("SPLIT(B237,"" "")"),"#VALUE!")</f>
        <v>#VALUE!</v>
      </c>
      <c r="E237" s="2" t="str">
        <f t="shared" si="2"/>
        <v>#VALUE!</v>
      </c>
      <c r="F237" s="2" t="str">
        <f>IFERROR(__xludf.DUMMYFUNCTION("SPLIT(E237,"" "")"),"#VALUE!")</f>
        <v>#VALUE!</v>
      </c>
      <c r="I237" s="2" t="str">
        <f t="shared" si="3"/>
        <v>#VALUE!</v>
      </c>
      <c r="J237" s="2" t="str">
        <f>IFERROR(__xludf.DUMMYFUNCTION("SPLIT(I237,"" "")"),"#VALUE!")</f>
        <v>#VALUE!</v>
      </c>
      <c r="M237" s="2" t="b">
        <f t="shared" si="4"/>
        <v>0</v>
      </c>
      <c r="N237" s="2" t="b">
        <f>IFERROR(__xludf.DUMMYFUNCTION("IF(AND(REGEXMATCH($G$4, ""cd""),M237),N236+J237)"),FALSE)</f>
        <v>0</v>
      </c>
      <c r="O237" s="2" t="str">
        <f t="shared" si="5"/>
        <v>#N/A</v>
      </c>
    </row>
    <row r="238">
      <c r="A238" s="1" t="s">
        <v>146</v>
      </c>
      <c r="B238" s="2" t="str">
        <f t="shared" si="1"/>
        <v>#VALUE!</v>
      </c>
      <c r="C238" s="2" t="str">
        <f>IFERROR(__xludf.DUMMYFUNCTION("SPLIT(B238,"" "")"),"#VALUE!")</f>
        <v>#VALUE!</v>
      </c>
      <c r="E238" s="2" t="str">
        <f t="shared" si="2"/>
        <v>$ cd hnr</v>
      </c>
      <c r="F238" s="2" t="str">
        <f>IFERROR(__xludf.DUMMYFUNCTION("SPLIT(E238,"" "")"),"$")</f>
        <v>$</v>
      </c>
      <c r="G238" s="2" t="str">
        <f>IFERROR(__xludf.DUMMYFUNCTION("""COMPUTED_VALUE"""),"cd")</f>
        <v>cd</v>
      </c>
      <c r="H238" s="2" t="str">
        <f>IFERROR(__xludf.DUMMYFUNCTION("""COMPUTED_VALUE"""),"hnr")</f>
        <v>hnr</v>
      </c>
      <c r="I238" s="2" t="str">
        <f t="shared" si="3"/>
        <v>#VALUE!</v>
      </c>
      <c r="J238" s="2" t="str">
        <f>IFERROR(__xludf.DUMMYFUNCTION("SPLIT(I238,"" "")"),"#VALUE!")</f>
        <v>#VALUE!</v>
      </c>
      <c r="M238" s="2" t="b">
        <f t="shared" si="4"/>
        <v>0</v>
      </c>
      <c r="N238" s="2" t="b">
        <f>IFERROR(__xludf.DUMMYFUNCTION("IF(AND(REGEXMATCH($G$4, ""cd""),M238),N237+J238)"),FALSE)</f>
        <v>0</v>
      </c>
      <c r="O238" s="2" t="str">
        <f t="shared" si="5"/>
        <v>#N/A</v>
      </c>
    </row>
    <row r="239">
      <c r="A239" s="1" t="s">
        <v>2</v>
      </c>
      <c r="B239" s="2" t="str">
        <f t="shared" si="1"/>
        <v>#VALUE!</v>
      </c>
      <c r="C239" s="2" t="str">
        <f>IFERROR(__xludf.DUMMYFUNCTION("SPLIT(B239,"" "")"),"#VALUE!")</f>
        <v>#VALUE!</v>
      </c>
      <c r="E239" s="2" t="str">
        <f t="shared" si="2"/>
        <v>#VALUE!</v>
      </c>
      <c r="F239" s="2" t="str">
        <f>IFERROR(__xludf.DUMMYFUNCTION("SPLIT(E239,"" "")"),"#VALUE!")</f>
        <v>#VALUE!</v>
      </c>
      <c r="I239" s="2" t="str">
        <f t="shared" si="3"/>
        <v>#VALUE!</v>
      </c>
      <c r="J239" s="2" t="str">
        <f>IFERROR(__xludf.DUMMYFUNCTION("SPLIT(I239,"" "")"),"#VALUE!")</f>
        <v>#VALUE!</v>
      </c>
      <c r="M239" s="2" t="b">
        <f t="shared" si="4"/>
        <v>0</v>
      </c>
      <c r="N239" s="2" t="b">
        <f>IFERROR(__xludf.DUMMYFUNCTION("IF(AND(REGEXMATCH($G$4, ""cd""),M239),N238+J239)"),FALSE)</f>
        <v>0</v>
      </c>
      <c r="O239" s="2" t="str">
        <f t="shared" si="5"/>
        <v>#N/A</v>
      </c>
    </row>
    <row r="240">
      <c r="A240" s="1" t="s">
        <v>147</v>
      </c>
      <c r="B240" s="2" t="str">
        <f t="shared" si="1"/>
        <v>dir gljrlhjm</v>
      </c>
      <c r="C240" s="2" t="str">
        <f>IFERROR(__xludf.DUMMYFUNCTION("SPLIT(B240,"" "")"),"dir")</f>
        <v>dir</v>
      </c>
      <c r="D240" s="2" t="str">
        <f>IFERROR(__xludf.DUMMYFUNCTION("""COMPUTED_VALUE"""),"gljrlhjm")</f>
        <v>gljrlhjm</v>
      </c>
      <c r="E240" s="2" t="str">
        <f t="shared" si="2"/>
        <v>#VALUE!</v>
      </c>
      <c r="F240" s="2" t="str">
        <f>IFERROR(__xludf.DUMMYFUNCTION("SPLIT(E240,"" "")"),"#VALUE!")</f>
        <v>#VALUE!</v>
      </c>
      <c r="I240" s="2" t="str">
        <f t="shared" si="3"/>
        <v>#VALUE!</v>
      </c>
      <c r="J240" s="2" t="str">
        <f>IFERROR(__xludf.DUMMYFUNCTION("SPLIT(I240,"" "")"),"#VALUE!")</f>
        <v>#VALUE!</v>
      </c>
      <c r="M240" s="2" t="b">
        <f t="shared" si="4"/>
        <v>0</v>
      </c>
      <c r="N240" s="2" t="b">
        <f>IFERROR(__xludf.DUMMYFUNCTION("IF(AND(REGEXMATCH($G$4, ""cd""),M240),N239+J240)"),FALSE)</f>
        <v>0</v>
      </c>
      <c r="O240" s="2" t="str">
        <f t="shared" si="5"/>
        <v>#N/A</v>
      </c>
    </row>
    <row r="241">
      <c r="A241" s="1" t="s">
        <v>148</v>
      </c>
      <c r="B241" s="2" t="str">
        <f t="shared" si="1"/>
        <v>#VALUE!</v>
      </c>
      <c r="C241" s="2" t="str">
        <f>IFERROR(__xludf.DUMMYFUNCTION("SPLIT(B241,"" "")"),"#VALUE!")</f>
        <v>#VALUE!</v>
      </c>
      <c r="E241" s="2" t="str">
        <f t="shared" si="2"/>
        <v>#VALUE!</v>
      </c>
      <c r="F241" s="2" t="str">
        <f>IFERROR(__xludf.DUMMYFUNCTION("SPLIT(E241,"" "")"),"#VALUE!")</f>
        <v>#VALUE!</v>
      </c>
      <c r="I241" s="2" t="str">
        <f t="shared" si="3"/>
        <v>250526 mzsfcvgv.nsb</v>
      </c>
      <c r="J241" s="2">
        <f>IFERROR(__xludf.DUMMYFUNCTION("SPLIT(I241,"" "")"),250526.0)</f>
        <v>250526</v>
      </c>
      <c r="K241" s="2" t="str">
        <f>IFERROR(__xludf.DUMMYFUNCTION("""COMPUTED_VALUE"""),"mzsfcvgv.nsb")</f>
        <v>mzsfcvgv.nsb</v>
      </c>
      <c r="M241" s="2" t="b">
        <f t="shared" si="4"/>
        <v>1</v>
      </c>
      <c r="N241" s="2">
        <f>IFERROR(__xludf.DUMMYFUNCTION("IF(AND(REGEXMATCH($G$4, ""cd""),M241),N240+J241)"),250526.0)</f>
        <v>250526</v>
      </c>
      <c r="O241" s="2" t="str">
        <f t="shared" si="5"/>
        <v>#N/A</v>
      </c>
    </row>
    <row r="242">
      <c r="A242" s="1" t="s">
        <v>149</v>
      </c>
      <c r="B242" s="2" t="str">
        <f t="shared" si="1"/>
        <v>#VALUE!</v>
      </c>
      <c r="C242" s="2" t="str">
        <f>IFERROR(__xludf.DUMMYFUNCTION("SPLIT(B242,"" "")"),"#VALUE!")</f>
        <v>#VALUE!</v>
      </c>
      <c r="E242" s="2" t="str">
        <f t="shared" si="2"/>
        <v>#VALUE!</v>
      </c>
      <c r="F242" s="2" t="str">
        <f>IFERROR(__xludf.DUMMYFUNCTION("SPLIT(E242,"" "")"),"#VALUE!")</f>
        <v>#VALUE!</v>
      </c>
      <c r="I242" s="2" t="str">
        <f t="shared" si="3"/>
        <v>#VALUE!</v>
      </c>
      <c r="J242" s="2" t="str">
        <f>IFERROR(__xludf.DUMMYFUNCTION("SPLIT(I242,"" "")"),"#VALUE!")</f>
        <v>#VALUE!</v>
      </c>
      <c r="M242" s="2" t="b">
        <f t="shared" si="4"/>
        <v>0</v>
      </c>
      <c r="N242" s="2" t="b">
        <f>IFERROR(__xludf.DUMMYFUNCTION("IF(AND(REGEXMATCH($G$4, ""cd""),M242),N241+J242)"),FALSE)</f>
        <v>0</v>
      </c>
      <c r="O242" s="2" t="str">
        <f t="shared" si="5"/>
        <v>#N/A</v>
      </c>
    </row>
    <row r="243">
      <c r="A243" s="1" t="s">
        <v>150</v>
      </c>
      <c r="B243" s="2" t="str">
        <f t="shared" si="1"/>
        <v>#VALUE!</v>
      </c>
      <c r="C243" s="2" t="str">
        <f>IFERROR(__xludf.DUMMYFUNCTION("SPLIT(B243,"" "")"),"#VALUE!")</f>
        <v>#VALUE!</v>
      </c>
      <c r="E243" s="2" t="str">
        <f t="shared" si="2"/>
        <v>$ cd gljrlhjm</v>
      </c>
      <c r="F243" s="2" t="str">
        <f>IFERROR(__xludf.DUMMYFUNCTION("SPLIT(E243,"" "")"),"$")</f>
        <v>$</v>
      </c>
      <c r="G243" s="2" t="str">
        <f>IFERROR(__xludf.DUMMYFUNCTION("""COMPUTED_VALUE"""),"cd")</f>
        <v>cd</v>
      </c>
      <c r="H243" s="2" t="str">
        <f>IFERROR(__xludf.DUMMYFUNCTION("""COMPUTED_VALUE"""),"gljrlhjm")</f>
        <v>gljrlhjm</v>
      </c>
      <c r="I243" s="2" t="str">
        <f t="shared" si="3"/>
        <v>#VALUE!</v>
      </c>
      <c r="J243" s="2" t="str">
        <f>IFERROR(__xludf.DUMMYFUNCTION("SPLIT(I243,"" "")"),"#VALUE!")</f>
        <v>#VALUE!</v>
      </c>
      <c r="M243" s="2" t="b">
        <f t="shared" si="4"/>
        <v>0</v>
      </c>
      <c r="N243" s="2" t="b">
        <f>IFERROR(__xludf.DUMMYFUNCTION("IF(AND(REGEXMATCH($G$4, ""cd""),M243),N242+J243)"),FALSE)</f>
        <v>0</v>
      </c>
      <c r="O243" s="2" t="str">
        <f t="shared" si="5"/>
        <v>#N/A</v>
      </c>
    </row>
    <row r="244">
      <c r="A244" s="1" t="s">
        <v>2</v>
      </c>
      <c r="B244" s="2" t="str">
        <f t="shared" si="1"/>
        <v>#VALUE!</v>
      </c>
      <c r="C244" s="2" t="str">
        <f>IFERROR(__xludf.DUMMYFUNCTION("SPLIT(B244,"" "")"),"#VALUE!")</f>
        <v>#VALUE!</v>
      </c>
      <c r="E244" s="2" t="str">
        <f t="shared" si="2"/>
        <v>#VALUE!</v>
      </c>
      <c r="F244" s="2" t="str">
        <f>IFERROR(__xludf.DUMMYFUNCTION("SPLIT(E244,"" "")"),"#VALUE!")</f>
        <v>#VALUE!</v>
      </c>
      <c r="I244" s="2" t="str">
        <f t="shared" si="3"/>
        <v>#VALUE!</v>
      </c>
      <c r="J244" s="2" t="str">
        <f>IFERROR(__xludf.DUMMYFUNCTION("SPLIT(I244,"" "")"),"#VALUE!")</f>
        <v>#VALUE!</v>
      </c>
      <c r="M244" s="2" t="b">
        <f t="shared" si="4"/>
        <v>0</v>
      </c>
      <c r="N244" s="2" t="b">
        <f>IFERROR(__xludf.DUMMYFUNCTION("IF(AND(REGEXMATCH($G$4, ""cd""),M244),N243+J244)"),FALSE)</f>
        <v>0</v>
      </c>
      <c r="O244" s="2" t="str">
        <f t="shared" si="5"/>
        <v>#N/A</v>
      </c>
    </row>
    <row r="245">
      <c r="A245" s="1" t="s">
        <v>151</v>
      </c>
      <c r="B245" s="2" t="str">
        <f t="shared" si="1"/>
        <v>dir wjwqrnj</v>
      </c>
      <c r="C245" s="2" t="str">
        <f>IFERROR(__xludf.DUMMYFUNCTION("SPLIT(B245,"" "")"),"dir")</f>
        <v>dir</v>
      </c>
      <c r="D245" s="2" t="str">
        <f>IFERROR(__xludf.DUMMYFUNCTION("""COMPUTED_VALUE"""),"wjwqrnj")</f>
        <v>wjwqrnj</v>
      </c>
      <c r="E245" s="2" t="str">
        <f t="shared" si="2"/>
        <v>#VALUE!</v>
      </c>
      <c r="F245" s="2" t="str">
        <f>IFERROR(__xludf.DUMMYFUNCTION("SPLIT(E245,"" "")"),"#VALUE!")</f>
        <v>#VALUE!</v>
      </c>
      <c r="I245" s="2" t="str">
        <f t="shared" si="3"/>
        <v>#VALUE!</v>
      </c>
      <c r="J245" s="2" t="str">
        <f>IFERROR(__xludf.DUMMYFUNCTION("SPLIT(I245,"" "")"),"#VALUE!")</f>
        <v>#VALUE!</v>
      </c>
      <c r="M245" s="2" t="b">
        <f t="shared" si="4"/>
        <v>0</v>
      </c>
      <c r="N245" s="2" t="b">
        <f>IFERROR(__xludf.DUMMYFUNCTION("IF(AND(REGEXMATCH($G$4, ""cd""),M245),N244+J245)"),FALSE)</f>
        <v>0</v>
      </c>
      <c r="O245" s="2" t="str">
        <f t="shared" si="5"/>
        <v>#N/A</v>
      </c>
    </row>
    <row r="246">
      <c r="A246" s="1" t="s">
        <v>152</v>
      </c>
      <c r="B246" s="2" t="str">
        <f t="shared" si="1"/>
        <v>#VALUE!</v>
      </c>
      <c r="C246" s="2" t="str">
        <f>IFERROR(__xludf.DUMMYFUNCTION("SPLIT(B246,"" "")"),"#VALUE!")</f>
        <v>#VALUE!</v>
      </c>
      <c r="E246" s="2" t="str">
        <f t="shared" si="2"/>
        <v>$ cd wjwqrnj</v>
      </c>
      <c r="F246" s="2" t="str">
        <f>IFERROR(__xludf.DUMMYFUNCTION("SPLIT(E246,"" "")"),"$")</f>
        <v>$</v>
      </c>
      <c r="G246" s="2" t="str">
        <f>IFERROR(__xludf.DUMMYFUNCTION("""COMPUTED_VALUE"""),"cd")</f>
        <v>cd</v>
      </c>
      <c r="H246" s="2" t="str">
        <f>IFERROR(__xludf.DUMMYFUNCTION("""COMPUTED_VALUE"""),"wjwqrnj")</f>
        <v>wjwqrnj</v>
      </c>
      <c r="I246" s="2" t="str">
        <f t="shared" si="3"/>
        <v>#VALUE!</v>
      </c>
      <c r="J246" s="2" t="str">
        <f>IFERROR(__xludf.DUMMYFUNCTION("SPLIT(I246,"" "")"),"#VALUE!")</f>
        <v>#VALUE!</v>
      </c>
      <c r="M246" s="2" t="b">
        <f t="shared" si="4"/>
        <v>0</v>
      </c>
      <c r="N246" s="2" t="b">
        <f>IFERROR(__xludf.DUMMYFUNCTION("IF(AND(REGEXMATCH($G$4, ""cd""),M246),N245+J246)"),FALSE)</f>
        <v>0</v>
      </c>
      <c r="O246" s="2" t="str">
        <f t="shared" si="5"/>
        <v>#N/A</v>
      </c>
    </row>
    <row r="247">
      <c r="A247" s="1" t="s">
        <v>2</v>
      </c>
      <c r="B247" s="2" t="str">
        <f t="shared" si="1"/>
        <v>#VALUE!</v>
      </c>
      <c r="C247" s="2" t="str">
        <f>IFERROR(__xludf.DUMMYFUNCTION("SPLIT(B247,"" "")"),"#VALUE!")</f>
        <v>#VALUE!</v>
      </c>
      <c r="E247" s="2" t="str">
        <f t="shared" si="2"/>
        <v>#VALUE!</v>
      </c>
      <c r="F247" s="2" t="str">
        <f>IFERROR(__xludf.DUMMYFUNCTION("SPLIT(E247,"" "")"),"#VALUE!")</f>
        <v>#VALUE!</v>
      </c>
      <c r="I247" s="2" t="str">
        <f t="shared" si="3"/>
        <v>#VALUE!</v>
      </c>
      <c r="J247" s="2" t="str">
        <f>IFERROR(__xludf.DUMMYFUNCTION("SPLIT(I247,"" "")"),"#VALUE!")</f>
        <v>#VALUE!</v>
      </c>
      <c r="M247" s="2" t="b">
        <f t="shared" si="4"/>
        <v>0</v>
      </c>
      <c r="N247" s="2" t="b">
        <f>IFERROR(__xludf.DUMMYFUNCTION("IF(AND(REGEXMATCH($G$4, ""cd""),M247),N246+J247)"),FALSE)</f>
        <v>0</v>
      </c>
      <c r="O247" s="2" t="str">
        <f t="shared" si="5"/>
        <v>#N/A</v>
      </c>
    </row>
    <row r="248">
      <c r="A248" s="1" t="s">
        <v>153</v>
      </c>
      <c r="B248" s="2" t="str">
        <f t="shared" si="1"/>
        <v>#VALUE!</v>
      </c>
      <c r="C248" s="2" t="str">
        <f>IFERROR(__xludf.DUMMYFUNCTION("SPLIT(B248,"" "")"),"#VALUE!")</f>
        <v>#VALUE!</v>
      </c>
      <c r="E248" s="2" t="str">
        <f t="shared" si="2"/>
        <v>#VALUE!</v>
      </c>
      <c r="F248" s="2" t="str">
        <f>IFERROR(__xludf.DUMMYFUNCTION("SPLIT(E248,"" "")"),"#VALUE!")</f>
        <v>#VALUE!</v>
      </c>
      <c r="I248" s="2" t="str">
        <f t="shared" si="3"/>
        <v>142366 gshl.qfc</v>
      </c>
      <c r="J248" s="2">
        <f>IFERROR(__xludf.DUMMYFUNCTION("SPLIT(I248,"" "")"),142366.0)</f>
        <v>142366</v>
      </c>
      <c r="K248" s="2" t="str">
        <f>IFERROR(__xludf.DUMMYFUNCTION("""COMPUTED_VALUE"""),"gshl.qfc")</f>
        <v>gshl.qfc</v>
      </c>
      <c r="M248" s="2" t="b">
        <f t="shared" si="4"/>
        <v>1</v>
      </c>
      <c r="N248" s="2">
        <f>IFERROR(__xludf.DUMMYFUNCTION("IF(AND(REGEXMATCH($G$4, ""cd""),M248),N247+J248)"),142366.0)</f>
        <v>142366</v>
      </c>
      <c r="O248" s="2" t="str">
        <f t="shared" si="5"/>
        <v>#N/A</v>
      </c>
    </row>
    <row r="249">
      <c r="A249" s="1" t="s">
        <v>17</v>
      </c>
      <c r="B249" s="2" t="str">
        <f t="shared" si="1"/>
        <v>#VALUE!</v>
      </c>
      <c r="C249" s="2" t="str">
        <f>IFERROR(__xludf.DUMMYFUNCTION("SPLIT(B249,"" "")"),"#VALUE!")</f>
        <v>#VALUE!</v>
      </c>
      <c r="E249" s="2" t="str">
        <f t="shared" si="2"/>
        <v>$ cd ..</v>
      </c>
      <c r="F249" s="2" t="str">
        <f>IFERROR(__xludf.DUMMYFUNCTION("SPLIT(E249,"" "")"),"$")</f>
        <v>$</v>
      </c>
      <c r="G249" s="2" t="str">
        <f>IFERROR(__xludf.DUMMYFUNCTION("""COMPUTED_VALUE"""),"cd")</f>
        <v>cd</v>
      </c>
      <c r="H249" s="2" t="str">
        <f>IFERROR(__xludf.DUMMYFUNCTION("""COMPUTED_VALUE"""),"..")</f>
        <v>..</v>
      </c>
      <c r="I249" s="2" t="str">
        <f t="shared" si="3"/>
        <v>$ cd ..</v>
      </c>
      <c r="J249" s="2" t="str">
        <f>IFERROR(__xludf.DUMMYFUNCTION("SPLIT(I249,"" "")"),"$")</f>
        <v>$</v>
      </c>
      <c r="K249" s="2" t="str">
        <f>IFERROR(__xludf.DUMMYFUNCTION("""COMPUTED_VALUE"""),"cd")</f>
        <v>cd</v>
      </c>
      <c r="L249" s="2" t="str">
        <f>IFERROR(__xludf.DUMMYFUNCTION("""COMPUTED_VALUE"""),"..")</f>
        <v>..</v>
      </c>
      <c r="M249" s="2" t="b">
        <f t="shared" si="4"/>
        <v>0</v>
      </c>
      <c r="N249" s="2" t="b">
        <f>IFERROR(__xludf.DUMMYFUNCTION("IF(AND(REGEXMATCH($G$4, ""cd""),M249),N248+J249)"),FALSE)</f>
        <v>0</v>
      </c>
      <c r="O249" s="2" t="str">
        <f t="shared" si="5"/>
        <v>#N/A</v>
      </c>
    </row>
    <row r="250">
      <c r="A250" s="1" t="s">
        <v>17</v>
      </c>
      <c r="B250" s="2" t="str">
        <f t="shared" si="1"/>
        <v>#VALUE!</v>
      </c>
      <c r="C250" s="2" t="str">
        <f>IFERROR(__xludf.DUMMYFUNCTION("SPLIT(B250,"" "")"),"#VALUE!")</f>
        <v>#VALUE!</v>
      </c>
      <c r="E250" s="2" t="str">
        <f t="shared" si="2"/>
        <v>$ cd ..</v>
      </c>
      <c r="F250" s="2" t="str">
        <f>IFERROR(__xludf.DUMMYFUNCTION("SPLIT(E250,"" "")"),"$")</f>
        <v>$</v>
      </c>
      <c r="G250" s="2" t="str">
        <f>IFERROR(__xludf.DUMMYFUNCTION("""COMPUTED_VALUE"""),"cd")</f>
        <v>cd</v>
      </c>
      <c r="H250" s="2" t="str">
        <f>IFERROR(__xludf.DUMMYFUNCTION("""COMPUTED_VALUE"""),"..")</f>
        <v>..</v>
      </c>
      <c r="I250" s="2" t="str">
        <f t="shared" si="3"/>
        <v>$ cd ..</v>
      </c>
      <c r="J250" s="2" t="str">
        <f>IFERROR(__xludf.DUMMYFUNCTION("SPLIT(I250,"" "")"),"$")</f>
        <v>$</v>
      </c>
      <c r="K250" s="2" t="str">
        <f>IFERROR(__xludf.DUMMYFUNCTION("""COMPUTED_VALUE"""),"cd")</f>
        <v>cd</v>
      </c>
      <c r="L250" s="2" t="str">
        <f>IFERROR(__xludf.DUMMYFUNCTION("""COMPUTED_VALUE"""),"..")</f>
        <v>..</v>
      </c>
      <c r="M250" s="2" t="b">
        <f t="shared" si="4"/>
        <v>0</v>
      </c>
      <c r="N250" s="2" t="b">
        <f>IFERROR(__xludf.DUMMYFUNCTION("IF(AND(REGEXMATCH($G$4, ""cd""),M250),N249+J250)"),FALSE)</f>
        <v>0</v>
      </c>
      <c r="O250" s="2" t="str">
        <f t="shared" si="5"/>
        <v>#N/A</v>
      </c>
    </row>
    <row r="251">
      <c r="A251" s="1" t="s">
        <v>17</v>
      </c>
      <c r="B251" s="2" t="str">
        <f t="shared" si="1"/>
        <v>#VALUE!</v>
      </c>
      <c r="C251" s="2" t="str">
        <f>IFERROR(__xludf.DUMMYFUNCTION("SPLIT(B251,"" "")"),"#VALUE!")</f>
        <v>#VALUE!</v>
      </c>
      <c r="E251" s="2" t="str">
        <f t="shared" si="2"/>
        <v>$ cd ..</v>
      </c>
      <c r="F251" s="2" t="str">
        <f>IFERROR(__xludf.DUMMYFUNCTION("SPLIT(E251,"" "")"),"$")</f>
        <v>$</v>
      </c>
      <c r="G251" s="2" t="str">
        <f>IFERROR(__xludf.DUMMYFUNCTION("""COMPUTED_VALUE"""),"cd")</f>
        <v>cd</v>
      </c>
      <c r="H251" s="2" t="str">
        <f>IFERROR(__xludf.DUMMYFUNCTION("""COMPUTED_VALUE"""),"..")</f>
        <v>..</v>
      </c>
      <c r="I251" s="2" t="str">
        <f t="shared" si="3"/>
        <v>$ cd ..</v>
      </c>
      <c r="J251" s="2" t="str">
        <f>IFERROR(__xludf.DUMMYFUNCTION("SPLIT(I251,"" "")"),"$")</f>
        <v>$</v>
      </c>
      <c r="K251" s="2" t="str">
        <f>IFERROR(__xludf.DUMMYFUNCTION("""COMPUTED_VALUE"""),"cd")</f>
        <v>cd</v>
      </c>
      <c r="L251" s="2" t="str">
        <f>IFERROR(__xludf.DUMMYFUNCTION("""COMPUTED_VALUE"""),"..")</f>
        <v>..</v>
      </c>
      <c r="M251" s="2" t="b">
        <f t="shared" si="4"/>
        <v>0</v>
      </c>
      <c r="N251" s="2" t="b">
        <f>IFERROR(__xludf.DUMMYFUNCTION("IF(AND(REGEXMATCH($G$4, ""cd""),M251),N250+J251)"),FALSE)</f>
        <v>0</v>
      </c>
      <c r="O251" s="2" t="str">
        <f t="shared" si="5"/>
        <v>#N/A</v>
      </c>
    </row>
    <row r="252">
      <c r="A252" s="1" t="s">
        <v>154</v>
      </c>
      <c r="B252" s="2" t="str">
        <f t="shared" si="1"/>
        <v>#VALUE!</v>
      </c>
      <c r="C252" s="2" t="str">
        <f>IFERROR(__xludf.DUMMYFUNCTION("SPLIT(B252,"" "")"),"#VALUE!")</f>
        <v>#VALUE!</v>
      </c>
      <c r="E252" s="2" t="str">
        <f t="shared" si="2"/>
        <v>$ cd rdmgtf</v>
      </c>
      <c r="F252" s="2" t="str">
        <f>IFERROR(__xludf.DUMMYFUNCTION("SPLIT(E252,"" "")"),"$")</f>
        <v>$</v>
      </c>
      <c r="G252" s="2" t="str">
        <f>IFERROR(__xludf.DUMMYFUNCTION("""COMPUTED_VALUE"""),"cd")</f>
        <v>cd</v>
      </c>
      <c r="H252" s="2" t="str">
        <f>IFERROR(__xludf.DUMMYFUNCTION("""COMPUTED_VALUE"""),"rdmgtf")</f>
        <v>rdmgtf</v>
      </c>
      <c r="I252" s="2" t="str">
        <f t="shared" si="3"/>
        <v>#VALUE!</v>
      </c>
      <c r="J252" s="2" t="str">
        <f>IFERROR(__xludf.DUMMYFUNCTION("SPLIT(I252,"" "")"),"#VALUE!")</f>
        <v>#VALUE!</v>
      </c>
      <c r="M252" s="2" t="b">
        <f t="shared" si="4"/>
        <v>0</v>
      </c>
      <c r="N252" s="2" t="b">
        <f>IFERROR(__xludf.DUMMYFUNCTION("IF(AND(REGEXMATCH($G$4, ""cd""),M252),N251+J252)"),FALSE)</f>
        <v>0</v>
      </c>
      <c r="O252" s="2" t="str">
        <f t="shared" si="5"/>
        <v>#N/A</v>
      </c>
    </row>
    <row r="253">
      <c r="A253" s="1" t="s">
        <v>2</v>
      </c>
      <c r="B253" s="2" t="str">
        <f t="shared" si="1"/>
        <v>#VALUE!</v>
      </c>
      <c r="C253" s="2" t="str">
        <f>IFERROR(__xludf.DUMMYFUNCTION("SPLIT(B253,"" "")"),"#VALUE!")</f>
        <v>#VALUE!</v>
      </c>
      <c r="E253" s="2" t="str">
        <f t="shared" si="2"/>
        <v>#VALUE!</v>
      </c>
      <c r="F253" s="2" t="str">
        <f>IFERROR(__xludf.DUMMYFUNCTION("SPLIT(E253,"" "")"),"#VALUE!")</f>
        <v>#VALUE!</v>
      </c>
      <c r="I253" s="2" t="str">
        <f t="shared" si="3"/>
        <v>#VALUE!</v>
      </c>
      <c r="J253" s="2" t="str">
        <f>IFERROR(__xludf.DUMMYFUNCTION("SPLIT(I253,"" "")"),"#VALUE!")</f>
        <v>#VALUE!</v>
      </c>
      <c r="M253" s="2" t="b">
        <f t="shared" si="4"/>
        <v>0</v>
      </c>
      <c r="N253" s="2" t="b">
        <f>IFERROR(__xludf.DUMMYFUNCTION("IF(AND(REGEXMATCH($G$4, ""cd""),M253),N252+J253)"),FALSE)</f>
        <v>0</v>
      </c>
      <c r="O253" s="2" t="str">
        <f t="shared" si="5"/>
        <v>#N/A</v>
      </c>
    </row>
    <row r="254">
      <c r="A254" s="1" t="s">
        <v>155</v>
      </c>
      <c r="B254" s="2" t="str">
        <f t="shared" si="1"/>
        <v>#VALUE!</v>
      </c>
      <c r="C254" s="2" t="str">
        <f>IFERROR(__xludf.DUMMYFUNCTION("SPLIT(B254,"" "")"),"#VALUE!")</f>
        <v>#VALUE!</v>
      </c>
      <c r="E254" s="2" t="str">
        <f t="shared" si="2"/>
        <v>#VALUE!</v>
      </c>
      <c r="F254" s="2" t="str">
        <f>IFERROR(__xludf.DUMMYFUNCTION("SPLIT(E254,"" "")"),"#VALUE!")</f>
        <v>#VALUE!</v>
      </c>
      <c r="I254" s="2" t="str">
        <f t="shared" si="3"/>
        <v>193562 gdrdnc.vml</v>
      </c>
      <c r="J254" s="2">
        <f>IFERROR(__xludf.DUMMYFUNCTION("SPLIT(I254,"" "")"),193562.0)</f>
        <v>193562</v>
      </c>
      <c r="K254" s="2" t="str">
        <f>IFERROR(__xludf.DUMMYFUNCTION("""COMPUTED_VALUE"""),"gdrdnc.vml")</f>
        <v>gdrdnc.vml</v>
      </c>
      <c r="M254" s="2" t="b">
        <f t="shared" si="4"/>
        <v>1</v>
      </c>
      <c r="N254" s="2">
        <f>IFERROR(__xludf.DUMMYFUNCTION("IF(AND(REGEXMATCH($G$4, ""cd""),M254),N253+J254)"),193562.0)</f>
        <v>193562</v>
      </c>
      <c r="O254" s="2" t="str">
        <f t="shared" si="5"/>
        <v>#N/A</v>
      </c>
    </row>
    <row r="255">
      <c r="A255" s="1" t="s">
        <v>156</v>
      </c>
      <c r="B255" s="2" t="str">
        <f t="shared" si="1"/>
        <v>#VALUE!</v>
      </c>
      <c r="C255" s="2" t="str">
        <f>IFERROR(__xludf.DUMMYFUNCTION("SPLIT(B255,"" "")"),"#VALUE!")</f>
        <v>#VALUE!</v>
      </c>
      <c r="E255" s="2" t="str">
        <f t="shared" si="2"/>
        <v>#VALUE!</v>
      </c>
      <c r="F255" s="2" t="str">
        <f>IFERROR(__xludf.DUMMYFUNCTION("SPLIT(E255,"" "")"),"#VALUE!")</f>
        <v>#VALUE!</v>
      </c>
      <c r="I255" s="2" t="str">
        <f t="shared" si="3"/>
        <v>#VALUE!</v>
      </c>
      <c r="J255" s="2" t="str">
        <f>IFERROR(__xludf.DUMMYFUNCTION("SPLIT(I255,"" "")"),"#VALUE!")</f>
        <v>#VALUE!</v>
      </c>
      <c r="M255" s="2" t="b">
        <f t="shared" si="4"/>
        <v>0</v>
      </c>
      <c r="N255" s="2" t="b">
        <f>IFERROR(__xludf.DUMMYFUNCTION("IF(AND(REGEXMATCH($G$4, ""cd""),M255),N254+J255)"),FALSE)</f>
        <v>0</v>
      </c>
      <c r="O255" s="2" t="str">
        <f t="shared" si="5"/>
        <v>#N/A</v>
      </c>
    </row>
    <row r="256">
      <c r="A256" s="1" t="s">
        <v>157</v>
      </c>
      <c r="B256" s="2" t="str">
        <f t="shared" si="1"/>
        <v>dir lzfntb</v>
      </c>
      <c r="C256" s="2" t="str">
        <f>IFERROR(__xludf.DUMMYFUNCTION("SPLIT(B256,"" "")"),"dir")</f>
        <v>dir</v>
      </c>
      <c r="D256" s="2" t="str">
        <f>IFERROR(__xludf.DUMMYFUNCTION("""COMPUTED_VALUE"""),"lzfntb")</f>
        <v>lzfntb</v>
      </c>
      <c r="E256" s="2" t="str">
        <f t="shared" si="2"/>
        <v>#VALUE!</v>
      </c>
      <c r="F256" s="2" t="str">
        <f>IFERROR(__xludf.DUMMYFUNCTION("SPLIT(E256,"" "")"),"#VALUE!")</f>
        <v>#VALUE!</v>
      </c>
      <c r="I256" s="2" t="str">
        <f t="shared" si="3"/>
        <v>#VALUE!</v>
      </c>
      <c r="J256" s="2" t="str">
        <f>IFERROR(__xludf.DUMMYFUNCTION("SPLIT(I256,"" "")"),"#VALUE!")</f>
        <v>#VALUE!</v>
      </c>
      <c r="M256" s="2" t="b">
        <f t="shared" si="4"/>
        <v>0</v>
      </c>
      <c r="N256" s="2" t="b">
        <f>IFERROR(__xludf.DUMMYFUNCTION("IF(AND(REGEXMATCH($G$4, ""cd""),M256),N255+J256)"),FALSE)</f>
        <v>0</v>
      </c>
      <c r="O256" s="2" t="str">
        <f t="shared" si="5"/>
        <v>#N/A</v>
      </c>
    </row>
    <row r="257">
      <c r="A257" s="1" t="s">
        <v>158</v>
      </c>
      <c r="B257" s="2" t="str">
        <f t="shared" si="1"/>
        <v>dir mjfwsmgd</v>
      </c>
      <c r="C257" s="2" t="str">
        <f>IFERROR(__xludf.DUMMYFUNCTION("SPLIT(B257,"" "")"),"dir")</f>
        <v>dir</v>
      </c>
      <c r="D257" s="2" t="str">
        <f>IFERROR(__xludf.DUMMYFUNCTION("""COMPUTED_VALUE"""),"mjfwsmgd")</f>
        <v>mjfwsmgd</v>
      </c>
      <c r="E257" s="2" t="str">
        <f t="shared" si="2"/>
        <v>#VALUE!</v>
      </c>
      <c r="F257" s="2" t="str">
        <f>IFERROR(__xludf.DUMMYFUNCTION("SPLIT(E257,"" "")"),"#VALUE!")</f>
        <v>#VALUE!</v>
      </c>
      <c r="I257" s="2" t="str">
        <f t="shared" si="3"/>
        <v>#VALUE!</v>
      </c>
      <c r="J257" s="2" t="str">
        <f>IFERROR(__xludf.DUMMYFUNCTION("SPLIT(I257,"" "")"),"#VALUE!")</f>
        <v>#VALUE!</v>
      </c>
      <c r="M257" s="2" t="b">
        <f t="shared" si="4"/>
        <v>0</v>
      </c>
      <c r="N257" s="2" t="b">
        <f>IFERROR(__xludf.DUMMYFUNCTION("IF(AND(REGEXMATCH($G$4, ""cd""),M257),N256+J257)"),FALSE)</f>
        <v>0</v>
      </c>
      <c r="O257" s="2" t="str">
        <f t="shared" si="5"/>
        <v>#N/A</v>
      </c>
    </row>
    <row r="258">
      <c r="A258" s="1" t="s">
        <v>159</v>
      </c>
      <c r="B258" s="2" t="str">
        <f t="shared" si="1"/>
        <v>#VALUE!</v>
      </c>
      <c r="C258" s="2" t="str">
        <f>IFERROR(__xludf.DUMMYFUNCTION("SPLIT(B258,"" "")"),"#VALUE!")</f>
        <v>#VALUE!</v>
      </c>
      <c r="E258" s="2" t="str">
        <f t="shared" si="2"/>
        <v>#VALUE!</v>
      </c>
      <c r="F258" s="2" t="str">
        <f>IFERROR(__xludf.DUMMYFUNCTION("SPLIT(E258,"" "")"),"#VALUE!")</f>
        <v>#VALUE!</v>
      </c>
      <c r="I258" s="2" t="str">
        <f t="shared" si="3"/>
        <v>208819 nqbgcn.qfq</v>
      </c>
      <c r="J258" s="2">
        <f>IFERROR(__xludf.DUMMYFUNCTION("SPLIT(I258,"" "")"),208819.0)</f>
        <v>208819</v>
      </c>
      <c r="K258" s="2" t="str">
        <f>IFERROR(__xludf.DUMMYFUNCTION("""COMPUTED_VALUE"""),"nqbgcn.qfq")</f>
        <v>nqbgcn.qfq</v>
      </c>
      <c r="M258" s="2" t="b">
        <f t="shared" si="4"/>
        <v>1</v>
      </c>
      <c r="N258" s="2">
        <f>IFERROR(__xludf.DUMMYFUNCTION("IF(AND(REGEXMATCH($G$4, ""cd""),M258),N257+J258)"),208819.0)</f>
        <v>208819</v>
      </c>
      <c r="O258" s="2" t="str">
        <f t="shared" si="5"/>
        <v>#N/A</v>
      </c>
    </row>
    <row r="259">
      <c r="A259" s="1" t="s">
        <v>160</v>
      </c>
      <c r="B259" s="2" t="str">
        <f t="shared" si="1"/>
        <v>dir tqh</v>
      </c>
      <c r="C259" s="2" t="str">
        <f>IFERROR(__xludf.DUMMYFUNCTION("SPLIT(B259,"" "")"),"dir")</f>
        <v>dir</v>
      </c>
      <c r="D259" s="2" t="str">
        <f>IFERROR(__xludf.DUMMYFUNCTION("""COMPUTED_VALUE"""),"tqh")</f>
        <v>tqh</v>
      </c>
      <c r="E259" s="2" t="str">
        <f t="shared" si="2"/>
        <v>#VALUE!</v>
      </c>
      <c r="F259" s="2" t="str">
        <f>IFERROR(__xludf.DUMMYFUNCTION("SPLIT(E259,"" "")"),"#VALUE!")</f>
        <v>#VALUE!</v>
      </c>
      <c r="I259" s="2" t="str">
        <f t="shared" si="3"/>
        <v>#VALUE!</v>
      </c>
      <c r="J259" s="2" t="str">
        <f>IFERROR(__xludf.DUMMYFUNCTION("SPLIT(I259,"" "")"),"#VALUE!")</f>
        <v>#VALUE!</v>
      </c>
      <c r="M259" s="2" t="b">
        <f t="shared" si="4"/>
        <v>0</v>
      </c>
      <c r="N259" s="2" t="b">
        <f>IFERROR(__xludf.DUMMYFUNCTION("IF(AND(REGEXMATCH($G$4, ""cd""),M259),N258+J259)"),FALSE)</f>
        <v>0</v>
      </c>
      <c r="O259" s="2" t="str">
        <f t="shared" si="5"/>
        <v>#N/A</v>
      </c>
    </row>
    <row r="260">
      <c r="A260" s="1" t="s">
        <v>161</v>
      </c>
      <c r="B260" s="2" t="str">
        <f t="shared" si="1"/>
        <v>#VALUE!</v>
      </c>
      <c r="C260" s="2" t="str">
        <f>IFERROR(__xludf.DUMMYFUNCTION("SPLIT(B260,"" "")"),"#VALUE!")</f>
        <v>#VALUE!</v>
      </c>
      <c r="E260" s="2" t="str">
        <f t="shared" si="2"/>
        <v>$ cd lzfntb</v>
      </c>
      <c r="F260" s="2" t="str">
        <f>IFERROR(__xludf.DUMMYFUNCTION("SPLIT(E260,"" "")"),"$")</f>
        <v>$</v>
      </c>
      <c r="G260" s="2" t="str">
        <f>IFERROR(__xludf.DUMMYFUNCTION("""COMPUTED_VALUE"""),"cd")</f>
        <v>cd</v>
      </c>
      <c r="H260" s="2" t="str">
        <f>IFERROR(__xludf.DUMMYFUNCTION("""COMPUTED_VALUE"""),"lzfntb")</f>
        <v>lzfntb</v>
      </c>
      <c r="I260" s="2" t="str">
        <f t="shared" si="3"/>
        <v>#VALUE!</v>
      </c>
      <c r="J260" s="2" t="str">
        <f>IFERROR(__xludf.DUMMYFUNCTION("SPLIT(I260,"" "")"),"#VALUE!")</f>
        <v>#VALUE!</v>
      </c>
      <c r="M260" s="2" t="b">
        <f t="shared" si="4"/>
        <v>0</v>
      </c>
      <c r="N260" s="2" t="b">
        <f>IFERROR(__xludf.DUMMYFUNCTION("IF(AND(REGEXMATCH($G$4, ""cd""),M260),N259+J260)"),FALSE)</f>
        <v>0</v>
      </c>
      <c r="O260" s="2" t="str">
        <f t="shared" si="5"/>
        <v>#N/A</v>
      </c>
    </row>
    <row r="261">
      <c r="A261" s="1" t="s">
        <v>2</v>
      </c>
      <c r="B261" s="2" t="str">
        <f t="shared" si="1"/>
        <v>#VALUE!</v>
      </c>
      <c r="C261" s="2" t="str">
        <f>IFERROR(__xludf.DUMMYFUNCTION("SPLIT(B261,"" "")"),"#VALUE!")</f>
        <v>#VALUE!</v>
      </c>
      <c r="E261" s="2" t="str">
        <f t="shared" si="2"/>
        <v>#VALUE!</v>
      </c>
      <c r="F261" s="2" t="str">
        <f>IFERROR(__xludf.DUMMYFUNCTION("SPLIT(E261,"" "")"),"#VALUE!")</f>
        <v>#VALUE!</v>
      </c>
      <c r="I261" s="2" t="str">
        <f t="shared" si="3"/>
        <v>#VALUE!</v>
      </c>
      <c r="J261" s="2" t="str">
        <f>IFERROR(__xludf.DUMMYFUNCTION("SPLIT(I261,"" "")"),"#VALUE!")</f>
        <v>#VALUE!</v>
      </c>
      <c r="M261" s="2" t="b">
        <f t="shared" si="4"/>
        <v>0</v>
      </c>
      <c r="N261" s="2" t="b">
        <f>IFERROR(__xludf.DUMMYFUNCTION("IF(AND(REGEXMATCH($G$4, ""cd""),M261),N260+J261)"),FALSE)</f>
        <v>0</v>
      </c>
      <c r="O261" s="2" t="str">
        <f t="shared" si="5"/>
        <v>#N/A</v>
      </c>
    </row>
    <row r="262">
      <c r="A262" s="1" t="s">
        <v>162</v>
      </c>
      <c r="B262" s="2" t="str">
        <f t="shared" si="1"/>
        <v>dir gwnpsvw</v>
      </c>
      <c r="C262" s="2" t="str">
        <f>IFERROR(__xludf.DUMMYFUNCTION("SPLIT(B262,"" "")"),"dir")</f>
        <v>dir</v>
      </c>
      <c r="D262" s="2" t="str">
        <f>IFERROR(__xludf.DUMMYFUNCTION("""COMPUTED_VALUE"""),"gwnpsvw")</f>
        <v>gwnpsvw</v>
      </c>
      <c r="E262" s="2" t="str">
        <f t="shared" si="2"/>
        <v>#VALUE!</v>
      </c>
      <c r="F262" s="2" t="str">
        <f>IFERROR(__xludf.DUMMYFUNCTION("SPLIT(E262,"" "")"),"#VALUE!")</f>
        <v>#VALUE!</v>
      </c>
      <c r="I262" s="2" t="str">
        <f t="shared" si="3"/>
        <v>#VALUE!</v>
      </c>
      <c r="J262" s="2" t="str">
        <f>IFERROR(__xludf.DUMMYFUNCTION("SPLIT(I262,"" "")"),"#VALUE!")</f>
        <v>#VALUE!</v>
      </c>
      <c r="M262" s="2" t="b">
        <f t="shared" si="4"/>
        <v>0</v>
      </c>
      <c r="N262" s="2" t="b">
        <f>IFERROR(__xludf.DUMMYFUNCTION("IF(AND(REGEXMATCH($G$4, ""cd""),M262),N261+J262)"),FALSE)</f>
        <v>0</v>
      </c>
      <c r="O262" s="2" t="str">
        <f t="shared" si="5"/>
        <v>#N/A</v>
      </c>
    </row>
    <row r="263">
      <c r="A263" s="1" t="s">
        <v>163</v>
      </c>
      <c r="B263" s="2" t="str">
        <f t="shared" si="1"/>
        <v>dir rsgwzhp</v>
      </c>
      <c r="C263" s="2" t="str">
        <f>IFERROR(__xludf.DUMMYFUNCTION("SPLIT(B263,"" "")"),"dir")</f>
        <v>dir</v>
      </c>
      <c r="D263" s="2" t="str">
        <f>IFERROR(__xludf.DUMMYFUNCTION("""COMPUTED_VALUE"""),"rsgwzhp")</f>
        <v>rsgwzhp</v>
      </c>
      <c r="E263" s="2" t="str">
        <f t="shared" si="2"/>
        <v>#VALUE!</v>
      </c>
      <c r="F263" s="2" t="str">
        <f>IFERROR(__xludf.DUMMYFUNCTION("SPLIT(E263,"" "")"),"#VALUE!")</f>
        <v>#VALUE!</v>
      </c>
      <c r="I263" s="2" t="str">
        <f t="shared" si="3"/>
        <v>#VALUE!</v>
      </c>
      <c r="J263" s="2" t="str">
        <f>IFERROR(__xludf.DUMMYFUNCTION("SPLIT(I263,"" "")"),"#VALUE!")</f>
        <v>#VALUE!</v>
      </c>
      <c r="M263" s="2" t="b">
        <f t="shared" si="4"/>
        <v>0</v>
      </c>
      <c r="N263" s="2" t="b">
        <f>IFERROR(__xludf.DUMMYFUNCTION("IF(AND(REGEXMATCH($G$4, ""cd""),M263),N262+J263)"),FALSE)</f>
        <v>0</v>
      </c>
      <c r="O263" s="2" t="str">
        <f t="shared" si="5"/>
        <v>#N/A</v>
      </c>
    </row>
    <row r="264">
      <c r="A264" s="1" t="s">
        <v>164</v>
      </c>
      <c r="B264" s="2" t="str">
        <f t="shared" si="1"/>
        <v>#VALUE!</v>
      </c>
      <c r="C264" s="2" t="str">
        <f>IFERROR(__xludf.DUMMYFUNCTION("SPLIT(B264,"" "")"),"#VALUE!")</f>
        <v>#VALUE!</v>
      </c>
      <c r="E264" s="2" t="str">
        <f t="shared" si="2"/>
        <v>#VALUE!</v>
      </c>
      <c r="F264" s="2" t="str">
        <f>IFERROR(__xludf.DUMMYFUNCTION("SPLIT(E264,"" "")"),"#VALUE!")</f>
        <v>#VALUE!</v>
      </c>
      <c r="I264" s="2" t="str">
        <f t="shared" si="3"/>
        <v>103487 scvllbjh.pnw</v>
      </c>
      <c r="J264" s="2">
        <f>IFERROR(__xludf.DUMMYFUNCTION("SPLIT(I264,"" "")"),103487.0)</f>
        <v>103487</v>
      </c>
      <c r="K264" s="2" t="str">
        <f>IFERROR(__xludf.DUMMYFUNCTION("""COMPUTED_VALUE"""),"scvllbjh.pnw")</f>
        <v>scvllbjh.pnw</v>
      </c>
      <c r="M264" s="2" t="b">
        <f t="shared" si="4"/>
        <v>1</v>
      </c>
      <c r="N264" s="2">
        <f>IFERROR(__xludf.DUMMYFUNCTION("IF(AND(REGEXMATCH($G$4, ""cd""),M264),N263+J264)"),103487.0)</f>
        <v>103487</v>
      </c>
      <c r="O264" s="2" t="str">
        <f t="shared" si="5"/>
        <v>#N/A</v>
      </c>
    </row>
    <row r="265">
      <c r="A265" s="1" t="s">
        <v>165</v>
      </c>
      <c r="B265" s="2" t="str">
        <f t="shared" si="1"/>
        <v>#VALUE!</v>
      </c>
      <c r="C265" s="2" t="str">
        <f>IFERROR(__xludf.DUMMYFUNCTION("SPLIT(B265,"" "")"),"#VALUE!")</f>
        <v>#VALUE!</v>
      </c>
      <c r="E265" s="2" t="str">
        <f t="shared" si="2"/>
        <v>$ cd gwnpsvw</v>
      </c>
      <c r="F265" s="2" t="str">
        <f>IFERROR(__xludf.DUMMYFUNCTION("SPLIT(E265,"" "")"),"$")</f>
        <v>$</v>
      </c>
      <c r="G265" s="2" t="str">
        <f>IFERROR(__xludf.DUMMYFUNCTION("""COMPUTED_VALUE"""),"cd")</f>
        <v>cd</v>
      </c>
      <c r="H265" s="2" t="str">
        <f>IFERROR(__xludf.DUMMYFUNCTION("""COMPUTED_VALUE"""),"gwnpsvw")</f>
        <v>gwnpsvw</v>
      </c>
      <c r="I265" s="2" t="str">
        <f t="shared" si="3"/>
        <v>#VALUE!</v>
      </c>
      <c r="J265" s="2" t="str">
        <f>IFERROR(__xludf.DUMMYFUNCTION("SPLIT(I265,"" "")"),"#VALUE!")</f>
        <v>#VALUE!</v>
      </c>
      <c r="M265" s="2" t="b">
        <f t="shared" si="4"/>
        <v>0</v>
      </c>
      <c r="N265" s="2" t="b">
        <f>IFERROR(__xludf.DUMMYFUNCTION("IF(AND(REGEXMATCH($G$4, ""cd""),M265),N264+J265)"),FALSE)</f>
        <v>0</v>
      </c>
      <c r="O265" s="2" t="str">
        <f t="shared" si="5"/>
        <v>#N/A</v>
      </c>
    </row>
    <row r="266">
      <c r="A266" s="1" t="s">
        <v>2</v>
      </c>
      <c r="B266" s="2" t="str">
        <f t="shared" si="1"/>
        <v>#VALUE!</v>
      </c>
      <c r="C266" s="2" t="str">
        <f>IFERROR(__xludf.DUMMYFUNCTION("SPLIT(B266,"" "")"),"#VALUE!")</f>
        <v>#VALUE!</v>
      </c>
      <c r="E266" s="2" t="str">
        <f t="shared" si="2"/>
        <v>#VALUE!</v>
      </c>
      <c r="F266" s="2" t="str">
        <f>IFERROR(__xludf.DUMMYFUNCTION("SPLIT(E266,"" "")"),"#VALUE!")</f>
        <v>#VALUE!</v>
      </c>
      <c r="I266" s="2" t="str">
        <f t="shared" si="3"/>
        <v>#VALUE!</v>
      </c>
      <c r="J266" s="2" t="str">
        <f>IFERROR(__xludf.DUMMYFUNCTION("SPLIT(I266,"" "")"),"#VALUE!")</f>
        <v>#VALUE!</v>
      </c>
      <c r="M266" s="2" t="b">
        <f t="shared" si="4"/>
        <v>0</v>
      </c>
      <c r="N266" s="2" t="b">
        <f>IFERROR(__xludf.DUMMYFUNCTION("IF(AND(REGEXMATCH($G$4, ""cd""),M266),N265+J266)"),FALSE)</f>
        <v>0</v>
      </c>
      <c r="O266" s="2" t="str">
        <f t="shared" si="5"/>
        <v>#N/A</v>
      </c>
    </row>
    <row r="267">
      <c r="A267" s="1" t="s">
        <v>166</v>
      </c>
      <c r="B267" s="2" t="str">
        <f t="shared" si="1"/>
        <v>dir lqnz</v>
      </c>
      <c r="C267" s="2" t="str">
        <f>IFERROR(__xludf.DUMMYFUNCTION("SPLIT(B267,"" "")"),"dir")</f>
        <v>dir</v>
      </c>
      <c r="D267" s="2" t="str">
        <f>IFERROR(__xludf.DUMMYFUNCTION("""COMPUTED_VALUE"""),"lqnz")</f>
        <v>lqnz</v>
      </c>
      <c r="E267" s="2" t="str">
        <f t="shared" si="2"/>
        <v>#VALUE!</v>
      </c>
      <c r="F267" s="2" t="str">
        <f>IFERROR(__xludf.DUMMYFUNCTION("SPLIT(E267,"" "")"),"#VALUE!")</f>
        <v>#VALUE!</v>
      </c>
      <c r="I267" s="2" t="str">
        <f t="shared" si="3"/>
        <v>#VALUE!</v>
      </c>
      <c r="J267" s="2" t="str">
        <f>IFERROR(__xludf.DUMMYFUNCTION("SPLIT(I267,"" "")"),"#VALUE!")</f>
        <v>#VALUE!</v>
      </c>
      <c r="M267" s="2" t="b">
        <f t="shared" si="4"/>
        <v>0</v>
      </c>
      <c r="N267" s="2" t="b">
        <f>IFERROR(__xludf.DUMMYFUNCTION("IF(AND(REGEXMATCH($G$4, ""cd""),M267),N266+J267)"),FALSE)</f>
        <v>0</v>
      </c>
      <c r="O267" s="2" t="str">
        <f t="shared" si="5"/>
        <v>#N/A</v>
      </c>
    </row>
    <row r="268">
      <c r="A268" s="1" t="s">
        <v>167</v>
      </c>
      <c r="B268" s="2" t="str">
        <f t="shared" si="1"/>
        <v>#VALUE!</v>
      </c>
      <c r="C268" s="2" t="str">
        <f>IFERROR(__xludf.DUMMYFUNCTION("SPLIT(B268,"" "")"),"#VALUE!")</f>
        <v>#VALUE!</v>
      </c>
      <c r="E268" s="2" t="str">
        <f t="shared" si="2"/>
        <v>#VALUE!</v>
      </c>
      <c r="F268" s="2" t="str">
        <f>IFERROR(__xludf.DUMMYFUNCTION("SPLIT(E268,"" "")"),"#VALUE!")</f>
        <v>#VALUE!</v>
      </c>
      <c r="I268" s="2" t="str">
        <f t="shared" si="3"/>
        <v>81937 zbdp.gqb</v>
      </c>
      <c r="J268" s="2">
        <f>IFERROR(__xludf.DUMMYFUNCTION("SPLIT(I268,"" "")"),81937.0)</f>
        <v>81937</v>
      </c>
      <c r="K268" s="2" t="str">
        <f>IFERROR(__xludf.DUMMYFUNCTION("""COMPUTED_VALUE"""),"zbdp.gqb")</f>
        <v>zbdp.gqb</v>
      </c>
      <c r="M268" s="2" t="b">
        <f t="shared" si="4"/>
        <v>1</v>
      </c>
      <c r="N268" s="2">
        <f>IFERROR(__xludf.DUMMYFUNCTION("IF(AND(REGEXMATCH($G$4, ""cd""),M268),N267+J268)"),81937.0)</f>
        <v>81937</v>
      </c>
      <c r="O268" s="2" t="str">
        <f t="shared" si="5"/>
        <v>#N/A</v>
      </c>
    </row>
    <row r="269">
      <c r="A269" s="1" t="s">
        <v>168</v>
      </c>
      <c r="B269" s="2" t="str">
        <f t="shared" si="1"/>
        <v>#VALUE!</v>
      </c>
      <c r="C269" s="2" t="str">
        <f>IFERROR(__xludf.DUMMYFUNCTION("SPLIT(B269,"" "")"),"#VALUE!")</f>
        <v>#VALUE!</v>
      </c>
      <c r="E269" s="2" t="str">
        <f t="shared" si="2"/>
        <v>$ cd lqnz</v>
      </c>
      <c r="F269" s="2" t="str">
        <f>IFERROR(__xludf.DUMMYFUNCTION("SPLIT(E269,"" "")"),"$")</f>
        <v>$</v>
      </c>
      <c r="G269" s="2" t="str">
        <f>IFERROR(__xludf.DUMMYFUNCTION("""COMPUTED_VALUE"""),"cd")</f>
        <v>cd</v>
      </c>
      <c r="H269" s="2" t="str">
        <f>IFERROR(__xludf.DUMMYFUNCTION("""COMPUTED_VALUE"""),"lqnz")</f>
        <v>lqnz</v>
      </c>
      <c r="I269" s="2" t="str">
        <f t="shared" si="3"/>
        <v>#VALUE!</v>
      </c>
      <c r="J269" s="2" t="str">
        <f>IFERROR(__xludf.DUMMYFUNCTION("SPLIT(I269,"" "")"),"#VALUE!")</f>
        <v>#VALUE!</v>
      </c>
      <c r="M269" s="2" t="b">
        <f t="shared" si="4"/>
        <v>0</v>
      </c>
      <c r="N269" s="2" t="b">
        <f>IFERROR(__xludf.DUMMYFUNCTION("IF(AND(REGEXMATCH($G$4, ""cd""),M269),N268+J269)"),FALSE)</f>
        <v>0</v>
      </c>
      <c r="O269" s="2" t="str">
        <f t="shared" si="5"/>
        <v>#N/A</v>
      </c>
    </row>
    <row r="270">
      <c r="A270" s="1" t="s">
        <v>2</v>
      </c>
      <c r="B270" s="2" t="str">
        <f t="shared" si="1"/>
        <v>#VALUE!</v>
      </c>
      <c r="C270" s="2" t="str">
        <f>IFERROR(__xludf.DUMMYFUNCTION("SPLIT(B270,"" "")"),"#VALUE!")</f>
        <v>#VALUE!</v>
      </c>
      <c r="E270" s="2" t="str">
        <f t="shared" si="2"/>
        <v>#VALUE!</v>
      </c>
      <c r="F270" s="2" t="str">
        <f>IFERROR(__xludf.DUMMYFUNCTION("SPLIT(E270,"" "")"),"#VALUE!")</f>
        <v>#VALUE!</v>
      </c>
      <c r="I270" s="2" t="str">
        <f t="shared" si="3"/>
        <v>#VALUE!</v>
      </c>
      <c r="J270" s="2" t="str">
        <f>IFERROR(__xludf.DUMMYFUNCTION("SPLIT(I270,"" "")"),"#VALUE!")</f>
        <v>#VALUE!</v>
      </c>
      <c r="M270" s="2" t="b">
        <f t="shared" si="4"/>
        <v>0</v>
      </c>
      <c r="N270" s="2" t="b">
        <f>IFERROR(__xludf.DUMMYFUNCTION("IF(AND(REGEXMATCH($G$4, ""cd""),M270),N269+J270)"),FALSE)</f>
        <v>0</v>
      </c>
      <c r="O270" s="2" t="str">
        <f t="shared" si="5"/>
        <v>#N/A</v>
      </c>
    </row>
    <row r="271">
      <c r="A271" s="1" t="s">
        <v>169</v>
      </c>
      <c r="B271" s="2" t="str">
        <f t="shared" si="1"/>
        <v>#VALUE!</v>
      </c>
      <c r="C271" s="2" t="str">
        <f>IFERROR(__xludf.DUMMYFUNCTION("SPLIT(B271,"" "")"),"#VALUE!")</f>
        <v>#VALUE!</v>
      </c>
      <c r="E271" s="2" t="str">
        <f t="shared" si="2"/>
        <v>#VALUE!</v>
      </c>
      <c r="F271" s="2" t="str">
        <f>IFERROR(__xludf.DUMMYFUNCTION("SPLIT(E271,"" "")"),"#VALUE!")</f>
        <v>#VALUE!</v>
      </c>
      <c r="I271" s="2" t="str">
        <f t="shared" si="3"/>
        <v>#VALUE!</v>
      </c>
      <c r="J271" s="2" t="str">
        <f>IFERROR(__xludf.DUMMYFUNCTION("SPLIT(I271,"" "")"),"#VALUE!")</f>
        <v>#VALUE!</v>
      </c>
      <c r="M271" s="2" t="b">
        <f t="shared" si="4"/>
        <v>0</v>
      </c>
      <c r="N271" s="2" t="b">
        <f>IFERROR(__xludf.DUMMYFUNCTION("IF(AND(REGEXMATCH($G$4, ""cd""),M271),N270+J271)"),FALSE)</f>
        <v>0</v>
      </c>
      <c r="O271" s="2" t="str">
        <f t="shared" si="5"/>
        <v>#N/A</v>
      </c>
    </row>
    <row r="272">
      <c r="A272" s="1" t="s">
        <v>17</v>
      </c>
      <c r="B272" s="2" t="str">
        <f t="shared" si="1"/>
        <v>#VALUE!</v>
      </c>
      <c r="C272" s="2" t="str">
        <f>IFERROR(__xludf.DUMMYFUNCTION("SPLIT(B272,"" "")"),"#VALUE!")</f>
        <v>#VALUE!</v>
      </c>
      <c r="E272" s="2" t="str">
        <f t="shared" si="2"/>
        <v>$ cd ..</v>
      </c>
      <c r="F272" s="2" t="str">
        <f>IFERROR(__xludf.DUMMYFUNCTION("SPLIT(E272,"" "")"),"$")</f>
        <v>$</v>
      </c>
      <c r="G272" s="2" t="str">
        <f>IFERROR(__xludf.DUMMYFUNCTION("""COMPUTED_VALUE"""),"cd")</f>
        <v>cd</v>
      </c>
      <c r="H272" s="2" t="str">
        <f>IFERROR(__xludf.DUMMYFUNCTION("""COMPUTED_VALUE"""),"..")</f>
        <v>..</v>
      </c>
      <c r="I272" s="2" t="str">
        <f t="shared" si="3"/>
        <v>$ cd ..</v>
      </c>
      <c r="J272" s="2" t="str">
        <f>IFERROR(__xludf.DUMMYFUNCTION("SPLIT(I272,"" "")"),"$")</f>
        <v>$</v>
      </c>
      <c r="K272" s="2" t="str">
        <f>IFERROR(__xludf.DUMMYFUNCTION("""COMPUTED_VALUE"""),"cd")</f>
        <v>cd</v>
      </c>
      <c r="L272" s="2" t="str">
        <f>IFERROR(__xludf.DUMMYFUNCTION("""COMPUTED_VALUE"""),"..")</f>
        <v>..</v>
      </c>
      <c r="M272" s="2" t="b">
        <f t="shared" si="4"/>
        <v>0</v>
      </c>
      <c r="N272" s="2" t="b">
        <f>IFERROR(__xludf.DUMMYFUNCTION("IF(AND(REGEXMATCH($G$4, ""cd""),M272),N271+J272)"),FALSE)</f>
        <v>0</v>
      </c>
      <c r="O272" s="2" t="str">
        <f t="shared" si="5"/>
        <v>#N/A</v>
      </c>
    </row>
    <row r="273">
      <c r="A273" s="1" t="s">
        <v>17</v>
      </c>
      <c r="B273" s="2" t="str">
        <f t="shared" si="1"/>
        <v>#VALUE!</v>
      </c>
      <c r="C273" s="2" t="str">
        <f>IFERROR(__xludf.DUMMYFUNCTION("SPLIT(B273,"" "")"),"#VALUE!")</f>
        <v>#VALUE!</v>
      </c>
      <c r="E273" s="2" t="str">
        <f t="shared" si="2"/>
        <v>$ cd ..</v>
      </c>
      <c r="F273" s="2" t="str">
        <f>IFERROR(__xludf.DUMMYFUNCTION("SPLIT(E273,"" "")"),"$")</f>
        <v>$</v>
      </c>
      <c r="G273" s="2" t="str">
        <f>IFERROR(__xludf.DUMMYFUNCTION("""COMPUTED_VALUE"""),"cd")</f>
        <v>cd</v>
      </c>
      <c r="H273" s="2" t="str">
        <f>IFERROR(__xludf.DUMMYFUNCTION("""COMPUTED_VALUE"""),"..")</f>
        <v>..</v>
      </c>
      <c r="I273" s="2" t="str">
        <f t="shared" si="3"/>
        <v>$ cd ..</v>
      </c>
      <c r="J273" s="2" t="str">
        <f>IFERROR(__xludf.DUMMYFUNCTION("SPLIT(I273,"" "")"),"$")</f>
        <v>$</v>
      </c>
      <c r="K273" s="2" t="str">
        <f>IFERROR(__xludf.DUMMYFUNCTION("""COMPUTED_VALUE"""),"cd")</f>
        <v>cd</v>
      </c>
      <c r="L273" s="2" t="str">
        <f>IFERROR(__xludf.DUMMYFUNCTION("""COMPUTED_VALUE"""),"..")</f>
        <v>..</v>
      </c>
      <c r="M273" s="2" t="b">
        <f t="shared" si="4"/>
        <v>0</v>
      </c>
      <c r="N273" s="2" t="b">
        <f>IFERROR(__xludf.DUMMYFUNCTION("IF(AND(REGEXMATCH($G$4, ""cd""),M273),N272+J273)"),FALSE)</f>
        <v>0</v>
      </c>
      <c r="O273" s="2" t="str">
        <f t="shared" si="5"/>
        <v>#N/A</v>
      </c>
    </row>
    <row r="274">
      <c r="A274" s="1" t="s">
        <v>170</v>
      </c>
      <c r="B274" s="2" t="str">
        <f t="shared" si="1"/>
        <v>#VALUE!</v>
      </c>
      <c r="C274" s="2" t="str">
        <f>IFERROR(__xludf.DUMMYFUNCTION("SPLIT(B274,"" "")"),"#VALUE!")</f>
        <v>#VALUE!</v>
      </c>
      <c r="E274" s="2" t="str">
        <f t="shared" si="2"/>
        <v>$ cd rsgwzhp</v>
      </c>
      <c r="F274" s="2" t="str">
        <f>IFERROR(__xludf.DUMMYFUNCTION("SPLIT(E274,"" "")"),"$")</f>
        <v>$</v>
      </c>
      <c r="G274" s="2" t="str">
        <f>IFERROR(__xludf.DUMMYFUNCTION("""COMPUTED_VALUE"""),"cd")</f>
        <v>cd</v>
      </c>
      <c r="H274" s="2" t="str">
        <f>IFERROR(__xludf.DUMMYFUNCTION("""COMPUTED_VALUE"""),"rsgwzhp")</f>
        <v>rsgwzhp</v>
      </c>
      <c r="I274" s="2" t="str">
        <f t="shared" si="3"/>
        <v>#VALUE!</v>
      </c>
      <c r="J274" s="2" t="str">
        <f>IFERROR(__xludf.DUMMYFUNCTION("SPLIT(I274,"" "")"),"#VALUE!")</f>
        <v>#VALUE!</v>
      </c>
      <c r="M274" s="2" t="b">
        <f t="shared" si="4"/>
        <v>0</v>
      </c>
      <c r="N274" s="2" t="b">
        <f>IFERROR(__xludf.DUMMYFUNCTION("IF(AND(REGEXMATCH($G$4, ""cd""),M274),N273+J274)"),FALSE)</f>
        <v>0</v>
      </c>
      <c r="O274" s="2" t="str">
        <f t="shared" si="5"/>
        <v>#N/A</v>
      </c>
    </row>
    <row r="275">
      <c r="A275" s="1" t="s">
        <v>2</v>
      </c>
      <c r="B275" s="2" t="str">
        <f t="shared" si="1"/>
        <v>#VALUE!</v>
      </c>
      <c r="C275" s="2" t="str">
        <f>IFERROR(__xludf.DUMMYFUNCTION("SPLIT(B275,"" "")"),"#VALUE!")</f>
        <v>#VALUE!</v>
      </c>
      <c r="E275" s="2" t="str">
        <f t="shared" si="2"/>
        <v>#VALUE!</v>
      </c>
      <c r="F275" s="2" t="str">
        <f>IFERROR(__xludf.DUMMYFUNCTION("SPLIT(E275,"" "")"),"#VALUE!")</f>
        <v>#VALUE!</v>
      </c>
      <c r="I275" s="2" t="str">
        <f t="shared" si="3"/>
        <v>#VALUE!</v>
      </c>
      <c r="J275" s="2" t="str">
        <f>IFERROR(__xludf.DUMMYFUNCTION("SPLIT(I275,"" "")"),"#VALUE!")</f>
        <v>#VALUE!</v>
      </c>
      <c r="M275" s="2" t="b">
        <f t="shared" si="4"/>
        <v>0</v>
      </c>
      <c r="N275" s="2" t="b">
        <f>IFERROR(__xludf.DUMMYFUNCTION("IF(AND(REGEXMATCH($G$4, ""cd""),M275),N274+J275)"),FALSE)</f>
        <v>0</v>
      </c>
      <c r="O275" s="2" t="str">
        <f t="shared" si="5"/>
        <v>#N/A</v>
      </c>
    </row>
    <row r="276">
      <c r="A276" s="1" t="s">
        <v>171</v>
      </c>
      <c r="B276" s="2" t="str">
        <f t="shared" si="1"/>
        <v>dir hhz</v>
      </c>
      <c r="C276" s="2" t="str">
        <f>IFERROR(__xludf.DUMMYFUNCTION("SPLIT(B276,"" "")"),"dir")</f>
        <v>dir</v>
      </c>
      <c r="D276" s="2" t="str">
        <f>IFERROR(__xludf.DUMMYFUNCTION("""COMPUTED_VALUE"""),"hhz")</f>
        <v>hhz</v>
      </c>
      <c r="E276" s="2" t="str">
        <f t="shared" si="2"/>
        <v>#VALUE!</v>
      </c>
      <c r="F276" s="2" t="str">
        <f>IFERROR(__xludf.DUMMYFUNCTION("SPLIT(E276,"" "")"),"#VALUE!")</f>
        <v>#VALUE!</v>
      </c>
      <c r="I276" s="2" t="str">
        <f t="shared" si="3"/>
        <v>#VALUE!</v>
      </c>
      <c r="J276" s="2" t="str">
        <f>IFERROR(__xludf.DUMMYFUNCTION("SPLIT(I276,"" "")"),"#VALUE!")</f>
        <v>#VALUE!</v>
      </c>
      <c r="M276" s="2" t="b">
        <f t="shared" si="4"/>
        <v>0</v>
      </c>
      <c r="N276" s="2" t="b">
        <f>IFERROR(__xludf.DUMMYFUNCTION("IF(AND(REGEXMATCH($G$4, ""cd""),M276),N275+J276)"),FALSE)</f>
        <v>0</v>
      </c>
      <c r="O276" s="2" t="str">
        <f t="shared" si="5"/>
        <v>#N/A</v>
      </c>
    </row>
    <row r="277">
      <c r="A277" s="1" t="s">
        <v>172</v>
      </c>
      <c r="B277" s="2" t="str">
        <f t="shared" si="1"/>
        <v>#VALUE!</v>
      </c>
      <c r="C277" s="2" t="str">
        <f>IFERROR(__xludf.DUMMYFUNCTION("SPLIT(B277,"" "")"),"#VALUE!")</f>
        <v>#VALUE!</v>
      </c>
      <c r="E277" s="2" t="str">
        <f t="shared" si="2"/>
        <v>$ cd hhz</v>
      </c>
      <c r="F277" s="2" t="str">
        <f>IFERROR(__xludf.DUMMYFUNCTION("SPLIT(E277,"" "")"),"$")</f>
        <v>$</v>
      </c>
      <c r="G277" s="2" t="str">
        <f>IFERROR(__xludf.DUMMYFUNCTION("""COMPUTED_VALUE"""),"cd")</f>
        <v>cd</v>
      </c>
      <c r="H277" s="2" t="str">
        <f>IFERROR(__xludf.DUMMYFUNCTION("""COMPUTED_VALUE"""),"hhz")</f>
        <v>hhz</v>
      </c>
      <c r="I277" s="2" t="str">
        <f t="shared" si="3"/>
        <v>#VALUE!</v>
      </c>
      <c r="J277" s="2" t="str">
        <f>IFERROR(__xludf.DUMMYFUNCTION("SPLIT(I277,"" "")"),"#VALUE!")</f>
        <v>#VALUE!</v>
      </c>
      <c r="M277" s="2" t="b">
        <f t="shared" si="4"/>
        <v>0</v>
      </c>
      <c r="N277" s="2" t="b">
        <f>IFERROR(__xludf.DUMMYFUNCTION("IF(AND(REGEXMATCH($G$4, ""cd""),M277),N276+J277)"),FALSE)</f>
        <v>0</v>
      </c>
      <c r="O277" s="2" t="str">
        <f t="shared" si="5"/>
        <v>#N/A</v>
      </c>
    </row>
    <row r="278">
      <c r="A278" s="1" t="s">
        <v>2</v>
      </c>
      <c r="B278" s="2" t="str">
        <f t="shared" si="1"/>
        <v>#VALUE!</v>
      </c>
      <c r="C278" s="2" t="str">
        <f>IFERROR(__xludf.DUMMYFUNCTION("SPLIT(B278,"" "")"),"#VALUE!")</f>
        <v>#VALUE!</v>
      </c>
      <c r="E278" s="2" t="str">
        <f t="shared" si="2"/>
        <v>#VALUE!</v>
      </c>
      <c r="F278" s="2" t="str">
        <f>IFERROR(__xludf.DUMMYFUNCTION("SPLIT(E278,"" "")"),"#VALUE!")</f>
        <v>#VALUE!</v>
      </c>
      <c r="I278" s="2" t="str">
        <f t="shared" si="3"/>
        <v>#VALUE!</v>
      </c>
      <c r="J278" s="2" t="str">
        <f>IFERROR(__xludf.DUMMYFUNCTION("SPLIT(I278,"" "")"),"#VALUE!")</f>
        <v>#VALUE!</v>
      </c>
      <c r="M278" s="2" t="b">
        <f t="shared" si="4"/>
        <v>0</v>
      </c>
      <c r="N278" s="2" t="b">
        <f>IFERROR(__xludf.DUMMYFUNCTION("IF(AND(REGEXMATCH($G$4, ""cd""),M278),N277+J278)"),FALSE)</f>
        <v>0</v>
      </c>
      <c r="O278" s="2" t="str">
        <f t="shared" si="5"/>
        <v>#N/A</v>
      </c>
    </row>
    <row r="279">
      <c r="A279" s="1" t="s">
        <v>173</v>
      </c>
      <c r="B279" s="2" t="str">
        <f t="shared" si="1"/>
        <v>#VALUE!</v>
      </c>
      <c r="C279" s="2" t="str">
        <f>IFERROR(__xludf.DUMMYFUNCTION("SPLIT(B279,"" "")"),"#VALUE!")</f>
        <v>#VALUE!</v>
      </c>
      <c r="E279" s="2" t="str">
        <f t="shared" si="2"/>
        <v>#VALUE!</v>
      </c>
      <c r="F279" s="2" t="str">
        <f>IFERROR(__xludf.DUMMYFUNCTION("SPLIT(E279,"" "")"),"#VALUE!")</f>
        <v>#VALUE!</v>
      </c>
      <c r="I279" s="2" t="str">
        <f t="shared" si="3"/>
        <v>#VALUE!</v>
      </c>
      <c r="J279" s="2" t="str">
        <f>IFERROR(__xludf.DUMMYFUNCTION("SPLIT(I279,"" "")"),"#VALUE!")</f>
        <v>#VALUE!</v>
      </c>
      <c r="M279" s="2" t="b">
        <f t="shared" si="4"/>
        <v>0</v>
      </c>
      <c r="N279" s="2" t="b">
        <f>IFERROR(__xludf.DUMMYFUNCTION("IF(AND(REGEXMATCH($G$4, ""cd""),M279),N278+J279)"),FALSE)</f>
        <v>0</v>
      </c>
      <c r="O279" s="2" t="str">
        <f t="shared" si="5"/>
        <v>#N/A</v>
      </c>
    </row>
    <row r="280">
      <c r="A280" s="1" t="s">
        <v>17</v>
      </c>
      <c r="B280" s="2" t="str">
        <f t="shared" si="1"/>
        <v>#VALUE!</v>
      </c>
      <c r="C280" s="2" t="str">
        <f>IFERROR(__xludf.DUMMYFUNCTION("SPLIT(B280,"" "")"),"#VALUE!")</f>
        <v>#VALUE!</v>
      </c>
      <c r="E280" s="2" t="str">
        <f t="shared" si="2"/>
        <v>$ cd ..</v>
      </c>
      <c r="F280" s="2" t="str">
        <f>IFERROR(__xludf.DUMMYFUNCTION("SPLIT(E280,"" "")"),"$")</f>
        <v>$</v>
      </c>
      <c r="G280" s="2" t="str">
        <f>IFERROR(__xludf.DUMMYFUNCTION("""COMPUTED_VALUE"""),"cd")</f>
        <v>cd</v>
      </c>
      <c r="H280" s="2" t="str">
        <f>IFERROR(__xludf.DUMMYFUNCTION("""COMPUTED_VALUE"""),"..")</f>
        <v>..</v>
      </c>
      <c r="I280" s="2" t="str">
        <f t="shared" si="3"/>
        <v>$ cd ..</v>
      </c>
      <c r="J280" s="2" t="str">
        <f>IFERROR(__xludf.DUMMYFUNCTION("SPLIT(I280,"" "")"),"$")</f>
        <v>$</v>
      </c>
      <c r="K280" s="2" t="str">
        <f>IFERROR(__xludf.DUMMYFUNCTION("""COMPUTED_VALUE"""),"cd")</f>
        <v>cd</v>
      </c>
      <c r="L280" s="2" t="str">
        <f>IFERROR(__xludf.DUMMYFUNCTION("""COMPUTED_VALUE"""),"..")</f>
        <v>..</v>
      </c>
      <c r="M280" s="2" t="b">
        <f t="shared" si="4"/>
        <v>0</v>
      </c>
      <c r="N280" s="2" t="b">
        <f>IFERROR(__xludf.DUMMYFUNCTION("IF(AND(REGEXMATCH($G$4, ""cd""),M280),N279+J280)"),FALSE)</f>
        <v>0</v>
      </c>
      <c r="O280" s="2" t="str">
        <f t="shared" si="5"/>
        <v>#N/A</v>
      </c>
    </row>
    <row r="281">
      <c r="A281" s="1" t="s">
        <v>17</v>
      </c>
      <c r="B281" s="2" t="str">
        <f t="shared" si="1"/>
        <v>#VALUE!</v>
      </c>
      <c r="C281" s="2" t="str">
        <f>IFERROR(__xludf.DUMMYFUNCTION("SPLIT(B281,"" "")"),"#VALUE!")</f>
        <v>#VALUE!</v>
      </c>
      <c r="E281" s="2" t="str">
        <f t="shared" si="2"/>
        <v>$ cd ..</v>
      </c>
      <c r="F281" s="2" t="str">
        <f>IFERROR(__xludf.DUMMYFUNCTION("SPLIT(E281,"" "")"),"$")</f>
        <v>$</v>
      </c>
      <c r="G281" s="2" t="str">
        <f>IFERROR(__xludf.DUMMYFUNCTION("""COMPUTED_VALUE"""),"cd")</f>
        <v>cd</v>
      </c>
      <c r="H281" s="2" t="str">
        <f>IFERROR(__xludf.DUMMYFUNCTION("""COMPUTED_VALUE"""),"..")</f>
        <v>..</v>
      </c>
      <c r="I281" s="2" t="str">
        <f t="shared" si="3"/>
        <v>$ cd ..</v>
      </c>
      <c r="J281" s="2" t="str">
        <f>IFERROR(__xludf.DUMMYFUNCTION("SPLIT(I281,"" "")"),"$")</f>
        <v>$</v>
      </c>
      <c r="K281" s="2" t="str">
        <f>IFERROR(__xludf.DUMMYFUNCTION("""COMPUTED_VALUE"""),"cd")</f>
        <v>cd</v>
      </c>
      <c r="L281" s="2" t="str">
        <f>IFERROR(__xludf.DUMMYFUNCTION("""COMPUTED_VALUE"""),"..")</f>
        <v>..</v>
      </c>
      <c r="M281" s="2" t="b">
        <f t="shared" si="4"/>
        <v>0</v>
      </c>
      <c r="N281" s="2" t="b">
        <f>IFERROR(__xludf.DUMMYFUNCTION("IF(AND(REGEXMATCH($G$4, ""cd""),M281),N280+J281)"),FALSE)</f>
        <v>0</v>
      </c>
      <c r="O281" s="2" t="str">
        <f t="shared" si="5"/>
        <v>#N/A</v>
      </c>
    </row>
    <row r="282">
      <c r="A282" s="1" t="s">
        <v>17</v>
      </c>
      <c r="B282" s="2" t="str">
        <f t="shared" si="1"/>
        <v>#VALUE!</v>
      </c>
      <c r="C282" s="2" t="str">
        <f>IFERROR(__xludf.DUMMYFUNCTION("SPLIT(B282,"" "")"),"#VALUE!")</f>
        <v>#VALUE!</v>
      </c>
      <c r="E282" s="2" t="str">
        <f t="shared" si="2"/>
        <v>$ cd ..</v>
      </c>
      <c r="F282" s="2" t="str">
        <f>IFERROR(__xludf.DUMMYFUNCTION("SPLIT(E282,"" "")"),"$")</f>
        <v>$</v>
      </c>
      <c r="G282" s="2" t="str">
        <f>IFERROR(__xludf.DUMMYFUNCTION("""COMPUTED_VALUE"""),"cd")</f>
        <v>cd</v>
      </c>
      <c r="H282" s="2" t="str">
        <f>IFERROR(__xludf.DUMMYFUNCTION("""COMPUTED_VALUE"""),"..")</f>
        <v>..</v>
      </c>
      <c r="I282" s="2" t="str">
        <f t="shared" si="3"/>
        <v>$ cd ..</v>
      </c>
      <c r="J282" s="2" t="str">
        <f>IFERROR(__xludf.DUMMYFUNCTION("SPLIT(I282,"" "")"),"$")</f>
        <v>$</v>
      </c>
      <c r="K282" s="2" t="str">
        <f>IFERROR(__xludf.DUMMYFUNCTION("""COMPUTED_VALUE"""),"cd")</f>
        <v>cd</v>
      </c>
      <c r="L282" s="2" t="str">
        <f>IFERROR(__xludf.DUMMYFUNCTION("""COMPUTED_VALUE"""),"..")</f>
        <v>..</v>
      </c>
      <c r="M282" s="2" t="b">
        <f t="shared" si="4"/>
        <v>0</v>
      </c>
      <c r="N282" s="2" t="b">
        <f>IFERROR(__xludf.DUMMYFUNCTION("IF(AND(REGEXMATCH($G$4, ""cd""),M282),N281+J282)"),FALSE)</f>
        <v>0</v>
      </c>
      <c r="O282" s="2" t="str">
        <f t="shared" si="5"/>
        <v>#N/A</v>
      </c>
    </row>
    <row r="283">
      <c r="A283" s="1" t="s">
        <v>174</v>
      </c>
      <c r="B283" s="2" t="str">
        <f t="shared" si="1"/>
        <v>#VALUE!</v>
      </c>
      <c r="C283" s="2" t="str">
        <f>IFERROR(__xludf.DUMMYFUNCTION("SPLIT(B283,"" "")"),"#VALUE!")</f>
        <v>#VALUE!</v>
      </c>
      <c r="E283" s="2" t="str">
        <f t="shared" si="2"/>
        <v>$ cd mjfwsmgd</v>
      </c>
      <c r="F283" s="2" t="str">
        <f>IFERROR(__xludf.DUMMYFUNCTION("SPLIT(E283,"" "")"),"$")</f>
        <v>$</v>
      </c>
      <c r="G283" s="2" t="str">
        <f>IFERROR(__xludf.DUMMYFUNCTION("""COMPUTED_VALUE"""),"cd")</f>
        <v>cd</v>
      </c>
      <c r="H283" s="2" t="str">
        <f>IFERROR(__xludf.DUMMYFUNCTION("""COMPUTED_VALUE"""),"mjfwsmgd")</f>
        <v>mjfwsmgd</v>
      </c>
      <c r="I283" s="2" t="str">
        <f t="shared" si="3"/>
        <v>#VALUE!</v>
      </c>
      <c r="J283" s="2" t="str">
        <f>IFERROR(__xludf.DUMMYFUNCTION("SPLIT(I283,"" "")"),"#VALUE!")</f>
        <v>#VALUE!</v>
      </c>
      <c r="M283" s="2" t="b">
        <f t="shared" si="4"/>
        <v>0</v>
      </c>
      <c r="N283" s="2" t="b">
        <f>IFERROR(__xludf.DUMMYFUNCTION("IF(AND(REGEXMATCH($G$4, ""cd""),M283),N282+J283)"),FALSE)</f>
        <v>0</v>
      </c>
      <c r="O283" s="2" t="str">
        <f t="shared" si="5"/>
        <v>#N/A</v>
      </c>
    </row>
    <row r="284">
      <c r="A284" s="1" t="s">
        <v>2</v>
      </c>
      <c r="B284" s="2" t="str">
        <f t="shared" si="1"/>
        <v>#VALUE!</v>
      </c>
      <c r="C284" s="2" t="str">
        <f>IFERROR(__xludf.DUMMYFUNCTION("SPLIT(B284,"" "")"),"#VALUE!")</f>
        <v>#VALUE!</v>
      </c>
      <c r="E284" s="2" t="str">
        <f t="shared" si="2"/>
        <v>#VALUE!</v>
      </c>
      <c r="F284" s="2" t="str">
        <f>IFERROR(__xludf.DUMMYFUNCTION("SPLIT(E284,"" "")"),"#VALUE!")</f>
        <v>#VALUE!</v>
      </c>
      <c r="I284" s="2" t="str">
        <f t="shared" si="3"/>
        <v>#VALUE!</v>
      </c>
      <c r="J284" s="2" t="str">
        <f>IFERROR(__xludf.DUMMYFUNCTION("SPLIT(I284,"" "")"),"#VALUE!")</f>
        <v>#VALUE!</v>
      </c>
      <c r="M284" s="2" t="b">
        <f t="shared" si="4"/>
        <v>0</v>
      </c>
      <c r="N284" s="2" t="b">
        <f>IFERROR(__xludf.DUMMYFUNCTION("IF(AND(REGEXMATCH($G$4, ""cd""),M284),N283+J284)"),FALSE)</f>
        <v>0</v>
      </c>
      <c r="O284" s="2" t="str">
        <f t="shared" si="5"/>
        <v>#N/A</v>
      </c>
    </row>
    <row r="285">
      <c r="A285" s="1" t="s">
        <v>175</v>
      </c>
      <c r="B285" s="2" t="str">
        <f t="shared" si="1"/>
        <v>#VALUE!</v>
      </c>
      <c r="C285" s="2" t="str">
        <f>IFERROR(__xludf.DUMMYFUNCTION("SPLIT(B285,"" "")"),"#VALUE!")</f>
        <v>#VALUE!</v>
      </c>
      <c r="E285" s="2" t="str">
        <f t="shared" si="2"/>
        <v>#VALUE!</v>
      </c>
      <c r="F285" s="2" t="str">
        <f>IFERROR(__xludf.DUMMYFUNCTION("SPLIT(E285,"" "")"),"#VALUE!")</f>
        <v>#VALUE!</v>
      </c>
      <c r="I285" s="2" t="str">
        <f t="shared" si="3"/>
        <v>#VALUE!</v>
      </c>
      <c r="J285" s="2" t="str">
        <f>IFERROR(__xludf.DUMMYFUNCTION("SPLIT(I285,"" "")"),"#VALUE!")</f>
        <v>#VALUE!</v>
      </c>
      <c r="M285" s="2" t="b">
        <f t="shared" si="4"/>
        <v>0</v>
      </c>
      <c r="N285" s="2" t="b">
        <f>IFERROR(__xludf.DUMMYFUNCTION("IF(AND(REGEXMATCH($G$4, ""cd""),M285),N284+J285)"),FALSE)</f>
        <v>0</v>
      </c>
      <c r="O285" s="2" t="str">
        <f t="shared" si="5"/>
        <v>#N/A</v>
      </c>
    </row>
    <row r="286">
      <c r="A286" s="1" t="s">
        <v>176</v>
      </c>
      <c r="B286" s="2" t="str">
        <f t="shared" si="1"/>
        <v>#VALUE!</v>
      </c>
      <c r="C286" s="2" t="str">
        <f>IFERROR(__xludf.DUMMYFUNCTION("SPLIT(B286,"" "")"),"#VALUE!")</f>
        <v>#VALUE!</v>
      </c>
      <c r="E286" s="2" t="str">
        <f t="shared" si="2"/>
        <v>#VALUE!</v>
      </c>
      <c r="F286" s="2" t="str">
        <f>IFERROR(__xludf.DUMMYFUNCTION("SPLIT(E286,"" "")"),"#VALUE!")</f>
        <v>#VALUE!</v>
      </c>
      <c r="I286" s="2" t="str">
        <f t="shared" si="3"/>
        <v>170085 zbdp.gqb</v>
      </c>
      <c r="J286" s="2">
        <f>IFERROR(__xludf.DUMMYFUNCTION("SPLIT(I286,"" "")"),170085.0)</f>
        <v>170085</v>
      </c>
      <c r="K286" s="2" t="str">
        <f>IFERROR(__xludf.DUMMYFUNCTION("""COMPUTED_VALUE"""),"zbdp.gqb")</f>
        <v>zbdp.gqb</v>
      </c>
      <c r="M286" s="2" t="b">
        <f t="shared" si="4"/>
        <v>1</v>
      </c>
      <c r="N286" s="2">
        <f>IFERROR(__xludf.DUMMYFUNCTION("IF(AND(REGEXMATCH($G$4, ""cd""),M286),N285+J286)"),170085.0)</f>
        <v>170085</v>
      </c>
      <c r="O286" s="2" t="str">
        <f t="shared" si="5"/>
        <v>#N/A</v>
      </c>
    </row>
    <row r="287">
      <c r="A287" s="1" t="s">
        <v>17</v>
      </c>
      <c r="B287" s="2" t="str">
        <f t="shared" si="1"/>
        <v>#VALUE!</v>
      </c>
      <c r="C287" s="2" t="str">
        <f>IFERROR(__xludf.DUMMYFUNCTION("SPLIT(B287,"" "")"),"#VALUE!")</f>
        <v>#VALUE!</v>
      </c>
      <c r="E287" s="2" t="str">
        <f t="shared" si="2"/>
        <v>$ cd ..</v>
      </c>
      <c r="F287" s="2" t="str">
        <f>IFERROR(__xludf.DUMMYFUNCTION("SPLIT(E287,"" "")"),"$")</f>
        <v>$</v>
      </c>
      <c r="G287" s="2" t="str">
        <f>IFERROR(__xludf.DUMMYFUNCTION("""COMPUTED_VALUE"""),"cd")</f>
        <v>cd</v>
      </c>
      <c r="H287" s="2" t="str">
        <f>IFERROR(__xludf.DUMMYFUNCTION("""COMPUTED_VALUE"""),"..")</f>
        <v>..</v>
      </c>
      <c r="I287" s="2" t="str">
        <f t="shared" si="3"/>
        <v>$ cd ..</v>
      </c>
      <c r="J287" s="2" t="str">
        <f>IFERROR(__xludf.DUMMYFUNCTION("SPLIT(I287,"" "")"),"$")</f>
        <v>$</v>
      </c>
      <c r="K287" s="2" t="str">
        <f>IFERROR(__xludf.DUMMYFUNCTION("""COMPUTED_VALUE"""),"cd")</f>
        <v>cd</v>
      </c>
      <c r="L287" s="2" t="str">
        <f>IFERROR(__xludf.DUMMYFUNCTION("""COMPUTED_VALUE"""),"..")</f>
        <v>..</v>
      </c>
      <c r="M287" s="2" t="b">
        <f t="shared" si="4"/>
        <v>0</v>
      </c>
      <c r="N287" s="2" t="b">
        <f>IFERROR(__xludf.DUMMYFUNCTION("IF(AND(REGEXMATCH($G$4, ""cd""),M287),N286+J287)"),FALSE)</f>
        <v>0</v>
      </c>
      <c r="O287" s="2" t="str">
        <f t="shared" si="5"/>
        <v>#N/A</v>
      </c>
    </row>
    <row r="288">
      <c r="A288" s="1" t="s">
        <v>177</v>
      </c>
      <c r="B288" s="2" t="str">
        <f t="shared" si="1"/>
        <v>#VALUE!</v>
      </c>
      <c r="C288" s="2" t="str">
        <f>IFERROR(__xludf.DUMMYFUNCTION("SPLIT(B288,"" "")"),"#VALUE!")</f>
        <v>#VALUE!</v>
      </c>
      <c r="E288" s="2" t="str">
        <f t="shared" si="2"/>
        <v>$ cd tqh</v>
      </c>
      <c r="F288" s="2" t="str">
        <f>IFERROR(__xludf.DUMMYFUNCTION("SPLIT(E288,"" "")"),"$")</f>
        <v>$</v>
      </c>
      <c r="G288" s="2" t="str">
        <f>IFERROR(__xludf.DUMMYFUNCTION("""COMPUTED_VALUE"""),"cd")</f>
        <v>cd</v>
      </c>
      <c r="H288" s="2" t="str">
        <f>IFERROR(__xludf.DUMMYFUNCTION("""COMPUTED_VALUE"""),"tqh")</f>
        <v>tqh</v>
      </c>
      <c r="I288" s="2" t="str">
        <f t="shared" si="3"/>
        <v>#VALUE!</v>
      </c>
      <c r="J288" s="2" t="str">
        <f>IFERROR(__xludf.DUMMYFUNCTION("SPLIT(I288,"" "")"),"#VALUE!")</f>
        <v>#VALUE!</v>
      </c>
      <c r="M288" s="2" t="b">
        <f t="shared" si="4"/>
        <v>0</v>
      </c>
      <c r="N288" s="2" t="b">
        <f>IFERROR(__xludf.DUMMYFUNCTION("IF(AND(REGEXMATCH($G$4, ""cd""),M288),N287+J288)"),FALSE)</f>
        <v>0</v>
      </c>
      <c r="O288" s="2" t="str">
        <f t="shared" si="5"/>
        <v>#N/A</v>
      </c>
    </row>
    <row r="289">
      <c r="A289" s="1" t="s">
        <v>2</v>
      </c>
      <c r="B289" s="2" t="str">
        <f t="shared" si="1"/>
        <v>#VALUE!</v>
      </c>
      <c r="C289" s="2" t="str">
        <f>IFERROR(__xludf.DUMMYFUNCTION("SPLIT(B289,"" "")"),"#VALUE!")</f>
        <v>#VALUE!</v>
      </c>
      <c r="E289" s="2" t="str">
        <f t="shared" si="2"/>
        <v>#VALUE!</v>
      </c>
      <c r="F289" s="2" t="str">
        <f>IFERROR(__xludf.DUMMYFUNCTION("SPLIT(E289,"" "")"),"#VALUE!")</f>
        <v>#VALUE!</v>
      </c>
      <c r="I289" s="2" t="str">
        <f t="shared" si="3"/>
        <v>#VALUE!</v>
      </c>
      <c r="J289" s="2" t="str">
        <f>IFERROR(__xludf.DUMMYFUNCTION("SPLIT(I289,"" "")"),"#VALUE!")</f>
        <v>#VALUE!</v>
      </c>
      <c r="M289" s="2" t="b">
        <f t="shared" si="4"/>
        <v>0</v>
      </c>
      <c r="N289" s="2" t="b">
        <f>IFERROR(__xludf.DUMMYFUNCTION("IF(AND(REGEXMATCH($G$4, ""cd""),M289),N288+J289)"),FALSE)</f>
        <v>0</v>
      </c>
      <c r="O289" s="2" t="str">
        <f t="shared" si="5"/>
        <v>#N/A</v>
      </c>
    </row>
    <row r="290">
      <c r="A290" s="1" t="s">
        <v>178</v>
      </c>
      <c r="B290" s="2" t="str">
        <f t="shared" si="1"/>
        <v>#VALUE!</v>
      </c>
      <c r="C290" s="2" t="str">
        <f>IFERROR(__xludf.DUMMYFUNCTION("SPLIT(B290,"" "")"),"#VALUE!")</f>
        <v>#VALUE!</v>
      </c>
      <c r="E290" s="2" t="str">
        <f t="shared" si="2"/>
        <v>#VALUE!</v>
      </c>
      <c r="F290" s="2" t="str">
        <f>IFERROR(__xludf.DUMMYFUNCTION("SPLIT(E290,"" "")"),"#VALUE!")</f>
        <v>#VALUE!</v>
      </c>
      <c r="I290" s="2" t="str">
        <f t="shared" si="3"/>
        <v>111272 gdq.llg</v>
      </c>
      <c r="J290" s="2">
        <f>IFERROR(__xludf.DUMMYFUNCTION("SPLIT(I290,"" "")"),111272.0)</f>
        <v>111272</v>
      </c>
      <c r="K290" s="2" t="str">
        <f>IFERROR(__xludf.DUMMYFUNCTION("""COMPUTED_VALUE"""),"gdq.llg")</f>
        <v>gdq.llg</v>
      </c>
      <c r="M290" s="2" t="b">
        <f t="shared" si="4"/>
        <v>1</v>
      </c>
      <c r="N290" s="2">
        <f>IFERROR(__xludf.DUMMYFUNCTION("IF(AND(REGEXMATCH($G$4, ""cd""),M290),N289+J290)"),111272.0)</f>
        <v>111272</v>
      </c>
      <c r="O290" s="2" t="str">
        <f t="shared" si="5"/>
        <v>#N/A</v>
      </c>
    </row>
    <row r="291">
      <c r="A291" s="1" t="s">
        <v>179</v>
      </c>
      <c r="B291" s="2" t="str">
        <f t="shared" si="1"/>
        <v>#VALUE!</v>
      </c>
      <c r="C291" s="2" t="str">
        <f>IFERROR(__xludf.DUMMYFUNCTION("SPLIT(B291,"" "")"),"#VALUE!")</f>
        <v>#VALUE!</v>
      </c>
      <c r="E291" s="2" t="str">
        <f t="shared" si="2"/>
        <v>#VALUE!</v>
      </c>
      <c r="F291" s="2" t="str">
        <f>IFERROR(__xludf.DUMMYFUNCTION("SPLIT(E291,"" "")"),"#VALUE!")</f>
        <v>#VALUE!</v>
      </c>
      <c r="I291" s="2" t="str">
        <f t="shared" si="3"/>
        <v>#VALUE!</v>
      </c>
      <c r="J291" s="2" t="str">
        <f>IFERROR(__xludf.DUMMYFUNCTION("SPLIT(I291,"" "")"),"#VALUE!")</f>
        <v>#VALUE!</v>
      </c>
      <c r="M291" s="2" t="b">
        <f t="shared" si="4"/>
        <v>0</v>
      </c>
      <c r="N291" s="2" t="b">
        <f>IFERROR(__xludf.DUMMYFUNCTION("IF(AND(REGEXMATCH($G$4, ""cd""),M291),N290+J291)"),FALSE)</f>
        <v>0</v>
      </c>
      <c r="O291" s="2" t="str">
        <f t="shared" si="5"/>
        <v>#N/A</v>
      </c>
    </row>
    <row r="292">
      <c r="A292" s="1" t="s">
        <v>180</v>
      </c>
      <c r="B292" s="2" t="str">
        <f t="shared" si="1"/>
        <v>dir lpdcdr</v>
      </c>
      <c r="C292" s="2" t="str">
        <f>IFERROR(__xludf.DUMMYFUNCTION("SPLIT(B292,"" "")"),"dir")</f>
        <v>dir</v>
      </c>
      <c r="D292" s="2" t="str">
        <f>IFERROR(__xludf.DUMMYFUNCTION("""COMPUTED_VALUE"""),"lpdcdr")</f>
        <v>lpdcdr</v>
      </c>
      <c r="E292" s="2" t="str">
        <f t="shared" si="2"/>
        <v>dir lpdcdr</v>
      </c>
      <c r="F292" s="2" t="str">
        <f>IFERROR(__xludf.DUMMYFUNCTION("SPLIT(E292,"" "")"),"dir")</f>
        <v>dir</v>
      </c>
      <c r="G292" s="2" t="str">
        <f>IFERROR(__xludf.DUMMYFUNCTION("""COMPUTED_VALUE"""),"lpdcdr")</f>
        <v>lpdcdr</v>
      </c>
      <c r="I292" s="2" t="str">
        <f t="shared" si="3"/>
        <v>#VALUE!</v>
      </c>
      <c r="J292" s="2" t="str">
        <f>IFERROR(__xludf.DUMMYFUNCTION("SPLIT(I292,"" "")"),"#VALUE!")</f>
        <v>#VALUE!</v>
      </c>
      <c r="M292" s="2" t="b">
        <f t="shared" si="4"/>
        <v>0</v>
      </c>
      <c r="N292" s="2" t="b">
        <f>IFERROR(__xludf.DUMMYFUNCTION("IF(AND(REGEXMATCH($G$4, ""cd""),M292),N291+J292)"),FALSE)</f>
        <v>0</v>
      </c>
      <c r="O292" s="2" t="str">
        <f t="shared" si="5"/>
        <v>#N/A</v>
      </c>
    </row>
    <row r="293">
      <c r="A293" s="1" t="s">
        <v>181</v>
      </c>
      <c r="B293" s="2" t="str">
        <f t="shared" si="1"/>
        <v>dir vhfr</v>
      </c>
      <c r="C293" s="2" t="str">
        <f>IFERROR(__xludf.DUMMYFUNCTION("SPLIT(B293,"" "")"),"dir")</f>
        <v>dir</v>
      </c>
      <c r="D293" s="2" t="str">
        <f>IFERROR(__xludf.DUMMYFUNCTION("""COMPUTED_VALUE"""),"vhfr")</f>
        <v>vhfr</v>
      </c>
      <c r="E293" s="2" t="str">
        <f t="shared" si="2"/>
        <v>#VALUE!</v>
      </c>
      <c r="F293" s="2" t="str">
        <f>IFERROR(__xludf.DUMMYFUNCTION("SPLIT(E293,"" "")"),"#VALUE!")</f>
        <v>#VALUE!</v>
      </c>
      <c r="I293" s="2" t="str">
        <f t="shared" si="3"/>
        <v>#VALUE!</v>
      </c>
      <c r="J293" s="2" t="str">
        <f>IFERROR(__xludf.DUMMYFUNCTION("SPLIT(I293,"" "")"),"#VALUE!")</f>
        <v>#VALUE!</v>
      </c>
      <c r="M293" s="2" t="b">
        <f t="shared" si="4"/>
        <v>0</v>
      </c>
      <c r="N293" s="2" t="b">
        <f>IFERROR(__xludf.DUMMYFUNCTION("IF(AND(REGEXMATCH($G$4, ""cd""),M293),N292+J293)"),FALSE)</f>
        <v>0</v>
      </c>
      <c r="O293" s="2" t="str">
        <f t="shared" si="5"/>
        <v>#N/A</v>
      </c>
    </row>
    <row r="294">
      <c r="A294" s="1" t="s">
        <v>182</v>
      </c>
      <c r="B294" s="2" t="str">
        <f t="shared" si="1"/>
        <v>#VALUE!</v>
      </c>
      <c r="C294" s="2" t="str">
        <f>IFERROR(__xludf.DUMMYFUNCTION("SPLIT(B294,"" "")"),"#VALUE!")</f>
        <v>#VALUE!</v>
      </c>
      <c r="E294" s="2" t="str">
        <f t="shared" si="2"/>
        <v>$ cd lpdcdr</v>
      </c>
      <c r="F294" s="2" t="str">
        <f>IFERROR(__xludf.DUMMYFUNCTION("SPLIT(E294,"" "")"),"$")</f>
        <v>$</v>
      </c>
      <c r="G294" s="2" t="str">
        <f>IFERROR(__xludf.DUMMYFUNCTION("""COMPUTED_VALUE"""),"cd")</f>
        <v>cd</v>
      </c>
      <c r="H294" s="2" t="str">
        <f>IFERROR(__xludf.DUMMYFUNCTION("""COMPUTED_VALUE"""),"lpdcdr")</f>
        <v>lpdcdr</v>
      </c>
      <c r="I294" s="2" t="str">
        <f t="shared" si="3"/>
        <v>#VALUE!</v>
      </c>
      <c r="J294" s="2" t="str">
        <f>IFERROR(__xludf.DUMMYFUNCTION("SPLIT(I294,"" "")"),"#VALUE!")</f>
        <v>#VALUE!</v>
      </c>
      <c r="M294" s="2" t="b">
        <f t="shared" si="4"/>
        <v>0</v>
      </c>
      <c r="N294" s="2" t="b">
        <f>IFERROR(__xludf.DUMMYFUNCTION("IF(AND(REGEXMATCH($G$4, ""cd""),M294),N293+J294)"),FALSE)</f>
        <v>0</v>
      </c>
      <c r="O294" s="2" t="str">
        <f t="shared" si="5"/>
        <v>#N/A</v>
      </c>
    </row>
    <row r="295">
      <c r="A295" s="1" t="s">
        <v>2</v>
      </c>
      <c r="B295" s="2" t="str">
        <f t="shared" si="1"/>
        <v>#VALUE!</v>
      </c>
      <c r="C295" s="2" t="str">
        <f>IFERROR(__xludf.DUMMYFUNCTION("SPLIT(B295,"" "")"),"#VALUE!")</f>
        <v>#VALUE!</v>
      </c>
      <c r="E295" s="2" t="str">
        <f t="shared" si="2"/>
        <v>#VALUE!</v>
      </c>
      <c r="F295" s="2" t="str">
        <f>IFERROR(__xludf.DUMMYFUNCTION("SPLIT(E295,"" "")"),"#VALUE!")</f>
        <v>#VALUE!</v>
      </c>
      <c r="I295" s="2" t="str">
        <f t="shared" si="3"/>
        <v>#VALUE!</v>
      </c>
      <c r="J295" s="2" t="str">
        <f>IFERROR(__xludf.DUMMYFUNCTION("SPLIT(I295,"" "")"),"#VALUE!")</f>
        <v>#VALUE!</v>
      </c>
      <c r="M295" s="2" t="b">
        <f t="shared" si="4"/>
        <v>0</v>
      </c>
      <c r="N295" s="2" t="b">
        <f>IFERROR(__xludf.DUMMYFUNCTION("IF(AND(REGEXMATCH($G$4, ""cd""),M295),N294+J295)"),FALSE)</f>
        <v>0</v>
      </c>
      <c r="O295" s="2" t="str">
        <f t="shared" si="5"/>
        <v>#N/A</v>
      </c>
    </row>
    <row r="296">
      <c r="A296" s="1" t="s">
        <v>183</v>
      </c>
      <c r="B296" s="2" t="str">
        <f t="shared" si="1"/>
        <v>#VALUE!</v>
      </c>
      <c r="C296" s="2" t="str">
        <f>IFERROR(__xludf.DUMMYFUNCTION("SPLIT(B296,"" "")"),"#VALUE!")</f>
        <v>#VALUE!</v>
      </c>
      <c r="E296" s="2" t="str">
        <f t="shared" si="2"/>
        <v>#VALUE!</v>
      </c>
      <c r="F296" s="2" t="str">
        <f>IFERROR(__xludf.DUMMYFUNCTION("SPLIT(E296,"" "")"),"#VALUE!")</f>
        <v>#VALUE!</v>
      </c>
      <c r="I296" s="2" t="str">
        <f t="shared" si="3"/>
        <v>#VALUE!</v>
      </c>
      <c r="J296" s="2" t="str">
        <f>IFERROR(__xludf.DUMMYFUNCTION("SPLIT(I296,"" "")"),"#VALUE!")</f>
        <v>#VALUE!</v>
      </c>
      <c r="M296" s="2" t="b">
        <f t="shared" si="4"/>
        <v>0</v>
      </c>
      <c r="N296" s="2" t="b">
        <f>IFERROR(__xludf.DUMMYFUNCTION("IF(AND(REGEXMATCH($G$4, ""cd""),M296),N295+J296)"),FALSE)</f>
        <v>0</v>
      </c>
      <c r="O296" s="2" t="str">
        <f t="shared" si="5"/>
        <v>#N/A</v>
      </c>
    </row>
    <row r="297">
      <c r="A297" s="1" t="s">
        <v>17</v>
      </c>
      <c r="B297" s="2" t="str">
        <f t="shared" si="1"/>
        <v>#VALUE!</v>
      </c>
      <c r="C297" s="2" t="str">
        <f>IFERROR(__xludf.DUMMYFUNCTION("SPLIT(B297,"" "")"),"#VALUE!")</f>
        <v>#VALUE!</v>
      </c>
      <c r="E297" s="2" t="str">
        <f t="shared" si="2"/>
        <v>$ cd ..</v>
      </c>
      <c r="F297" s="2" t="str">
        <f>IFERROR(__xludf.DUMMYFUNCTION("SPLIT(E297,"" "")"),"$")</f>
        <v>$</v>
      </c>
      <c r="G297" s="2" t="str">
        <f>IFERROR(__xludf.DUMMYFUNCTION("""COMPUTED_VALUE"""),"cd")</f>
        <v>cd</v>
      </c>
      <c r="H297" s="2" t="str">
        <f>IFERROR(__xludf.DUMMYFUNCTION("""COMPUTED_VALUE"""),"..")</f>
        <v>..</v>
      </c>
      <c r="I297" s="2" t="str">
        <f t="shared" si="3"/>
        <v>$ cd ..</v>
      </c>
      <c r="J297" s="2" t="str">
        <f>IFERROR(__xludf.DUMMYFUNCTION("SPLIT(I297,"" "")"),"$")</f>
        <v>$</v>
      </c>
      <c r="K297" s="2" t="str">
        <f>IFERROR(__xludf.DUMMYFUNCTION("""COMPUTED_VALUE"""),"cd")</f>
        <v>cd</v>
      </c>
      <c r="L297" s="2" t="str">
        <f>IFERROR(__xludf.DUMMYFUNCTION("""COMPUTED_VALUE"""),"..")</f>
        <v>..</v>
      </c>
      <c r="M297" s="2" t="b">
        <f t="shared" si="4"/>
        <v>0</v>
      </c>
      <c r="N297" s="2" t="b">
        <f>IFERROR(__xludf.DUMMYFUNCTION("IF(AND(REGEXMATCH($G$4, ""cd""),M297),N296+J297)"),FALSE)</f>
        <v>0</v>
      </c>
      <c r="O297" s="2" t="str">
        <f t="shared" si="5"/>
        <v>#N/A</v>
      </c>
    </row>
    <row r="298">
      <c r="A298" s="1" t="s">
        <v>184</v>
      </c>
      <c r="B298" s="2" t="str">
        <f t="shared" si="1"/>
        <v>#VALUE!</v>
      </c>
      <c r="C298" s="2" t="str">
        <f>IFERROR(__xludf.DUMMYFUNCTION("SPLIT(B298,"" "")"),"#VALUE!")</f>
        <v>#VALUE!</v>
      </c>
      <c r="E298" s="2" t="str">
        <f t="shared" si="2"/>
        <v>$ cd vhfr</v>
      </c>
      <c r="F298" s="2" t="str">
        <f>IFERROR(__xludf.DUMMYFUNCTION("SPLIT(E298,"" "")"),"$")</f>
        <v>$</v>
      </c>
      <c r="G298" s="2" t="str">
        <f>IFERROR(__xludf.DUMMYFUNCTION("""COMPUTED_VALUE"""),"cd")</f>
        <v>cd</v>
      </c>
      <c r="H298" s="2" t="str">
        <f>IFERROR(__xludf.DUMMYFUNCTION("""COMPUTED_VALUE"""),"vhfr")</f>
        <v>vhfr</v>
      </c>
      <c r="I298" s="2" t="str">
        <f t="shared" si="3"/>
        <v>#VALUE!</v>
      </c>
      <c r="J298" s="2" t="str">
        <f>IFERROR(__xludf.DUMMYFUNCTION("SPLIT(I298,"" "")"),"#VALUE!")</f>
        <v>#VALUE!</v>
      </c>
      <c r="M298" s="2" t="b">
        <f t="shared" si="4"/>
        <v>0</v>
      </c>
      <c r="N298" s="2" t="b">
        <f>IFERROR(__xludf.DUMMYFUNCTION("IF(AND(REGEXMATCH($G$4, ""cd""),M298),N297+J298)"),FALSE)</f>
        <v>0</v>
      </c>
      <c r="O298" s="2" t="str">
        <f t="shared" si="5"/>
        <v>#N/A</v>
      </c>
    </row>
    <row r="299">
      <c r="A299" s="1" t="s">
        <v>2</v>
      </c>
      <c r="B299" s="2" t="str">
        <f t="shared" si="1"/>
        <v>#VALUE!</v>
      </c>
      <c r="C299" s="2" t="str">
        <f>IFERROR(__xludf.DUMMYFUNCTION("SPLIT(B299,"" "")"),"#VALUE!")</f>
        <v>#VALUE!</v>
      </c>
      <c r="E299" s="2" t="str">
        <f t="shared" si="2"/>
        <v>#VALUE!</v>
      </c>
      <c r="F299" s="2" t="str">
        <f>IFERROR(__xludf.DUMMYFUNCTION("SPLIT(E299,"" "")"),"#VALUE!")</f>
        <v>#VALUE!</v>
      </c>
      <c r="I299" s="2" t="str">
        <f t="shared" si="3"/>
        <v>#VALUE!</v>
      </c>
      <c r="J299" s="2" t="str">
        <f>IFERROR(__xludf.DUMMYFUNCTION("SPLIT(I299,"" "")"),"#VALUE!")</f>
        <v>#VALUE!</v>
      </c>
      <c r="M299" s="2" t="b">
        <f t="shared" si="4"/>
        <v>0</v>
      </c>
      <c r="N299" s="2" t="b">
        <f>IFERROR(__xludf.DUMMYFUNCTION("IF(AND(REGEXMATCH($G$4, ""cd""),M299),N298+J299)"),FALSE)</f>
        <v>0</v>
      </c>
      <c r="O299" s="2" t="str">
        <f t="shared" si="5"/>
        <v>#N/A</v>
      </c>
    </row>
    <row r="300">
      <c r="A300" s="1" t="s">
        <v>185</v>
      </c>
      <c r="B300" s="2" t="str">
        <f t="shared" si="1"/>
        <v>#VALUE!</v>
      </c>
      <c r="C300" s="2" t="str">
        <f>IFERROR(__xludf.DUMMYFUNCTION("SPLIT(B300,"" "")"),"#VALUE!")</f>
        <v>#VALUE!</v>
      </c>
      <c r="E300" s="2" t="str">
        <f t="shared" si="2"/>
        <v>#VALUE!</v>
      </c>
      <c r="F300" s="2" t="str">
        <f>IFERROR(__xludf.DUMMYFUNCTION("SPLIT(E300,"" "")"),"#VALUE!")</f>
        <v>#VALUE!</v>
      </c>
      <c r="I300" s="2" t="str">
        <f t="shared" si="3"/>
        <v>#VALUE!</v>
      </c>
      <c r="J300" s="2" t="str">
        <f>IFERROR(__xludf.DUMMYFUNCTION("SPLIT(I300,"" "")"),"#VALUE!")</f>
        <v>#VALUE!</v>
      </c>
      <c r="M300" s="2" t="b">
        <f t="shared" si="4"/>
        <v>0</v>
      </c>
      <c r="N300" s="2" t="b">
        <f>IFERROR(__xludf.DUMMYFUNCTION("IF(AND(REGEXMATCH($G$4, ""cd""),M300),N299+J300)"),FALSE)</f>
        <v>0</v>
      </c>
      <c r="O300" s="2" t="str">
        <f t="shared" si="5"/>
        <v>#N/A</v>
      </c>
    </row>
    <row r="301">
      <c r="A301" s="1" t="s">
        <v>186</v>
      </c>
      <c r="B301" s="2" t="str">
        <f t="shared" si="1"/>
        <v>dir stmvj</v>
      </c>
      <c r="C301" s="2" t="str">
        <f>IFERROR(__xludf.DUMMYFUNCTION("SPLIT(B301,"" "")"),"dir")</f>
        <v>dir</v>
      </c>
      <c r="D301" s="2" t="str">
        <f>IFERROR(__xludf.DUMMYFUNCTION("""COMPUTED_VALUE"""),"stmvj")</f>
        <v>stmvj</v>
      </c>
      <c r="E301" s="2" t="str">
        <f t="shared" si="2"/>
        <v>#VALUE!</v>
      </c>
      <c r="F301" s="2" t="str">
        <f>IFERROR(__xludf.DUMMYFUNCTION("SPLIT(E301,"" "")"),"#VALUE!")</f>
        <v>#VALUE!</v>
      </c>
      <c r="I301" s="2" t="str">
        <f t="shared" si="3"/>
        <v>#VALUE!</v>
      </c>
      <c r="J301" s="2" t="str">
        <f>IFERROR(__xludf.DUMMYFUNCTION("SPLIT(I301,"" "")"),"#VALUE!")</f>
        <v>#VALUE!</v>
      </c>
      <c r="M301" s="2" t="b">
        <f t="shared" si="4"/>
        <v>0</v>
      </c>
      <c r="N301" s="2" t="b">
        <f>IFERROR(__xludf.DUMMYFUNCTION("IF(AND(REGEXMATCH($G$4, ""cd""),M301),N300+J301)"),FALSE)</f>
        <v>0</v>
      </c>
      <c r="O301" s="2" t="str">
        <f t="shared" si="5"/>
        <v>#N/A</v>
      </c>
    </row>
    <row r="302">
      <c r="A302" s="1" t="s">
        <v>187</v>
      </c>
      <c r="B302" s="2" t="str">
        <f t="shared" si="1"/>
        <v>#VALUE!</v>
      </c>
      <c r="C302" s="2" t="str">
        <f>IFERROR(__xludf.DUMMYFUNCTION("SPLIT(B302,"" "")"),"#VALUE!")</f>
        <v>#VALUE!</v>
      </c>
      <c r="E302" s="2" t="str">
        <f t="shared" si="2"/>
        <v>$ cd stmvj</v>
      </c>
      <c r="F302" s="2" t="str">
        <f>IFERROR(__xludf.DUMMYFUNCTION("SPLIT(E302,"" "")"),"$")</f>
        <v>$</v>
      </c>
      <c r="G302" s="2" t="str">
        <f>IFERROR(__xludf.DUMMYFUNCTION("""COMPUTED_VALUE"""),"cd")</f>
        <v>cd</v>
      </c>
      <c r="H302" s="2" t="str">
        <f>IFERROR(__xludf.DUMMYFUNCTION("""COMPUTED_VALUE"""),"stmvj")</f>
        <v>stmvj</v>
      </c>
      <c r="I302" s="2" t="str">
        <f t="shared" si="3"/>
        <v>#VALUE!</v>
      </c>
      <c r="J302" s="2" t="str">
        <f>IFERROR(__xludf.DUMMYFUNCTION("SPLIT(I302,"" "")"),"#VALUE!")</f>
        <v>#VALUE!</v>
      </c>
      <c r="M302" s="2" t="b">
        <f t="shared" si="4"/>
        <v>0</v>
      </c>
      <c r="N302" s="2" t="b">
        <f>IFERROR(__xludf.DUMMYFUNCTION("IF(AND(REGEXMATCH($G$4, ""cd""),M302),N301+J302)"),FALSE)</f>
        <v>0</v>
      </c>
      <c r="O302" s="2" t="str">
        <f t="shared" si="5"/>
        <v>#N/A</v>
      </c>
    </row>
    <row r="303">
      <c r="A303" s="1" t="s">
        <v>2</v>
      </c>
      <c r="B303" s="2" t="str">
        <f t="shared" si="1"/>
        <v>#VALUE!</v>
      </c>
      <c r="C303" s="2" t="str">
        <f>IFERROR(__xludf.DUMMYFUNCTION("SPLIT(B303,"" "")"),"#VALUE!")</f>
        <v>#VALUE!</v>
      </c>
      <c r="E303" s="2" t="str">
        <f t="shared" si="2"/>
        <v>#VALUE!</v>
      </c>
      <c r="F303" s="2" t="str">
        <f>IFERROR(__xludf.DUMMYFUNCTION("SPLIT(E303,"" "")"),"#VALUE!")</f>
        <v>#VALUE!</v>
      </c>
      <c r="I303" s="2" t="str">
        <f t="shared" si="3"/>
        <v>#VALUE!</v>
      </c>
      <c r="J303" s="2" t="str">
        <f>IFERROR(__xludf.DUMMYFUNCTION("SPLIT(I303,"" "")"),"#VALUE!")</f>
        <v>#VALUE!</v>
      </c>
      <c r="M303" s="2" t="b">
        <f t="shared" si="4"/>
        <v>0</v>
      </c>
      <c r="N303" s="2" t="b">
        <f>IFERROR(__xludf.DUMMYFUNCTION("IF(AND(REGEXMATCH($G$4, ""cd""),M303),N302+J303)"),FALSE)</f>
        <v>0</v>
      </c>
      <c r="O303" s="2" t="str">
        <f t="shared" si="5"/>
        <v>#N/A</v>
      </c>
    </row>
    <row r="304">
      <c r="A304" s="1" t="s">
        <v>188</v>
      </c>
      <c r="B304" s="2" t="str">
        <f t="shared" si="1"/>
        <v>#VALUE!</v>
      </c>
      <c r="C304" s="2" t="str">
        <f>IFERROR(__xludf.DUMMYFUNCTION("SPLIT(B304,"" "")"),"#VALUE!")</f>
        <v>#VALUE!</v>
      </c>
      <c r="E304" s="2" t="str">
        <f t="shared" si="2"/>
        <v>#VALUE!</v>
      </c>
      <c r="F304" s="2" t="str">
        <f>IFERROR(__xludf.DUMMYFUNCTION("SPLIT(E304,"" "")"),"#VALUE!")</f>
        <v>#VALUE!</v>
      </c>
      <c r="I304" s="2" t="str">
        <f t="shared" si="3"/>
        <v>315660 wwpq.ffq</v>
      </c>
      <c r="J304" s="2">
        <f>IFERROR(__xludf.DUMMYFUNCTION("SPLIT(I304,"" "")"),315660.0)</f>
        <v>315660</v>
      </c>
      <c r="K304" s="2" t="str">
        <f>IFERROR(__xludf.DUMMYFUNCTION("""COMPUTED_VALUE"""),"wwpq.ffq")</f>
        <v>wwpq.ffq</v>
      </c>
      <c r="M304" s="2" t="b">
        <f t="shared" si="4"/>
        <v>1</v>
      </c>
      <c r="N304" s="2">
        <f>IFERROR(__xludf.DUMMYFUNCTION("IF(AND(REGEXMATCH($G$4, ""cd""),M304),N303+J304)"),315660.0)</f>
        <v>315660</v>
      </c>
      <c r="O304" s="2" t="str">
        <f t="shared" si="5"/>
        <v>#N/A</v>
      </c>
    </row>
    <row r="305">
      <c r="A305" s="1" t="s">
        <v>17</v>
      </c>
      <c r="B305" s="2" t="str">
        <f t="shared" si="1"/>
        <v>#VALUE!</v>
      </c>
      <c r="C305" s="2" t="str">
        <f>IFERROR(__xludf.DUMMYFUNCTION("SPLIT(B305,"" "")"),"#VALUE!")</f>
        <v>#VALUE!</v>
      </c>
      <c r="E305" s="2" t="str">
        <f t="shared" si="2"/>
        <v>$ cd ..</v>
      </c>
      <c r="F305" s="2" t="str">
        <f>IFERROR(__xludf.DUMMYFUNCTION("SPLIT(E305,"" "")"),"$")</f>
        <v>$</v>
      </c>
      <c r="G305" s="2" t="str">
        <f>IFERROR(__xludf.DUMMYFUNCTION("""COMPUTED_VALUE"""),"cd")</f>
        <v>cd</v>
      </c>
      <c r="H305" s="2" t="str">
        <f>IFERROR(__xludf.DUMMYFUNCTION("""COMPUTED_VALUE"""),"..")</f>
        <v>..</v>
      </c>
      <c r="I305" s="2" t="str">
        <f t="shared" si="3"/>
        <v>$ cd ..</v>
      </c>
      <c r="J305" s="2" t="str">
        <f>IFERROR(__xludf.DUMMYFUNCTION("SPLIT(I305,"" "")"),"$")</f>
        <v>$</v>
      </c>
      <c r="K305" s="2" t="str">
        <f>IFERROR(__xludf.DUMMYFUNCTION("""COMPUTED_VALUE"""),"cd")</f>
        <v>cd</v>
      </c>
      <c r="L305" s="2" t="str">
        <f>IFERROR(__xludf.DUMMYFUNCTION("""COMPUTED_VALUE"""),"..")</f>
        <v>..</v>
      </c>
      <c r="M305" s="2" t="b">
        <f t="shared" si="4"/>
        <v>0</v>
      </c>
      <c r="N305" s="2" t="b">
        <f>IFERROR(__xludf.DUMMYFUNCTION("IF(AND(REGEXMATCH($G$4, ""cd""),M305),N304+J305)"),FALSE)</f>
        <v>0</v>
      </c>
      <c r="O305" s="2" t="str">
        <f t="shared" si="5"/>
        <v>#N/A</v>
      </c>
    </row>
    <row r="306">
      <c r="A306" s="1" t="s">
        <v>17</v>
      </c>
      <c r="B306" s="2" t="str">
        <f t="shared" si="1"/>
        <v>#VALUE!</v>
      </c>
      <c r="C306" s="2" t="str">
        <f>IFERROR(__xludf.DUMMYFUNCTION("SPLIT(B306,"" "")"),"#VALUE!")</f>
        <v>#VALUE!</v>
      </c>
      <c r="E306" s="2" t="str">
        <f t="shared" si="2"/>
        <v>$ cd ..</v>
      </c>
      <c r="F306" s="2" t="str">
        <f>IFERROR(__xludf.DUMMYFUNCTION("SPLIT(E306,"" "")"),"$")</f>
        <v>$</v>
      </c>
      <c r="G306" s="2" t="str">
        <f>IFERROR(__xludf.DUMMYFUNCTION("""COMPUTED_VALUE"""),"cd")</f>
        <v>cd</v>
      </c>
      <c r="H306" s="2" t="str">
        <f>IFERROR(__xludf.DUMMYFUNCTION("""COMPUTED_VALUE"""),"..")</f>
        <v>..</v>
      </c>
      <c r="I306" s="2" t="str">
        <f t="shared" si="3"/>
        <v>$ cd ..</v>
      </c>
      <c r="J306" s="2" t="str">
        <f>IFERROR(__xludf.DUMMYFUNCTION("SPLIT(I306,"" "")"),"$")</f>
        <v>$</v>
      </c>
      <c r="K306" s="2" t="str">
        <f>IFERROR(__xludf.DUMMYFUNCTION("""COMPUTED_VALUE"""),"cd")</f>
        <v>cd</v>
      </c>
      <c r="L306" s="2" t="str">
        <f>IFERROR(__xludf.DUMMYFUNCTION("""COMPUTED_VALUE"""),"..")</f>
        <v>..</v>
      </c>
      <c r="M306" s="2" t="b">
        <f t="shared" si="4"/>
        <v>0</v>
      </c>
      <c r="N306" s="2" t="b">
        <f>IFERROR(__xludf.DUMMYFUNCTION("IF(AND(REGEXMATCH($G$4, ""cd""),M306),N305+J306)"),FALSE)</f>
        <v>0</v>
      </c>
      <c r="O306" s="2" t="str">
        <f t="shared" si="5"/>
        <v>#N/A</v>
      </c>
    </row>
    <row r="307">
      <c r="A307" s="1" t="s">
        <v>17</v>
      </c>
      <c r="B307" s="2" t="str">
        <f t="shared" si="1"/>
        <v>#VALUE!</v>
      </c>
      <c r="C307" s="2" t="str">
        <f>IFERROR(__xludf.DUMMYFUNCTION("SPLIT(B307,"" "")"),"#VALUE!")</f>
        <v>#VALUE!</v>
      </c>
      <c r="E307" s="2" t="str">
        <f t="shared" si="2"/>
        <v>$ cd ..</v>
      </c>
      <c r="F307" s="2" t="str">
        <f>IFERROR(__xludf.DUMMYFUNCTION("SPLIT(E307,"" "")"),"$")</f>
        <v>$</v>
      </c>
      <c r="G307" s="2" t="str">
        <f>IFERROR(__xludf.DUMMYFUNCTION("""COMPUTED_VALUE"""),"cd")</f>
        <v>cd</v>
      </c>
      <c r="H307" s="2" t="str">
        <f>IFERROR(__xludf.DUMMYFUNCTION("""COMPUTED_VALUE"""),"..")</f>
        <v>..</v>
      </c>
      <c r="I307" s="2" t="str">
        <f t="shared" si="3"/>
        <v>$ cd ..</v>
      </c>
      <c r="J307" s="2" t="str">
        <f>IFERROR(__xludf.DUMMYFUNCTION("SPLIT(I307,"" "")"),"$")</f>
        <v>$</v>
      </c>
      <c r="K307" s="2" t="str">
        <f>IFERROR(__xludf.DUMMYFUNCTION("""COMPUTED_VALUE"""),"cd")</f>
        <v>cd</v>
      </c>
      <c r="L307" s="2" t="str">
        <f>IFERROR(__xludf.DUMMYFUNCTION("""COMPUTED_VALUE"""),"..")</f>
        <v>..</v>
      </c>
      <c r="M307" s="2" t="b">
        <f t="shared" si="4"/>
        <v>0</v>
      </c>
      <c r="N307" s="2" t="b">
        <f>IFERROR(__xludf.DUMMYFUNCTION("IF(AND(REGEXMATCH($G$4, ""cd""),M307),N306+J307)"),FALSE)</f>
        <v>0</v>
      </c>
      <c r="O307" s="2" t="str">
        <f t="shared" si="5"/>
        <v>#N/A</v>
      </c>
    </row>
    <row r="308">
      <c r="A308" s="1" t="s">
        <v>17</v>
      </c>
      <c r="B308" s="2" t="str">
        <f t="shared" si="1"/>
        <v>#VALUE!</v>
      </c>
      <c r="C308" s="2" t="str">
        <f>IFERROR(__xludf.DUMMYFUNCTION("SPLIT(B308,"" "")"),"#VALUE!")</f>
        <v>#VALUE!</v>
      </c>
      <c r="E308" s="2" t="str">
        <f t="shared" si="2"/>
        <v>$ cd ..</v>
      </c>
      <c r="F308" s="2" t="str">
        <f>IFERROR(__xludf.DUMMYFUNCTION("SPLIT(E308,"" "")"),"$")</f>
        <v>$</v>
      </c>
      <c r="G308" s="2" t="str">
        <f>IFERROR(__xludf.DUMMYFUNCTION("""COMPUTED_VALUE"""),"cd")</f>
        <v>cd</v>
      </c>
      <c r="H308" s="2" t="str">
        <f>IFERROR(__xludf.DUMMYFUNCTION("""COMPUTED_VALUE"""),"..")</f>
        <v>..</v>
      </c>
      <c r="I308" s="2" t="str">
        <f t="shared" si="3"/>
        <v>$ cd ..</v>
      </c>
      <c r="J308" s="2" t="str">
        <f>IFERROR(__xludf.DUMMYFUNCTION("SPLIT(I308,"" "")"),"$")</f>
        <v>$</v>
      </c>
      <c r="K308" s="2" t="str">
        <f>IFERROR(__xludf.DUMMYFUNCTION("""COMPUTED_VALUE"""),"cd")</f>
        <v>cd</v>
      </c>
      <c r="L308" s="2" t="str">
        <f>IFERROR(__xludf.DUMMYFUNCTION("""COMPUTED_VALUE"""),"..")</f>
        <v>..</v>
      </c>
      <c r="M308" s="2" t="b">
        <f t="shared" si="4"/>
        <v>0</v>
      </c>
      <c r="N308" s="2" t="b">
        <f>IFERROR(__xludf.DUMMYFUNCTION("IF(AND(REGEXMATCH($G$4, ""cd""),M308),N307+J308)"),FALSE)</f>
        <v>0</v>
      </c>
      <c r="O308" s="2" t="str">
        <f t="shared" si="5"/>
        <v>#N/A</v>
      </c>
    </row>
    <row r="309">
      <c r="A309" s="1" t="s">
        <v>189</v>
      </c>
      <c r="B309" s="2" t="str">
        <f t="shared" si="1"/>
        <v>#VALUE!</v>
      </c>
      <c r="C309" s="2" t="str">
        <f>IFERROR(__xludf.DUMMYFUNCTION("SPLIT(B309,"" "")"),"#VALUE!")</f>
        <v>#VALUE!</v>
      </c>
      <c r="E309" s="2" t="str">
        <f t="shared" si="2"/>
        <v>$ cd rgrwp</v>
      </c>
      <c r="F309" s="2" t="str">
        <f>IFERROR(__xludf.DUMMYFUNCTION("SPLIT(E309,"" "")"),"$")</f>
        <v>$</v>
      </c>
      <c r="G309" s="2" t="str">
        <f>IFERROR(__xludf.DUMMYFUNCTION("""COMPUTED_VALUE"""),"cd")</f>
        <v>cd</v>
      </c>
      <c r="H309" s="2" t="str">
        <f>IFERROR(__xludf.DUMMYFUNCTION("""COMPUTED_VALUE"""),"rgrwp")</f>
        <v>rgrwp</v>
      </c>
      <c r="I309" s="2" t="str">
        <f t="shared" si="3"/>
        <v>#VALUE!</v>
      </c>
      <c r="J309" s="2" t="str">
        <f>IFERROR(__xludf.DUMMYFUNCTION("SPLIT(I309,"" "")"),"#VALUE!")</f>
        <v>#VALUE!</v>
      </c>
      <c r="M309" s="2" t="b">
        <f t="shared" si="4"/>
        <v>0</v>
      </c>
      <c r="N309" s="2" t="b">
        <f>IFERROR(__xludf.DUMMYFUNCTION("IF(AND(REGEXMATCH($G$4, ""cd""),M309),N308+J309)"),FALSE)</f>
        <v>0</v>
      </c>
      <c r="O309" s="2" t="str">
        <f t="shared" si="5"/>
        <v>#N/A</v>
      </c>
    </row>
    <row r="310">
      <c r="A310" s="1" t="s">
        <v>2</v>
      </c>
      <c r="B310" s="2" t="str">
        <f t="shared" si="1"/>
        <v>#VALUE!</v>
      </c>
      <c r="C310" s="2" t="str">
        <f>IFERROR(__xludf.DUMMYFUNCTION("SPLIT(B310,"" "")"),"#VALUE!")</f>
        <v>#VALUE!</v>
      </c>
      <c r="E310" s="2" t="str">
        <f t="shared" si="2"/>
        <v>#VALUE!</v>
      </c>
      <c r="F310" s="2" t="str">
        <f>IFERROR(__xludf.DUMMYFUNCTION("SPLIT(E310,"" "")"),"#VALUE!")</f>
        <v>#VALUE!</v>
      </c>
      <c r="I310" s="2" t="str">
        <f t="shared" si="3"/>
        <v>#VALUE!</v>
      </c>
      <c r="J310" s="2" t="str">
        <f>IFERROR(__xludf.DUMMYFUNCTION("SPLIT(I310,"" "")"),"#VALUE!")</f>
        <v>#VALUE!</v>
      </c>
      <c r="M310" s="2" t="b">
        <f t="shared" si="4"/>
        <v>0</v>
      </c>
      <c r="N310" s="2" t="b">
        <f>IFERROR(__xludf.DUMMYFUNCTION("IF(AND(REGEXMATCH($G$4, ""cd""),M310),N309+J310)"),FALSE)</f>
        <v>0</v>
      </c>
      <c r="O310" s="2" t="str">
        <f t="shared" si="5"/>
        <v>#N/A</v>
      </c>
    </row>
    <row r="311">
      <c r="A311" s="1" t="s">
        <v>190</v>
      </c>
      <c r="B311" s="2" t="str">
        <f t="shared" si="1"/>
        <v>dir dhwtfld</v>
      </c>
      <c r="C311" s="2" t="str">
        <f>IFERROR(__xludf.DUMMYFUNCTION("SPLIT(B311,"" "")"),"dir")</f>
        <v>dir</v>
      </c>
      <c r="D311" s="2" t="str">
        <f>IFERROR(__xludf.DUMMYFUNCTION("""COMPUTED_VALUE"""),"dhwtfld")</f>
        <v>dhwtfld</v>
      </c>
      <c r="E311" s="2" t="str">
        <f t="shared" si="2"/>
        <v>#VALUE!</v>
      </c>
      <c r="F311" s="2" t="str">
        <f>IFERROR(__xludf.DUMMYFUNCTION("SPLIT(E311,"" "")"),"#VALUE!")</f>
        <v>#VALUE!</v>
      </c>
      <c r="I311" s="2" t="str">
        <f t="shared" si="3"/>
        <v>#VALUE!</v>
      </c>
      <c r="J311" s="2" t="str">
        <f>IFERROR(__xludf.DUMMYFUNCTION("SPLIT(I311,"" "")"),"#VALUE!")</f>
        <v>#VALUE!</v>
      </c>
      <c r="M311" s="2" t="b">
        <f t="shared" si="4"/>
        <v>0</v>
      </c>
      <c r="N311" s="2" t="b">
        <f>IFERROR(__xludf.DUMMYFUNCTION("IF(AND(REGEXMATCH($G$4, ""cd""),M311),N310+J311)"),FALSE)</f>
        <v>0</v>
      </c>
      <c r="O311" s="2" t="str">
        <f t="shared" si="5"/>
        <v>#N/A</v>
      </c>
    </row>
    <row r="312">
      <c r="A312" s="1" t="s">
        <v>191</v>
      </c>
      <c r="B312" s="2" t="str">
        <f t="shared" si="1"/>
        <v>#VALUE!</v>
      </c>
      <c r="C312" s="2" t="str">
        <f>IFERROR(__xludf.DUMMYFUNCTION("SPLIT(B312,"" "")"),"#VALUE!")</f>
        <v>#VALUE!</v>
      </c>
      <c r="E312" s="2" t="str">
        <f t="shared" si="2"/>
        <v>#VALUE!</v>
      </c>
      <c r="F312" s="2" t="str">
        <f>IFERROR(__xludf.DUMMYFUNCTION("SPLIT(E312,"" "")"),"#VALUE!")</f>
        <v>#VALUE!</v>
      </c>
      <c r="I312" s="2" t="str">
        <f t="shared" si="3"/>
        <v>#VALUE!</v>
      </c>
      <c r="J312" s="2" t="str">
        <f>IFERROR(__xludf.DUMMYFUNCTION("SPLIT(I312,"" "")"),"#VALUE!")</f>
        <v>#VALUE!</v>
      </c>
      <c r="M312" s="2" t="b">
        <f t="shared" si="4"/>
        <v>0</v>
      </c>
      <c r="N312" s="2" t="b">
        <f>IFERROR(__xludf.DUMMYFUNCTION("IF(AND(REGEXMATCH($G$4, ""cd""),M312),N311+J312)"),FALSE)</f>
        <v>0</v>
      </c>
      <c r="O312" s="2" t="str">
        <f t="shared" si="5"/>
        <v>#N/A</v>
      </c>
    </row>
    <row r="313">
      <c r="A313" s="1" t="s">
        <v>4</v>
      </c>
      <c r="B313" s="2" t="str">
        <f t="shared" si="1"/>
        <v>dir jnwr</v>
      </c>
      <c r="C313" s="2" t="str">
        <f>IFERROR(__xludf.DUMMYFUNCTION("SPLIT(B313,"" "")"),"dir")</f>
        <v>dir</v>
      </c>
      <c r="D313" s="2" t="str">
        <f>IFERROR(__xludf.DUMMYFUNCTION("""COMPUTED_VALUE"""),"jnwr")</f>
        <v>jnwr</v>
      </c>
      <c r="E313" s="2" t="str">
        <f t="shared" si="2"/>
        <v>#VALUE!</v>
      </c>
      <c r="F313" s="2" t="str">
        <f>IFERROR(__xludf.DUMMYFUNCTION("SPLIT(E313,"" "")"),"#VALUE!")</f>
        <v>#VALUE!</v>
      </c>
      <c r="I313" s="2" t="str">
        <f t="shared" si="3"/>
        <v>#VALUE!</v>
      </c>
      <c r="J313" s="2" t="str">
        <f>IFERROR(__xludf.DUMMYFUNCTION("SPLIT(I313,"" "")"),"#VALUE!")</f>
        <v>#VALUE!</v>
      </c>
      <c r="M313" s="2" t="b">
        <f t="shared" si="4"/>
        <v>0</v>
      </c>
      <c r="N313" s="2" t="b">
        <f>IFERROR(__xludf.DUMMYFUNCTION("IF(AND(REGEXMATCH($G$4, ""cd""),M313),N312+J313)"),FALSE)</f>
        <v>0</v>
      </c>
      <c r="O313" s="2" t="str">
        <f t="shared" si="5"/>
        <v>#N/A</v>
      </c>
    </row>
    <row r="314">
      <c r="A314" s="1" t="s">
        <v>192</v>
      </c>
      <c r="B314" s="2" t="str">
        <f t="shared" si="1"/>
        <v>dir npr</v>
      </c>
      <c r="C314" s="2" t="str">
        <f>IFERROR(__xludf.DUMMYFUNCTION("SPLIT(B314,"" "")"),"dir")</f>
        <v>dir</v>
      </c>
      <c r="D314" s="2" t="str">
        <f>IFERROR(__xludf.DUMMYFUNCTION("""COMPUTED_VALUE"""),"npr")</f>
        <v>npr</v>
      </c>
      <c r="E314" s="2" t="str">
        <f t="shared" si="2"/>
        <v>#VALUE!</v>
      </c>
      <c r="F314" s="2" t="str">
        <f>IFERROR(__xludf.DUMMYFUNCTION("SPLIT(E314,"" "")"),"#VALUE!")</f>
        <v>#VALUE!</v>
      </c>
      <c r="I314" s="2" t="str">
        <f t="shared" si="3"/>
        <v>#VALUE!</v>
      </c>
      <c r="J314" s="2" t="str">
        <f>IFERROR(__xludf.DUMMYFUNCTION("SPLIT(I314,"" "")"),"#VALUE!")</f>
        <v>#VALUE!</v>
      </c>
      <c r="M314" s="2" t="b">
        <f t="shared" si="4"/>
        <v>0</v>
      </c>
      <c r="N314" s="2" t="b">
        <f>IFERROR(__xludf.DUMMYFUNCTION("IF(AND(REGEXMATCH($G$4, ""cd""),M314),N313+J314)"),FALSE)</f>
        <v>0</v>
      </c>
      <c r="O314" s="2" t="str">
        <f t="shared" si="5"/>
        <v>#N/A</v>
      </c>
    </row>
    <row r="315">
      <c r="A315" s="1" t="s">
        <v>193</v>
      </c>
      <c r="B315" s="2" t="str">
        <f t="shared" si="1"/>
        <v>dir sdsppq</v>
      </c>
      <c r="C315" s="2" t="str">
        <f>IFERROR(__xludf.DUMMYFUNCTION("SPLIT(B315,"" "")"),"dir")</f>
        <v>dir</v>
      </c>
      <c r="D315" s="2" t="str">
        <f>IFERROR(__xludf.DUMMYFUNCTION("""COMPUTED_VALUE"""),"sdsppq")</f>
        <v>sdsppq</v>
      </c>
      <c r="E315" s="2" t="str">
        <f t="shared" si="2"/>
        <v>#VALUE!</v>
      </c>
      <c r="F315" s="2" t="str">
        <f>IFERROR(__xludf.DUMMYFUNCTION("SPLIT(E315,"" "")"),"#VALUE!")</f>
        <v>#VALUE!</v>
      </c>
      <c r="I315" s="2" t="str">
        <f t="shared" si="3"/>
        <v>#VALUE!</v>
      </c>
      <c r="J315" s="2" t="str">
        <f>IFERROR(__xludf.DUMMYFUNCTION("SPLIT(I315,"" "")"),"#VALUE!")</f>
        <v>#VALUE!</v>
      </c>
      <c r="M315" s="2" t="b">
        <f t="shared" si="4"/>
        <v>0</v>
      </c>
      <c r="N315" s="2" t="b">
        <f>IFERROR(__xludf.DUMMYFUNCTION("IF(AND(REGEXMATCH($G$4, ""cd""),M315),N314+J315)"),FALSE)</f>
        <v>0</v>
      </c>
      <c r="O315" s="2" t="str">
        <f t="shared" si="5"/>
        <v>#N/A</v>
      </c>
    </row>
    <row r="316">
      <c r="A316" s="1" t="s">
        <v>194</v>
      </c>
      <c r="B316" s="2" t="str">
        <f t="shared" si="1"/>
        <v>#VALUE!</v>
      </c>
      <c r="C316" s="2" t="str">
        <f>IFERROR(__xludf.DUMMYFUNCTION("SPLIT(B316,"" "")"),"#VALUE!")</f>
        <v>#VALUE!</v>
      </c>
      <c r="E316" s="2" t="str">
        <f t="shared" si="2"/>
        <v>#VALUE!</v>
      </c>
      <c r="F316" s="2" t="str">
        <f>IFERROR(__xludf.DUMMYFUNCTION("SPLIT(E316,"" "")"),"#VALUE!")</f>
        <v>#VALUE!</v>
      </c>
      <c r="I316" s="2" t="str">
        <f t="shared" si="3"/>
        <v>228581 twd.nnc</v>
      </c>
      <c r="J316" s="2">
        <f>IFERROR(__xludf.DUMMYFUNCTION("SPLIT(I316,"" "")"),228581.0)</f>
        <v>228581</v>
      </c>
      <c r="K316" s="2" t="str">
        <f>IFERROR(__xludf.DUMMYFUNCTION("""COMPUTED_VALUE"""),"twd.nnc")</f>
        <v>twd.nnc</v>
      </c>
      <c r="M316" s="2" t="b">
        <f t="shared" si="4"/>
        <v>1</v>
      </c>
      <c r="N316" s="2">
        <f>IFERROR(__xludf.DUMMYFUNCTION("IF(AND(REGEXMATCH($G$4, ""cd""),M316),N315+J316)"),228581.0)</f>
        <v>228581</v>
      </c>
      <c r="O316" s="2" t="str">
        <f t="shared" si="5"/>
        <v>#N/A</v>
      </c>
    </row>
    <row r="317">
      <c r="A317" s="1" t="s">
        <v>195</v>
      </c>
      <c r="B317" s="2" t="str">
        <f t="shared" si="1"/>
        <v>#VALUE!</v>
      </c>
      <c r="C317" s="2" t="str">
        <f>IFERROR(__xludf.DUMMYFUNCTION("SPLIT(B317,"" "")"),"#VALUE!")</f>
        <v>#VALUE!</v>
      </c>
      <c r="E317" s="2" t="str">
        <f t="shared" si="2"/>
        <v>#VALUE!</v>
      </c>
      <c r="F317" s="2" t="str">
        <f>IFERROR(__xludf.DUMMYFUNCTION("SPLIT(E317,"" "")"),"#VALUE!")</f>
        <v>#VALUE!</v>
      </c>
      <c r="I317" s="2" t="str">
        <f t="shared" si="3"/>
        <v>42349 wbf.cwb</v>
      </c>
      <c r="J317" s="2">
        <f>IFERROR(__xludf.DUMMYFUNCTION("SPLIT(I317,"" "")"),42349.0)</f>
        <v>42349</v>
      </c>
      <c r="K317" s="2" t="str">
        <f>IFERROR(__xludf.DUMMYFUNCTION("""COMPUTED_VALUE"""),"wbf.cwb")</f>
        <v>wbf.cwb</v>
      </c>
      <c r="M317" s="2" t="b">
        <f t="shared" si="4"/>
        <v>1</v>
      </c>
      <c r="N317" s="2">
        <f>IFERROR(__xludf.DUMMYFUNCTION("IF(AND(REGEXMATCH($G$4, ""cd""),M317),N316+J317)"),270930.0)</f>
        <v>270930</v>
      </c>
      <c r="O317" s="2" t="str">
        <f t="shared" si="5"/>
        <v>#N/A</v>
      </c>
    </row>
    <row r="318">
      <c r="A318" s="1" t="s">
        <v>196</v>
      </c>
      <c r="B318" s="2" t="str">
        <f t="shared" si="1"/>
        <v>#VALUE!</v>
      </c>
      <c r="C318" s="2" t="str">
        <f>IFERROR(__xludf.DUMMYFUNCTION("SPLIT(B318,"" "")"),"#VALUE!")</f>
        <v>#VALUE!</v>
      </c>
      <c r="E318" s="2" t="str">
        <f t="shared" si="2"/>
        <v>#VALUE!</v>
      </c>
      <c r="F318" s="2" t="str">
        <f>IFERROR(__xludf.DUMMYFUNCTION("SPLIT(E318,"" "")"),"#VALUE!")</f>
        <v>#VALUE!</v>
      </c>
      <c r="I318" s="2" t="str">
        <f t="shared" si="3"/>
        <v>194162 zbdp.gqb</v>
      </c>
      <c r="J318" s="2">
        <f>IFERROR(__xludf.DUMMYFUNCTION("SPLIT(I318,"" "")"),194162.0)</f>
        <v>194162</v>
      </c>
      <c r="K318" s="2" t="str">
        <f>IFERROR(__xludf.DUMMYFUNCTION("""COMPUTED_VALUE"""),"zbdp.gqb")</f>
        <v>zbdp.gqb</v>
      </c>
      <c r="M318" s="2" t="b">
        <f t="shared" si="4"/>
        <v>1</v>
      </c>
      <c r="N318" s="2">
        <f>IFERROR(__xludf.DUMMYFUNCTION("IF(AND(REGEXMATCH($G$4, ""cd""),M318),N317+J318)"),465092.0)</f>
        <v>465092</v>
      </c>
      <c r="O318" s="2" t="str">
        <f t="shared" si="5"/>
        <v>#N/A</v>
      </c>
    </row>
    <row r="319">
      <c r="A319" s="1" t="s">
        <v>197</v>
      </c>
      <c r="B319" s="2" t="str">
        <f t="shared" si="1"/>
        <v>#VALUE!</v>
      </c>
      <c r="C319" s="2" t="str">
        <f>IFERROR(__xludf.DUMMYFUNCTION("SPLIT(B319,"" "")"),"#VALUE!")</f>
        <v>#VALUE!</v>
      </c>
      <c r="E319" s="2" t="str">
        <f t="shared" si="2"/>
        <v>#VALUE!</v>
      </c>
      <c r="F319" s="2" t="str">
        <f>IFERROR(__xludf.DUMMYFUNCTION("SPLIT(E319,"" "")"),"#VALUE!")</f>
        <v>#VALUE!</v>
      </c>
      <c r="I319" s="2" t="str">
        <f t="shared" si="3"/>
        <v>224441 zcgrgff.qpg</v>
      </c>
      <c r="J319" s="2">
        <f>IFERROR(__xludf.DUMMYFUNCTION("SPLIT(I319,"" "")"),224441.0)</f>
        <v>224441</v>
      </c>
      <c r="K319" s="2" t="str">
        <f>IFERROR(__xludf.DUMMYFUNCTION("""COMPUTED_VALUE"""),"zcgrgff.qpg")</f>
        <v>zcgrgff.qpg</v>
      </c>
      <c r="M319" s="2" t="b">
        <f t="shared" si="4"/>
        <v>1</v>
      </c>
      <c r="N319" s="2">
        <f>IFERROR(__xludf.DUMMYFUNCTION("IF(AND(REGEXMATCH($G$4, ""cd""),M319),N318+J319)"),689533.0)</f>
        <v>689533</v>
      </c>
      <c r="O319" s="2" t="str">
        <f t="shared" si="5"/>
        <v>#N/A</v>
      </c>
    </row>
    <row r="320">
      <c r="A320" s="1" t="s">
        <v>198</v>
      </c>
      <c r="B320" s="2" t="str">
        <f t="shared" si="1"/>
        <v>#VALUE!</v>
      </c>
      <c r="C320" s="2" t="str">
        <f>IFERROR(__xludf.DUMMYFUNCTION("SPLIT(B320,"" "")"),"#VALUE!")</f>
        <v>#VALUE!</v>
      </c>
      <c r="E320" s="2" t="str">
        <f t="shared" si="2"/>
        <v>$ cd dhwtfld</v>
      </c>
      <c r="F320" s="2" t="str">
        <f>IFERROR(__xludf.DUMMYFUNCTION("SPLIT(E320,"" "")"),"$")</f>
        <v>$</v>
      </c>
      <c r="G320" s="2" t="str">
        <f>IFERROR(__xludf.DUMMYFUNCTION("""COMPUTED_VALUE"""),"cd")</f>
        <v>cd</v>
      </c>
      <c r="H320" s="2" t="str">
        <f>IFERROR(__xludf.DUMMYFUNCTION("""COMPUTED_VALUE"""),"dhwtfld")</f>
        <v>dhwtfld</v>
      </c>
      <c r="I320" s="2" t="str">
        <f t="shared" si="3"/>
        <v>#VALUE!</v>
      </c>
      <c r="J320" s="2" t="str">
        <f>IFERROR(__xludf.DUMMYFUNCTION("SPLIT(I320,"" "")"),"#VALUE!")</f>
        <v>#VALUE!</v>
      </c>
      <c r="M320" s="2" t="b">
        <f t="shared" si="4"/>
        <v>0</v>
      </c>
      <c r="N320" s="2" t="b">
        <f>IFERROR(__xludf.DUMMYFUNCTION("IF(AND(REGEXMATCH($G$4, ""cd""),M320),N319+J320)"),FALSE)</f>
        <v>0</v>
      </c>
      <c r="O320" s="2" t="str">
        <f t="shared" si="5"/>
        <v>#N/A</v>
      </c>
    </row>
    <row r="321">
      <c r="A321" s="1" t="s">
        <v>2</v>
      </c>
      <c r="B321" s="2" t="str">
        <f t="shared" si="1"/>
        <v>#VALUE!</v>
      </c>
      <c r="C321" s="2" t="str">
        <f>IFERROR(__xludf.DUMMYFUNCTION("SPLIT(B321,"" "")"),"#VALUE!")</f>
        <v>#VALUE!</v>
      </c>
      <c r="E321" s="2" t="str">
        <f t="shared" si="2"/>
        <v>#VALUE!</v>
      </c>
      <c r="F321" s="2" t="str">
        <f>IFERROR(__xludf.DUMMYFUNCTION("SPLIT(E321,"" "")"),"#VALUE!")</f>
        <v>#VALUE!</v>
      </c>
      <c r="I321" s="2" t="str">
        <f t="shared" si="3"/>
        <v>#VALUE!</v>
      </c>
      <c r="J321" s="2" t="str">
        <f>IFERROR(__xludf.DUMMYFUNCTION("SPLIT(I321,"" "")"),"#VALUE!")</f>
        <v>#VALUE!</v>
      </c>
      <c r="M321" s="2" t="b">
        <f t="shared" si="4"/>
        <v>0</v>
      </c>
      <c r="N321" s="2" t="b">
        <f>IFERROR(__xludf.DUMMYFUNCTION("IF(AND(REGEXMATCH($G$4, ""cd""),M321),N320+J321)"),FALSE)</f>
        <v>0</v>
      </c>
      <c r="O321" s="2" t="str">
        <f t="shared" si="5"/>
        <v>#N/A</v>
      </c>
    </row>
    <row r="322">
      <c r="A322" s="1" t="s">
        <v>199</v>
      </c>
      <c r="B322" s="2" t="str">
        <f t="shared" si="1"/>
        <v>#VALUE!</v>
      </c>
      <c r="C322" s="2" t="str">
        <f>IFERROR(__xludf.DUMMYFUNCTION("SPLIT(B322,"" "")"),"#VALUE!")</f>
        <v>#VALUE!</v>
      </c>
      <c r="E322" s="2" t="str">
        <f t="shared" si="2"/>
        <v>#VALUE!</v>
      </c>
      <c r="F322" s="2" t="str">
        <f>IFERROR(__xludf.DUMMYFUNCTION("SPLIT(E322,"" "")"),"#VALUE!")</f>
        <v>#VALUE!</v>
      </c>
      <c r="I322" s="2" t="str">
        <f t="shared" si="3"/>
        <v>#VALUE!</v>
      </c>
      <c r="J322" s="2" t="str">
        <f>IFERROR(__xludf.DUMMYFUNCTION("SPLIT(I322,"" "")"),"#VALUE!")</f>
        <v>#VALUE!</v>
      </c>
      <c r="M322" s="2" t="b">
        <f t="shared" si="4"/>
        <v>0</v>
      </c>
      <c r="N322" s="2" t="b">
        <f>IFERROR(__xludf.DUMMYFUNCTION("IF(AND(REGEXMATCH($G$4, ""cd""),M322),N321+J322)"),FALSE)</f>
        <v>0</v>
      </c>
      <c r="O322" s="2" t="str">
        <f t="shared" si="5"/>
        <v>#N/A</v>
      </c>
    </row>
    <row r="323">
      <c r="A323" s="1" t="s">
        <v>17</v>
      </c>
      <c r="B323" s="2" t="str">
        <f t="shared" si="1"/>
        <v>#VALUE!</v>
      </c>
      <c r="C323" s="2" t="str">
        <f>IFERROR(__xludf.DUMMYFUNCTION("SPLIT(B323,"" "")"),"#VALUE!")</f>
        <v>#VALUE!</v>
      </c>
      <c r="E323" s="2" t="str">
        <f t="shared" si="2"/>
        <v>$ cd ..</v>
      </c>
      <c r="F323" s="2" t="str">
        <f>IFERROR(__xludf.DUMMYFUNCTION("SPLIT(E323,"" "")"),"$")</f>
        <v>$</v>
      </c>
      <c r="G323" s="2" t="str">
        <f>IFERROR(__xludf.DUMMYFUNCTION("""COMPUTED_VALUE"""),"cd")</f>
        <v>cd</v>
      </c>
      <c r="H323" s="2" t="str">
        <f>IFERROR(__xludf.DUMMYFUNCTION("""COMPUTED_VALUE"""),"..")</f>
        <v>..</v>
      </c>
      <c r="I323" s="2" t="str">
        <f t="shared" si="3"/>
        <v>$ cd ..</v>
      </c>
      <c r="J323" s="2" t="str">
        <f>IFERROR(__xludf.DUMMYFUNCTION("SPLIT(I323,"" "")"),"$")</f>
        <v>$</v>
      </c>
      <c r="K323" s="2" t="str">
        <f>IFERROR(__xludf.DUMMYFUNCTION("""COMPUTED_VALUE"""),"cd")</f>
        <v>cd</v>
      </c>
      <c r="L323" s="2" t="str">
        <f>IFERROR(__xludf.DUMMYFUNCTION("""COMPUTED_VALUE"""),"..")</f>
        <v>..</v>
      </c>
      <c r="M323" s="2" t="b">
        <f t="shared" si="4"/>
        <v>0</v>
      </c>
      <c r="N323" s="2" t="b">
        <f>IFERROR(__xludf.DUMMYFUNCTION("IF(AND(REGEXMATCH($G$4, ""cd""),M323),N322+J323)"),FALSE)</f>
        <v>0</v>
      </c>
      <c r="O323" s="2" t="str">
        <f t="shared" si="5"/>
        <v>#N/A</v>
      </c>
    </row>
    <row r="324">
      <c r="A324" s="1" t="s">
        <v>20</v>
      </c>
      <c r="B324" s="2" t="str">
        <f t="shared" si="1"/>
        <v>#VALUE!</v>
      </c>
      <c r="C324" s="2" t="str">
        <f>IFERROR(__xludf.DUMMYFUNCTION("SPLIT(B324,"" "")"),"#VALUE!")</f>
        <v>#VALUE!</v>
      </c>
      <c r="E324" s="2" t="str">
        <f t="shared" si="2"/>
        <v>$ cd jnwr</v>
      </c>
      <c r="F324" s="2" t="str">
        <f>IFERROR(__xludf.DUMMYFUNCTION("SPLIT(E324,"" "")"),"$")</f>
        <v>$</v>
      </c>
      <c r="G324" s="2" t="str">
        <f>IFERROR(__xludf.DUMMYFUNCTION("""COMPUTED_VALUE"""),"cd")</f>
        <v>cd</v>
      </c>
      <c r="H324" s="2" t="str">
        <f>IFERROR(__xludf.DUMMYFUNCTION("""COMPUTED_VALUE"""),"jnwr")</f>
        <v>jnwr</v>
      </c>
      <c r="I324" s="2" t="str">
        <f t="shared" si="3"/>
        <v>#VALUE!</v>
      </c>
      <c r="J324" s="2" t="str">
        <f>IFERROR(__xludf.DUMMYFUNCTION("SPLIT(I324,"" "")"),"#VALUE!")</f>
        <v>#VALUE!</v>
      </c>
      <c r="M324" s="2" t="b">
        <f t="shared" si="4"/>
        <v>0</v>
      </c>
      <c r="N324" s="2" t="b">
        <f>IFERROR(__xludf.DUMMYFUNCTION("IF(AND(REGEXMATCH($G$4, ""cd""),M324),N323+J324)"),FALSE)</f>
        <v>0</v>
      </c>
      <c r="O324" s="2" t="str">
        <f t="shared" si="5"/>
        <v>#N/A</v>
      </c>
    </row>
    <row r="325">
      <c r="A325" s="1" t="s">
        <v>2</v>
      </c>
      <c r="B325" s="2" t="str">
        <f t="shared" si="1"/>
        <v>#VALUE!</v>
      </c>
      <c r="C325" s="2" t="str">
        <f>IFERROR(__xludf.DUMMYFUNCTION("SPLIT(B325,"" "")"),"#VALUE!")</f>
        <v>#VALUE!</v>
      </c>
      <c r="E325" s="2" t="str">
        <f t="shared" si="2"/>
        <v>#VALUE!</v>
      </c>
      <c r="F325" s="2" t="str">
        <f>IFERROR(__xludf.DUMMYFUNCTION("SPLIT(E325,"" "")"),"#VALUE!")</f>
        <v>#VALUE!</v>
      </c>
      <c r="I325" s="2" t="str">
        <f t="shared" si="3"/>
        <v>#VALUE!</v>
      </c>
      <c r="J325" s="2" t="str">
        <f>IFERROR(__xludf.DUMMYFUNCTION("SPLIT(I325,"" "")"),"#VALUE!")</f>
        <v>#VALUE!</v>
      </c>
      <c r="M325" s="2" t="b">
        <f t="shared" si="4"/>
        <v>0</v>
      </c>
      <c r="N325" s="2" t="b">
        <f>IFERROR(__xludf.DUMMYFUNCTION("IF(AND(REGEXMATCH($G$4, ""cd""),M325),N324+J325)"),FALSE)</f>
        <v>0</v>
      </c>
      <c r="O325" s="2" t="str">
        <f t="shared" si="5"/>
        <v>#N/A</v>
      </c>
    </row>
    <row r="326">
      <c r="A326" s="1" t="s">
        <v>200</v>
      </c>
      <c r="B326" s="2" t="str">
        <f t="shared" si="1"/>
        <v>#VALUE!</v>
      </c>
      <c r="C326" s="2" t="str">
        <f>IFERROR(__xludf.DUMMYFUNCTION("SPLIT(B326,"" "")"),"#VALUE!")</f>
        <v>#VALUE!</v>
      </c>
      <c r="E326" s="2" t="str">
        <f t="shared" si="2"/>
        <v>#VALUE!</v>
      </c>
      <c r="F326" s="2" t="str">
        <f>IFERROR(__xludf.DUMMYFUNCTION("SPLIT(E326,"" "")"),"#VALUE!")</f>
        <v>#VALUE!</v>
      </c>
      <c r="I326" s="2" t="str">
        <f t="shared" si="3"/>
        <v>229758 hmvw.gdz</v>
      </c>
      <c r="J326" s="2">
        <f>IFERROR(__xludf.DUMMYFUNCTION("SPLIT(I326,"" "")"),229758.0)</f>
        <v>229758</v>
      </c>
      <c r="K326" s="2" t="str">
        <f>IFERROR(__xludf.DUMMYFUNCTION("""COMPUTED_VALUE"""),"hmvw.gdz")</f>
        <v>hmvw.gdz</v>
      </c>
      <c r="M326" s="2" t="b">
        <f t="shared" si="4"/>
        <v>1</v>
      </c>
      <c r="N326" s="2">
        <f>IFERROR(__xludf.DUMMYFUNCTION("IF(AND(REGEXMATCH($G$4, ""cd""),M326),N325+J326)"),229758.0)</f>
        <v>229758</v>
      </c>
      <c r="O326" s="2" t="str">
        <f t="shared" si="5"/>
        <v>#N/A</v>
      </c>
    </row>
    <row r="327">
      <c r="A327" s="1" t="s">
        <v>201</v>
      </c>
      <c r="B327" s="2" t="str">
        <f t="shared" si="1"/>
        <v>#VALUE!</v>
      </c>
      <c r="C327" s="2" t="str">
        <f>IFERROR(__xludf.DUMMYFUNCTION("SPLIT(B327,"" "")"),"#VALUE!")</f>
        <v>#VALUE!</v>
      </c>
      <c r="E327" s="2" t="str">
        <f t="shared" si="2"/>
        <v>92710 mzsfcvgv.cdd</v>
      </c>
      <c r="F327" s="2">
        <f>IFERROR(__xludf.DUMMYFUNCTION("SPLIT(E327,"" "")"),92710.0)</f>
        <v>92710</v>
      </c>
      <c r="G327" s="2" t="str">
        <f>IFERROR(__xludf.DUMMYFUNCTION("""COMPUTED_VALUE"""),"mzsfcvgv.cdd")</f>
        <v>mzsfcvgv.cdd</v>
      </c>
      <c r="I327" s="2" t="str">
        <f t="shared" si="3"/>
        <v>92710 mzsfcvgv.cdd</v>
      </c>
      <c r="J327" s="2">
        <f>IFERROR(__xludf.DUMMYFUNCTION("SPLIT(I327,"" "")"),92710.0)</f>
        <v>92710</v>
      </c>
      <c r="K327" s="2" t="str">
        <f>IFERROR(__xludf.DUMMYFUNCTION("""COMPUTED_VALUE"""),"mzsfcvgv.cdd")</f>
        <v>mzsfcvgv.cdd</v>
      </c>
      <c r="M327" s="2" t="b">
        <f t="shared" si="4"/>
        <v>1</v>
      </c>
      <c r="N327" s="2">
        <f>IFERROR(__xludf.DUMMYFUNCTION("IF(AND(REGEXMATCH($G$4, ""cd""),M327),N326+J327)"),322468.0)</f>
        <v>322468</v>
      </c>
      <c r="O327" s="2" t="str">
        <f t="shared" si="5"/>
        <v>#N/A</v>
      </c>
    </row>
    <row r="328">
      <c r="A328" s="1" t="s">
        <v>202</v>
      </c>
      <c r="B328" s="2" t="str">
        <f t="shared" si="1"/>
        <v>#VALUE!</v>
      </c>
      <c r="C328" s="2" t="str">
        <f>IFERROR(__xludf.DUMMYFUNCTION("SPLIT(B328,"" "")"),"#VALUE!")</f>
        <v>#VALUE!</v>
      </c>
      <c r="E328" s="2" t="str">
        <f t="shared" si="2"/>
        <v>#VALUE!</v>
      </c>
      <c r="F328" s="2" t="str">
        <f>IFERROR(__xludf.DUMMYFUNCTION("SPLIT(E328,"" "")"),"#VALUE!")</f>
        <v>#VALUE!</v>
      </c>
      <c r="I328" s="2" t="str">
        <f t="shared" si="3"/>
        <v>79954 stjtn.gft</v>
      </c>
      <c r="J328" s="2">
        <f>IFERROR(__xludf.DUMMYFUNCTION("SPLIT(I328,"" "")"),79954.0)</f>
        <v>79954</v>
      </c>
      <c r="K328" s="2" t="str">
        <f>IFERROR(__xludf.DUMMYFUNCTION("""COMPUTED_VALUE"""),"stjtn.gft")</f>
        <v>stjtn.gft</v>
      </c>
      <c r="M328" s="2" t="b">
        <f t="shared" si="4"/>
        <v>1</v>
      </c>
      <c r="N328" s="2">
        <f>IFERROR(__xludf.DUMMYFUNCTION("IF(AND(REGEXMATCH($G$4, ""cd""),M328),N327+J328)"),402422.0)</f>
        <v>402422</v>
      </c>
      <c r="O328" s="2" t="str">
        <f t="shared" si="5"/>
        <v>#N/A</v>
      </c>
    </row>
    <row r="329">
      <c r="A329" s="1" t="s">
        <v>203</v>
      </c>
      <c r="B329" s="2" t="str">
        <f t="shared" si="1"/>
        <v>#VALUE!</v>
      </c>
      <c r="C329" s="2" t="str">
        <f>IFERROR(__xludf.DUMMYFUNCTION("SPLIT(B329,"" "")"),"#VALUE!")</f>
        <v>#VALUE!</v>
      </c>
      <c r="E329" s="2" t="str">
        <f t="shared" si="2"/>
        <v>#VALUE!</v>
      </c>
      <c r="F329" s="2" t="str">
        <f>IFERROR(__xludf.DUMMYFUNCTION("SPLIT(E329,"" "")"),"#VALUE!")</f>
        <v>#VALUE!</v>
      </c>
      <c r="I329" s="2" t="str">
        <f t="shared" si="3"/>
        <v>89831 zbdp.gqb</v>
      </c>
      <c r="J329" s="2">
        <f>IFERROR(__xludf.DUMMYFUNCTION("SPLIT(I329,"" "")"),89831.0)</f>
        <v>89831</v>
      </c>
      <c r="K329" s="2" t="str">
        <f>IFERROR(__xludf.DUMMYFUNCTION("""COMPUTED_VALUE"""),"zbdp.gqb")</f>
        <v>zbdp.gqb</v>
      </c>
      <c r="M329" s="2" t="b">
        <f t="shared" si="4"/>
        <v>1</v>
      </c>
      <c r="N329" s="2">
        <f>IFERROR(__xludf.DUMMYFUNCTION("IF(AND(REGEXMATCH($G$4, ""cd""),M329),N328+J329)"),492253.0)</f>
        <v>492253</v>
      </c>
      <c r="O329" s="2" t="str">
        <f t="shared" si="5"/>
        <v>#N/A</v>
      </c>
    </row>
    <row r="330">
      <c r="A330" s="1" t="s">
        <v>17</v>
      </c>
      <c r="B330" s="2" t="str">
        <f t="shared" si="1"/>
        <v>#VALUE!</v>
      </c>
      <c r="C330" s="2" t="str">
        <f>IFERROR(__xludf.DUMMYFUNCTION("SPLIT(B330,"" "")"),"#VALUE!")</f>
        <v>#VALUE!</v>
      </c>
      <c r="E330" s="2" t="str">
        <f t="shared" si="2"/>
        <v>$ cd ..</v>
      </c>
      <c r="F330" s="2" t="str">
        <f>IFERROR(__xludf.DUMMYFUNCTION("SPLIT(E330,"" "")"),"$")</f>
        <v>$</v>
      </c>
      <c r="G330" s="2" t="str">
        <f>IFERROR(__xludf.DUMMYFUNCTION("""COMPUTED_VALUE"""),"cd")</f>
        <v>cd</v>
      </c>
      <c r="H330" s="2" t="str">
        <f>IFERROR(__xludf.DUMMYFUNCTION("""COMPUTED_VALUE"""),"..")</f>
        <v>..</v>
      </c>
      <c r="I330" s="2" t="str">
        <f t="shared" si="3"/>
        <v>$ cd ..</v>
      </c>
      <c r="J330" s="2" t="str">
        <f>IFERROR(__xludf.DUMMYFUNCTION("SPLIT(I330,"" "")"),"$")</f>
        <v>$</v>
      </c>
      <c r="K330" s="2" t="str">
        <f>IFERROR(__xludf.DUMMYFUNCTION("""COMPUTED_VALUE"""),"cd")</f>
        <v>cd</v>
      </c>
      <c r="L330" s="2" t="str">
        <f>IFERROR(__xludf.DUMMYFUNCTION("""COMPUTED_VALUE"""),"..")</f>
        <v>..</v>
      </c>
      <c r="M330" s="2" t="b">
        <f t="shared" si="4"/>
        <v>0</v>
      </c>
      <c r="N330" s="2" t="b">
        <f>IFERROR(__xludf.DUMMYFUNCTION("IF(AND(REGEXMATCH($G$4, ""cd""),M330),N329+J330)"),FALSE)</f>
        <v>0</v>
      </c>
      <c r="O330" s="2" t="str">
        <f t="shared" si="5"/>
        <v>#N/A</v>
      </c>
    </row>
    <row r="331">
      <c r="A331" s="1" t="s">
        <v>204</v>
      </c>
      <c r="B331" s="2" t="str">
        <f t="shared" si="1"/>
        <v>#VALUE!</v>
      </c>
      <c r="C331" s="2" t="str">
        <f>IFERROR(__xludf.DUMMYFUNCTION("SPLIT(B331,"" "")"),"#VALUE!")</f>
        <v>#VALUE!</v>
      </c>
      <c r="E331" s="2" t="str">
        <f t="shared" si="2"/>
        <v>$ cd npr</v>
      </c>
      <c r="F331" s="2" t="str">
        <f>IFERROR(__xludf.DUMMYFUNCTION("SPLIT(E331,"" "")"),"$")</f>
        <v>$</v>
      </c>
      <c r="G331" s="2" t="str">
        <f>IFERROR(__xludf.DUMMYFUNCTION("""COMPUTED_VALUE"""),"cd")</f>
        <v>cd</v>
      </c>
      <c r="H331" s="2" t="str">
        <f>IFERROR(__xludf.DUMMYFUNCTION("""COMPUTED_VALUE"""),"npr")</f>
        <v>npr</v>
      </c>
      <c r="I331" s="2" t="str">
        <f t="shared" si="3"/>
        <v>#VALUE!</v>
      </c>
      <c r="J331" s="2" t="str">
        <f>IFERROR(__xludf.DUMMYFUNCTION("SPLIT(I331,"" "")"),"#VALUE!")</f>
        <v>#VALUE!</v>
      </c>
      <c r="M331" s="2" t="b">
        <f t="shared" si="4"/>
        <v>0</v>
      </c>
      <c r="N331" s="2" t="b">
        <f>IFERROR(__xludf.DUMMYFUNCTION("IF(AND(REGEXMATCH($G$4, ""cd""),M331),N330+J331)"),FALSE)</f>
        <v>0</v>
      </c>
      <c r="O331" s="2" t="str">
        <f t="shared" si="5"/>
        <v>#N/A</v>
      </c>
    </row>
    <row r="332">
      <c r="A332" s="1" t="s">
        <v>2</v>
      </c>
      <c r="B332" s="2" t="str">
        <f t="shared" si="1"/>
        <v>#VALUE!</v>
      </c>
      <c r="C332" s="2" t="str">
        <f>IFERROR(__xludf.DUMMYFUNCTION("SPLIT(B332,"" "")"),"#VALUE!")</f>
        <v>#VALUE!</v>
      </c>
      <c r="E332" s="2" t="str">
        <f t="shared" si="2"/>
        <v>#VALUE!</v>
      </c>
      <c r="F332" s="2" t="str">
        <f>IFERROR(__xludf.DUMMYFUNCTION("SPLIT(E332,"" "")"),"#VALUE!")</f>
        <v>#VALUE!</v>
      </c>
      <c r="I332" s="2" t="str">
        <f t="shared" si="3"/>
        <v>#VALUE!</v>
      </c>
      <c r="J332" s="2" t="str">
        <f>IFERROR(__xludf.DUMMYFUNCTION("SPLIT(I332,"" "")"),"#VALUE!")</f>
        <v>#VALUE!</v>
      </c>
      <c r="M332" s="2" t="b">
        <f t="shared" si="4"/>
        <v>0</v>
      </c>
      <c r="N332" s="2" t="b">
        <f>IFERROR(__xludf.DUMMYFUNCTION("IF(AND(REGEXMATCH($G$4, ""cd""),M332),N331+J332)"),FALSE)</f>
        <v>0</v>
      </c>
      <c r="O332" s="2" t="str">
        <f t="shared" si="5"/>
        <v>#N/A</v>
      </c>
    </row>
    <row r="333">
      <c r="A333" s="1" t="s">
        <v>205</v>
      </c>
      <c r="B333" s="2" t="str">
        <f t="shared" si="1"/>
        <v>#VALUE!</v>
      </c>
      <c r="C333" s="2" t="str">
        <f>IFERROR(__xludf.DUMMYFUNCTION("SPLIT(B333,"" "")"),"#VALUE!")</f>
        <v>#VALUE!</v>
      </c>
      <c r="E333" s="2" t="str">
        <f t="shared" si="2"/>
        <v>#VALUE!</v>
      </c>
      <c r="F333" s="2" t="str">
        <f>IFERROR(__xludf.DUMMYFUNCTION("SPLIT(E333,"" "")"),"#VALUE!")</f>
        <v>#VALUE!</v>
      </c>
      <c r="I333" s="2" t="str">
        <f t="shared" si="3"/>
        <v>52767 hlvpfw.rqb</v>
      </c>
      <c r="J333" s="2">
        <f>IFERROR(__xludf.DUMMYFUNCTION("SPLIT(I333,"" "")"),52767.0)</f>
        <v>52767</v>
      </c>
      <c r="K333" s="2" t="str">
        <f>IFERROR(__xludf.DUMMYFUNCTION("""COMPUTED_VALUE"""),"hlvpfw.rqb")</f>
        <v>hlvpfw.rqb</v>
      </c>
      <c r="M333" s="2" t="b">
        <f t="shared" si="4"/>
        <v>1</v>
      </c>
      <c r="N333" s="2">
        <f>IFERROR(__xludf.DUMMYFUNCTION("IF(AND(REGEXMATCH($G$4, ""cd""),M333),N332+J333)"),52767.0)</f>
        <v>52767</v>
      </c>
      <c r="O333" s="2" t="str">
        <f t="shared" si="5"/>
        <v>#N/A</v>
      </c>
    </row>
    <row r="334">
      <c r="A334" s="1" t="s">
        <v>206</v>
      </c>
      <c r="B334" s="2" t="str">
        <f t="shared" si="1"/>
        <v>dir nrbjzvgq</v>
      </c>
      <c r="C334" s="2" t="str">
        <f>IFERROR(__xludf.DUMMYFUNCTION("SPLIT(B334,"" "")"),"dir")</f>
        <v>dir</v>
      </c>
      <c r="D334" s="2" t="str">
        <f>IFERROR(__xludf.DUMMYFUNCTION("""COMPUTED_VALUE"""),"nrbjzvgq")</f>
        <v>nrbjzvgq</v>
      </c>
      <c r="E334" s="2" t="str">
        <f t="shared" si="2"/>
        <v>#VALUE!</v>
      </c>
      <c r="F334" s="2" t="str">
        <f>IFERROR(__xludf.DUMMYFUNCTION("SPLIT(E334,"" "")"),"#VALUE!")</f>
        <v>#VALUE!</v>
      </c>
      <c r="I334" s="2" t="str">
        <f t="shared" si="3"/>
        <v>#VALUE!</v>
      </c>
      <c r="J334" s="2" t="str">
        <f>IFERROR(__xludf.DUMMYFUNCTION("SPLIT(I334,"" "")"),"#VALUE!")</f>
        <v>#VALUE!</v>
      </c>
      <c r="M334" s="2" t="b">
        <f t="shared" si="4"/>
        <v>0</v>
      </c>
      <c r="N334" s="2" t="b">
        <f>IFERROR(__xludf.DUMMYFUNCTION("IF(AND(REGEXMATCH($G$4, ""cd""),M334),N333+J334)"),FALSE)</f>
        <v>0</v>
      </c>
      <c r="O334" s="2" t="str">
        <f t="shared" si="5"/>
        <v>#N/A</v>
      </c>
    </row>
    <row r="335">
      <c r="A335" s="1" t="s">
        <v>207</v>
      </c>
      <c r="B335" s="2" t="str">
        <f t="shared" si="1"/>
        <v>#VALUE!</v>
      </c>
      <c r="C335" s="2" t="str">
        <f>IFERROR(__xludf.DUMMYFUNCTION("SPLIT(B335,"" "")"),"#VALUE!")</f>
        <v>#VALUE!</v>
      </c>
      <c r="E335" s="2" t="str">
        <f t="shared" si="2"/>
        <v>#VALUE!</v>
      </c>
      <c r="F335" s="2" t="str">
        <f>IFERROR(__xludf.DUMMYFUNCTION("SPLIT(E335,"" "")"),"#VALUE!")</f>
        <v>#VALUE!</v>
      </c>
      <c r="I335" s="2" t="str">
        <f t="shared" si="3"/>
        <v>270579 pbsq.msg</v>
      </c>
      <c r="J335" s="2">
        <f>IFERROR(__xludf.DUMMYFUNCTION("SPLIT(I335,"" "")"),270579.0)</f>
        <v>270579</v>
      </c>
      <c r="K335" s="2" t="str">
        <f>IFERROR(__xludf.DUMMYFUNCTION("""COMPUTED_VALUE"""),"pbsq.msg")</f>
        <v>pbsq.msg</v>
      </c>
      <c r="M335" s="2" t="b">
        <f t="shared" si="4"/>
        <v>1</v>
      </c>
      <c r="N335" s="2">
        <f>IFERROR(__xludf.DUMMYFUNCTION("IF(AND(REGEXMATCH($G$4, ""cd""),M335),N334+J335)"),270579.0)</f>
        <v>270579</v>
      </c>
      <c r="O335" s="2" t="str">
        <f t="shared" si="5"/>
        <v>#N/A</v>
      </c>
    </row>
    <row r="336">
      <c r="A336" s="1" t="s">
        <v>208</v>
      </c>
      <c r="B336" s="2" t="str">
        <f t="shared" si="1"/>
        <v>#VALUE!</v>
      </c>
      <c r="C336" s="2" t="str">
        <f>IFERROR(__xludf.DUMMYFUNCTION("SPLIT(B336,"" "")"),"#VALUE!")</f>
        <v>#VALUE!</v>
      </c>
      <c r="E336" s="2" t="str">
        <f t="shared" si="2"/>
        <v>#VALUE!</v>
      </c>
      <c r="F336" s="2" t="str">
        <f>IFERROR(__xludf.DUMMYFUNCTION("SPLIT(E336,"" "")"),"#VALUE!")</f>
        <v>#VALUE!</v>
      </c>
      <c r="I336" s="2" t="str">
        <f t="shared" si="3"/>
        <v>240181 slfdb.bqt</v>
      </c>
      <c r="J336" s="2">
        <f>IFERROR(__xludf.DUMMYFUNCTION("SPLIT(I336,"" "")"),240181.0)</f>
        <v>240181</v>
      </c>
      <c r="K336" s="2" t="str">
        <f>IFERROR(__xludf.DUMMYFUNCTION("""COMPUTED_VALUE"""),"slfdb.bqt")</f>
        <v>slfdb.bqt</v>
      </c>
      <c r="M336" s="2" t="b">
        <f t="shared" si="4"/>
        <v>1</v>
      </c>
      <c r="N336" s="2">
        <f>IFERROR(__xludf.DUMMYFUNCTION("IF(AND(REGEXMATCH($G$4, ""cd""),M336),N335+J336)"),510760.0)</f>
        <v>510760</v>
      </c>
      <c r="O336" s="2" t="str">
        <f t="shared" si="5"/>
        <v>#N/A</v>
      </c>
    </row>
    <row r="337">
      <c r="A337" s="1" t="s">
        <v>209</v>
      </c>
      <c r="B337" s="2" t="str">
        <f t="shared" si="1"/>
        <v>dir znbwnh</v>
      </c>
      <c r="C337" s="2" t="str">
        <f>IFERROR(__xludf.DUMMYFUNCTION("SPLIT(B337,"" "")"),"dir")</f>
        <v>dir</v>
      </c>
      <c r="D337" s="2" t="str">
        <f>IFERROR(__xludf.DUMMYFUNCTION("""COMPUTED_VALUE"""),"znbwnh")</f>
        <v>znbwnh</v>
      </c>
      <c r="E337" s="2" t="str">
        <f t="shared" si="2"/>
        <v>#VALUE!</v>
      </c>
      <c r="F337" s="2" t="str">
        <f>IFERROR(__xludf.DUMMYFUNCTION("SPLIT(E337,"" "")"),"#VALUE!")</f>
        <v>#VALUE!</v>
      </c>
      <c r="I337" s="2" t="str">
        <f t="shared" si="3"/>
        <v>#VALUE!</v>
      </c>
      <c r="J337" s="2" t="str">
        <f>IFERROR(__xludf.DUMMYFUNCTION("SPLIT(I337,"" "")"),"#VALUE!")</f>
        <v>#VALUE!</v>
      </c>
      <c r="M337" s="2" t="b">
        <f t="shared" si="4"/>
        <v>0</v>
      </c>
      <c r="N337" s="2" t="b">
        <f>IFERROR(__xludf.DUMMYFUNCTION("IF(AND(REGEXMATCH($G$4, ""cd""),M337),N336+J337)"),FALSE)</f>
        <v>0</v>
      </c>
      <c r="O337" s="2" t="str">
        <f t="shared" si="5"/>
        <v>#N/A</v>
      </c>
    </row>
    <row r="338">
      <c r="A338" s="1" t="s">
        <v>210</v>
      </c>
      <c r="B338" s="2" t="str">
        <f t="shared" si="1"/>
        <v>#VALUE!</v>
      </c>
      <c r="C338" s="2" t="str">
        <f>IFERROR(__xludf.DUMMYFUNCTION("SPLIT(B338,"" "")"),"#VALUE!")</f>
        <v>#VALUE!</v>
      </c>
      <c r="E338" s="2" t="str">
        <f t="shared" si="2"/>
        <v>$ cd nrbjzvgq</v>
      </c>
      <c r="F338" s="2" t="str">
        <f>IFERROR(__xludf.DUMMYFUNCTION("SPLIT(E338,"" "")"),"$")</f>
        <v>$</v>
      </c>
      <c r="G338" s="2" t="str">
        <f>IFERROR(__xludf.DUMMYFUNCTION("""COMPUTED_VALUE"""),"cd")</f>
        <v>cd</v>
      </c>
      <c r="H338" s="2" t="str">
        <f>IFERROR(__xludf.DUMMYFUNCTION("""COMPUTED_VALUE"""),"nrbjzvgq")</f>
        <v>nrbjzvgq</v>
      </c>
      <c r="I338" s="2" t="str">
        <f t="shared" si="3"/>
        <v>#VALUE!</v>
      </c>
      <c r="J338" s="2" t="str">
        <f>IFERROR(__xludf.DUMMYFUNCTION("SPLIT(I338,"" "")"),"#VALUE!")</f>
        <v>#VALUE!</v>
      </c>
      <c r="M338" s="2" t="b">
        <f t="shared" si="4"/>
        <v>0</v>
      </c>
      <c r="N338" s="2" t="b">
        <f>IFERROR(__xludf.DUMMYFUNCTION("IF(AND(REGEXMATCH($G$4, ""cd""),M338),N337+J338)"),FALSE)</f>
        <v>0</v>
      </c>
      <c r="O338" s="2" t="str">
        <f t="shared" si="5"/>
        <v>#N/A</v>
      </c>
    </row>
    <row r="339">
      <c r="A339" s="1" t="s">
        <v>2</v>
      </c>
      <c r="B339" s="2" t="str">
        <f t="shared" si="1"/>
        <v>#VALUE!</v>
      </c>
      <c r="C339" s="2" t="str">
        <f>IFERROR(__xludf.DUMMYFUNCTION("SPLIT(B339,"" "")"),"#VALUE!")</f>
        <v>#VALUE!</v>
      </c>
      <c r="E339" s="2" t="str">
        <f t="shared" si="2"/>
        <v>#VALUE!</v>
      </c>
      <c r="F339" s="2" t="str">
        <f>IFERROR(__xludf.DUMMYFUNCTION("SPLIT(E339,"" "")"),"#VALUE!")</f>
        <v>#VALUE!</v>
      </c>
      <c r="I339" s="2" t="str">
        <f t="shared" si="3"/>
        <v>#VALUE!</v>
      </c>
      <c r="J339" s="2" t="str">
        <f>IFERROR(__xludf.DUMMYFUNCTION("SPLIT(I339,"" "")"),"#VALUE!")</f>
        <v>#VALUE!</v>
      </c>
      <c r="M339" s="2" t="b">
        <f t="shared" si="4"/>
        <v>0</v>
      </c>
      <c r="N339" s="2" t="b">
        <f>IFERROR(__xludf.DUMMYFUNCTION("IF(AND(REGEXMATCH($G$4, ""cd""),M339),N338+J339)"),FALSE)</f>
        <v>0</v>
      </c>
      <c r="O339" s="2" t="str">
        <f t="shared" si="5"/>
        <v>#N/A</v>
      </c>
    </row>
    <row r="340">
      <c r="A340" s="1" t="s">
        <v>211</v>
      </c>
      <c r="B340" s="2" t="str">
        <f t="shared" si="1"/>
        <v>#VALUE!</v>
      </c>
      <c r="C340" s="2" t="str">
        <f>IFERROR(__xludf.DUMMYFUNCTION("SPLIT(B340,"" "")"),"#VALUE!")</f>
        <v>#VALUE!</v>
      </c>
      <c r="E340" s="2" t="str">
        <f t="shared" si="2"/>
        <v>#VALUE!</v>
      </c>
      <c r="F340" s="2" t="str">
        <f>IFERROR(__xludf.DUMMYFUNCTION("SPLIT(E340,"" "")"),"#VALUE!")</f>
        <v>#VALUE!</v>
      </c>
      <c r="I340" s="2" t="str">
        <f t="shared" si="3"/>
        <v>#VALUE!</v>
      </c>
      <c r="J340" s="2" t="str">
        <f>IFERROR(__xludf.DUMMYFUNCTION("SPLIT(I340,"" "")"),"#VALUE!")</f>
        <v>#VALUE!</v>
      </c>
      <c r="M340" s="2" t="b">
        <f t="shared" si="4"/>
        <v>0</v>
      </c>
      <c r="N340" s="2" t="b">
        <f>IFERROR(__xludf.DUMMYFUNCTION("IF(AND(REGEXMATCH($G$4, ""cd""),M340),N339+J340)"),FALSE)</f>
        <v>0</v>
      </c>
      <c r="O340" s="2" t="str">
        <f t="shared" si="5"/>
        <v>#N/A</v>
      </c>
    </row>
    <row r="341">
      <c r="A341" s="1" t="s">
        <v>212</v>
      </c>
      <c r="B341" s="2" t="str">
        <f t="shared" si="1"/>
        <v>#VALUE!</v>
      </c>
      <c r="C341" s="2" t="str">
        <f>IFERROR(__xludf.DUMMYFUNCTION("SPLIT(B341,"" "")"),"#VALUE!")</f>
        <v>#VALUE!</v>
      </c>
      <c r="E341" s="2" t="str">
        <f t="shared" si="2"/>
        <v>#VALUE!</v>
      </c>
      <c r="F341" s="2" t="str">
        <f>IFERROR(__xludf.DUMMYFUNCTION("SPLIT(E341,"" "")"),"#VALUE!")</f>
        <v>#VALUE!</v>
      </c>
      <c r="I341" s="2" t="str">
        <f t="shared" si="3"/>
        <v>229608 dhrjnvtt.lvm</v>
      </c>
      <c r="J341" s="2">
        <f>IFERROR(__xludf.DUMMYFUNCTION("SPLIT(I341,"" "")"),229608.0)</f>
        <v>229608</v>
      </c>
      <c r="K341" s="2" t="str">
        <f>IFERROR(__xludf.DUMMYFUNCTION("""COMPUTED_VALUE"""),"dhrjnvtt.lvm")</f>
        <v>dhrjnvtt.lvm</v>
      </c>
      <c r="M341" s="2" t="b">
        <f t="shared" si="4"/>
        <v>1</v>
      </c>
      <c r="N341" s="2">
        <f>IFERROR(__xludf.DUMMYFUNCTION("IF(AND(REGEXMATCH($G$4, ""cd""),M341),N340+J341)"),229608.0)</f>
        <v>229608</v>
      </c>
      <c r="O341" s="2" t="str">
        <f t="shared" si="5"/>
        <v>#N/A</v>
      </c>
    </row>
    <row r="342">
      <c r="A342" s="1" t="s">
        <v>213</v>
      </c>
      <c r="B342" s="2" t="str">
        <f t="shared" si="1"/>
        <v>#VALUE!</v>
      </c>
      <c r="C342" s="2" t="str">
        <f>IFERROR(__xludf.DUMMYFUNCTION("SPLIT(B342,"" "")"),"#VALUE!")</f>
        <v>#VALUE!</v>
      </c>
      <c r="E342" s="2" t="str">
        <f t="shared" si="2"/>
        <v>#VALUE!</v>
      </c>
      <c r="F342" s="2" t="str">
        <f>IFERROR(__xludf.DUMMYFUNCTION("SPLIT(E342,"" "")"),"#VALUE!")</f>
        <v>#VALUE!</v>
      </c>
      <c r="I342" s="2" t="str">
        <f t="shared" si="3"/>
        <v>#VALUE!</v>
      </c>
      <c r="J342" s="2" t="str">
        <f>IFERROR(__xludf.DUMMYFUNCTION("SPLIT(I342,"" "")"),"#VALUE!")</f>
        <v>#VALUE!</v>
      </c>
      <c r="M342" s="2" t="b">
        <f t="shared" si="4"/>
        <v>0</v>
      </c>
      <c r="N342" s="2" t="b">
        <f>IFERROR(__xludf.DUMMYFUNCTION("IF(AND(REGEXMATCH($G$4, ""cd""),M342),N341+J342)"),FALSE)</f>
        <v>0</v>
      </c>
      <c r="O342" s="2" t="str">
        <f t="shared" si="5"/>
        <v>#N/A</v>
      </c>
    </row>
    <row r="343">
      <c r="A343" s="1" t="s">
        <v>46</v>
      </c>
      <c r="B343" s="2" t="str">
        <f t="shared" si="1"/>
        <v>dir zcgrgff</v>
      </c>
      <c r="C343" s="2" t="str">
        <f>IFERROR(__xludf.DUMMYFUNCTION("SPLIT(B343,"" "")"),"dir")</f>
        <v>dir</v>
      </c>
      <c r="D343" s="2" t="str">
        <f>IFERROR(__xludf.DUMMYFUNCTION("""COMPUTED_VALUE"""),"zcgrgff")</f>
        <v>zcgrgff</v>
      </c>
      <c r="E343" s="2" t="str">
        <f t="shared" si="2"/>
        <v>#VALUE!</v>
      </c>
      <c r="F343" s="2" t="str">
        <f>IFERROR(__xludf.DUMMYFUNCTION("SPLIT(E343,"" "")"),"#VALUE!")</f>
        <v>#VALUE!</v>
      </c>
      <c r="I343" s="2" t="str">
        <f t="shared" si="3"/>
        <v>#VALUE!</v>
      </c>
      <c r="J343" s="2" t="str">
        <f>IFERROR(__xludf.DUMMYFUNCTION("SPLIT(I343,"" "")"),"#VALUE!")</f>
        <v>#VALUE!</v>
      </c>
      <c r="M343" s="2" t="b">
        <f t="shared" si="4"/>
        <v>0</v>
      </c>
      <c r="N343" s="2" t="b">
        <f>IFERROR(__xludf.DUMMYFUNCTION("IF(AND(REGEXMATCH($G$4, ""cd""),M343),N342+J343)"),FALSE)</f>
        <v>0</v>
      </c>
      <c r="O343" s="2" t="str">
        <f t="shared" si="5"/>
        <v>#N/A</v>
      </c>
    </row>
    <row r="344">
      <c r="A344" s="1" t="s">
        <v>63</v>
      </c>
      <c r="B344" s="2" t="str">
        <f t="shared" si="1"/>
        <v>#VALUE!</v>
      </c>
      <c r="C344" s="2" t="str">
        <f>IFERROR(__xludf.DUMMYFUNCTION("SPLIT(B344,"" "")"),"#VALUE!")</f>
        <v>#VALUE!</v>
      </c>
      <c r="E344" s="2" t="str">
        <f t="shared" si="2"/>
        <v>$ cd zcgrgff</v>
      </c>
      <c r="F344" s="2" t="str">
        <f>IFERROR(__xludf.DUMMYFUNCTION("SPLIT(E344,"" "")"),"$")</f>
        <v>$</v>
      </c>
      <c r="G344" s="2" t="str">
        <f>IFERROR(__xludf.DUMMYFUNCTION("""COMPUTED_VALUE"""),"cd")</f>
        <v>cd</v>
      </c>
      <c r="H344" s="2" t="str">
        <f>IFERROR(__xludf.DUMMYFUNCTION("""COMPUTED_VALUE"""),"zcgrgff")</f>
        <v>zcgrgff</v>
      </c>
      <c r="I344" s="2" t="str">
        <f t="shared" si="3"/>
        <v>#VALUE!</v>
      </c>
      <c r="J344" s="2" t="str">
        <f>IFERROR(__xludf.DUMMYFUNCTION("SPLIT(I344,"" "")"),"#VALUE!")</f>
        <v>#VALUE!</v>
      </c>
      <c r="M344" s="2" t="b">
        <f t="shared" si="4"/>
        <v>0</v>
      </c>
      <c r="N344" s="2" t="b">
        <f>IFERROR(__xludf.DUMMYFUNCTION("IF(AND(REGEXMATCH($G$4, ""cd""),M344),N343+J344)"),FALSE)</f>
        <v>0</v>
      </c>
      <c r="O344" s="2" t="str">
        <f t="shared" si="5"/>
        <v>#N/A</v>
      </c>
    </row>
    <row r="345">
      <c r="A345" s="1" t="s">
        <v>2</v>
      </c>
      <c r="B345" s="2" t="str">
        <f t="shared" si="1"/>
        <v>#VALUE!</v>
      </c>
      <c r="C345" s="2" t="str">
        <f>IFERROR(__xludf.DUMMYFUNCTION("SPLIT(B345,"" "")"),"#VALUE!")</f>
        <v>#VALUE!</v>
      </c>
      <c r="E345" s="2" t="str">
        <f t="shared" si="2"/>
        <v>#VALUE!</v>
      </c>
      <c r="F345" s="2" t="str">
        <f>IFERROR(__xludf.DUMMYFUNCTION("SPLIT(E345,"" "")"),"#VALUE!")</f>
        <v>#VALUE!</v>
      </c>
      <c r="I345" s="2" t="str">
        <f t="shared" si="3"/>
        <v>#VALUE!</v>
      </c>
      <c r="J345" s="2" t="str">
        <f>IFERROR(__xludf.DUMMYFUNCTION("SPLIT(I345,"" "")"),"#VALUE!")</f>
        <v>#VALUE!</v>
      </c>
      <c r="M345" s="2" t="b">
        <f t="shared" si="4"/>
        <v>0</v>
      </c>
      <c r="N345" s="2" t="b">
        <f>IFERROR(__xludf.DUMMYFUNCTION("IF(AND(REGEXMATCH($G$4, ""cd""),M345),N344+J345)"),FALSE)</f>
        <v>0</v>
      </c>
      <c r="O345" s="2" t="str">
        <f t="shared" si="5"/>
        <v>#N/A</v>
      </c>
    </row>
    <row r="346">
      <c r="A346" s="1" t="s">
        <v>214</v>
      </c>
      <c r="B346" s="2" t="str">
        <f t="shared" si="1"/>
        <v>#VALUE!</v>
      </c>
      <c r="C346" s="2" t="str">
        <f>IFERROR(__xludf.DUMMYFUNCTION("SPLIT(B346,"" "")"),"#VALUE!")</f>
        <v>#VALUE!</v>
      </c>
      <c r="E346" s="2" t="str">
        <f t="shared" si="2"/>
        <v>#VALUE!</v>
      </c>
      <c r="F346" s="2" t="str">
        <f>IFERROR(__xludf.DUMMYFUNCTION("SPLIT(E346,"" "")"),"#VALUE!")</f>
        <v>#VALUE!</v>
      </c>
      <c r="I346" s="2" t="str">
        <f t="shared" si="3"/>
        <v>124604 hlvpfw.mlw</v>
      </c>
      <c r="J346" s="2">
        <f>IFERROR(__xludf.DUMMYFUNCTION("SPLIT(I346,"" "")"),124604.0)</f>
        <v>124604</v>
      </c>
      <c r="K346" s="2" t="str">
        <f>IFERROR(__xludf.DUMMYFUNCTION("""COMPUTED_VALUE"""),"hlvpfw.mlw")</f>
        <v>hlvpfw.mlw</v>
      </c>
      <c r="M346" s="2" t="b">
        <f t="shared" si="4"/>
        <v>1</v>
      </c>
      <c r="N346" s="2">
        <f>IFERROR(__xludf.DUMMYFUNCTION("IF(AND(REGEXMATCH($G$4, ""cd""),M346),N345+J346)"),124604.0)</f>
        <v>124604</v>
      </c>
      <c r="O346" s="2" t="str">
        <f t="shared" si="5"/>
        <v>#N/A</v>
      </c>
    </row>
    <row r="347">
      <c r="A347" s="1" t="s">
        <v>17</v>
      </c>
      <c r="B347" s="2" t="str">
        <f t="shared" si="1"/>
        <v>#VALUE!</v>
      </c>
      <c r="C347" s="2" t="str">
        <f>IFERROR(__xludf.DUMMYFUNCTION("SPLIT(B347,"" "")"),"#VALUE!")</f>
        <v>#VALUE!</v>
      </c>
      <c r="E347" s="2" t="str">
        <f t="shared" si="2"/>
        <v>$ cd ..</v>
      </c>
      <c r="F347" s="2" t="str">
        <f>IFERROR(__xludf.DUMMYFUNCTION("SPLIT(E347,"" "")"),"$")</f>
        <v>$</v>
      </c>
      <c r="G347" s="2" t="str">
        <f>IFERROR(__xludf.DUMMYFUNCTION("""COMPUTED_VALUE"""),"cd")</f>
        <v>cd</v>
      </c>
      <c r="H347" s="2" t="str">
        <f>IFERROR(__xludf.DUMMYFUNCTION("""COMPUTED_VALUE"""),"..")</f>
        <v>..</v>
      </c>
      <c r="I347" s="2" t="str">
        <f t="shared" si="3"/>
        <v>$ cd ..</v>
      </c>
      <c r="J347" s="2" t="str">
        <f>IFERROR(__xludf.DUMMYFUNCTION("SPLIT(I347,"" "")"),"$")</f>
        <v>$</v>
      </c>
      <c r="K347" s="2" t="str">
        <f>IFERROR(__xludf.DUMMYFUNCTION("""COMPUTED_VALUE"""),"cd")</f>
        <v>cd</v>
      </c>
      <c r="L347" s="2" t="str">
        <f>IFERROR(__xludf.DUMMYFUNCTION("""COMPUTED_VALUE"""),"..")</f>
        <v>..</v>
      </c>
      <c r="M347" s="2" t="b">
        <f t="shared" si="4"/>
        <v>0</v>
      </c>
      <c r="N347" s="2" t="b">
        <f>IFERROR(__xludf.DUMMYFUNCTION("IF(AND(REGEXMATCH($G$4, ""cd""),M347),N346+J347)"),FALSE)</f>
        <v>0</v>
      </c>
      <c r="O347" s="2" t="str">
        <f t="shared" si="5"/>
        <v>#N/A</v>
      </c>
    </row>
    <row r="348">
      <c r="A348" s="1" t="s">
        <v>17</v>
      </c>
      <c r="B348" s="2" t="str">
        <f t="shared" si="1"/>
        <v>#VALUE!</v>
      </c>
      <c r="C348" s="2" t="str">
        <f>IFERROR(__xludf.DUMMYFUNCTION("SPLIT(B348,"" "")"),"#VALUE!")</f>
        <v>#VALUE!</v>
      </c>
      <c r="E348" s="2" t="str">
        <f t="shared" si="2"/>
        <v>$ cd ..</v>
      </c>
      <c r="F348" s="2" t="str">
        <f>IFERROR(__xludf.DUMMYFUNCTION("SPLIT(E348,"" "")"),"$")</f>
        <v>$</v>
      </c>
      <c r="G348" s="2" t="str">
        <f>IFERROR(__xludf.DUMMYFUNCTION("""COMPUTED_VALUE"""),"cd")</f>
        <v>cd</v>
      </c>
      <c r="H348" s="2" t="str">
        <f>IFERROR(__xludf.DUMMYFUNCTION("""COMPUTED_VALUE"""),"..")</f>
        <v>..</v>
      </c>
      <c r="I348" s="2" t="str">
        <f t="shared" si="3"/>
        <v>$ cd ..</v>
      </c>
      <c r="J348" s="2" t="str">
        <f>IFERROR(__xludf.DUMMYFUNCTION("SPLIT(I348,"" "")"),"$")</f>
        <v>$</v>
      </c>
      <c r="K348" s="2" t="str">
        <f>IFERROR(__xludf.DUMMYFUNCTION("""COMPUTED_VALUE"""),"cd")</f>
        <v>cd</v>
      </c>
      <c r="L348" s="2" t="str">
        <f>IFERROR(__xludf.DUMMYFUNCTION("""COMPUTED_VALUE"""),"..")</f>
        <v>..</v>
      </c>
      <c r="M348" s="2" t="b">
        <f t="shared" si="4"/>
        <v>0</v>
      </c>
      <c r="N348" s="2" t="b">
        <f>IFERROR(__xludf.DUMMYFUNCTION("IF(AND(REGEXMATCH($G$4, ""cd""),M348),N347+J348)"),FALSE)</f>
        <v>0</v>
      </c>
      <c r="O348" s="2" t="str">
        <f t="shared" si="5"/>
        <v>#N/A</v>
      </c>
    </row>
    <row r="349">
      <c r="A349" s="1" t="s">
        <v>215</v>
      </c>
      <c r="B349" s="2" t="str">
        <f t="shared" si="1"/>
        <v>#VALUE!</v>
      </c>
      <c r="C349" s="2" t="str">
        <f>IFERROR(__xludf.DUMMYFUNCTION("SPLIT(B349,"" "")"),"#VALUE!")</f>
        <v>#VALUE!</v>
      </c>
      <c r="E349" s="2" t="str">
        <f t="shared" si="2"/>
        <v>$ cd znbwnh</v>
      </c>
      <c r="F349" s="2" t="str">
        <f>IFERROR(__xludf.DUMMYFUNCTION("SPLIT(E349,"" "")"),"$")</f>
        <v>$</v>
      </c>
      <c r="G349" s="2" t="str">
        <f>IFERROR(__xludf.DUMMYFUNCTION("""COMPUTED_VALUE"""),"cd")</f>
        <v>cd</v>
      </c>
      <c r="H349" s="2" t="str">
        <f>IFERROR(__xludf.DUMMYFUNCTION("""COMPUTED_VALUE"""),"znbwnh")</f>
        <v>znbwnh</v>
      </c>
      <c r="I349" s="2" t="str">
        <f t="shared" si="3"/>
        <v>#VALUE!</v>
      </c>
      <c r="J349" s="2" t="str">
        <f>IFERROR(__xludf.DUMMYFUNCTION("SPLIT(I349,"" "")"),"#VALUE!")</f>
        <v>#VALUE!</v>
      </c>
      <c r="M349" s="2" t="b">
        <f t="shared" si="4"/>
        <v>0</v>
      </c>
      <c r="N349" s="2" t="b">
        <f>IFERROR(__xludf.DUMMYFUNCTION("IF(AND(REGEXMATCH($G$4, ""cd""),M349),N348+J349)"),FALSE)</f>
        <v>0</v>
      </c>
      <c r="O349" s="2" t="str">
        <f t="shared" si="5"/>
        <v>#N/A</v>
      </c>
    </row>
    <row r="350">
      <c r="A350" s="1" t="s">
        <v>2</v>
      </c>
      <c r="B350" s="2" t="str">
        <f t="shared" si="1"/>
        <v>#VALUE!</v>
      </c>
      <c r="C350" s="2" t="str">
        <f>IFERROR(__xludf.DUMMYFUNCTION("SPLIT(B350,"" "")"),"#VALUE!")</f>
        <v>#VALUE!</v>
      </c>
      <c r="E350" s="2" t="str">
        <f t="shared" si="2"/>
        <v>#VALUE!</v>
      </c>
      <c r="F350" s="2" t="str">
        <f>IFERROR(__xludf.DUMMYFUNCTION("SPLIT(E350,"" "")"),"#VALUE!")</f>
        <v>#VALUE!</v>
      </c>
      <c r="I350" s="2" t="str">
        <f t="shared" si="3"/>
        <v>#VALUE!</v>
      </c>
      <c r="J350" s="2" t="str">
        <f>IFERROR(__xludf.DUMMYFUNCTION("SPLIT(I350,"" "")"),"#VALUE!")</f>
        <v>#VALUE!</v>
      </c>
      <c r="M350" s="2" t="b">
        <f t="shared" si="4"/>
        <v>0</v>
      </c>
      <c r="N350" s="2" t="b">
        <f>IFERROR(__xludf.DUMMYFUNCTION("IF(AND(REGEXMATCH($G$4, ""cd""),M350),N349+J350)"),FALSE)</f>
        <v>0</v>
      </c>
      <c r="O350" s="2" t="str">
        <f t="shared" si="5"/>
        <v>#N/A</v>
      </c>
    </row>
    <row r="351">
      <c r="A351" s="1" t="s">
        <v>216</v>
      </c>
      <c r="B351" s="2" t="str">
        <f t="shared" si="1"/>
        <v>#VALUE!</v>
      </c>
      <c r="C351" s="2" t="str">
        <f>IFERROR(__xludf.DUMMYFUNCTION("SPLIT(B351,"" "")"),"#VALUE!")</f>
        <v>#VALUE!</v>
      </c>
      <c r="E351" s="2" t="str">
        <f t="shared" si="2"/>
        <v>#VALUE!</v>
      </c>
      <c r="F351" s="2" t="str">
        <f>IFERROR(__xludf.DUMMYFUNCTION("SPLIT(E351,"" "")"),"#VALUE!")</f>
        <v>#VALUE!</v>
      </c>
      <c r="I351" s="2" t="str">
        <f t="shared" si="3"/>
        <v>#VALUE!</v>
      </c>
      <c r="J351" s="2" t="str">
        <f>IFERROR(__xludf.DUMMYFUNCTION("SPLIT(I351,"" "")"),"#VALUE!")</f>
        <v>#VALUE!</v>
      </c>
      <c r="M351" s="2" t="b">
        <f t="shared" si="4"/>
        <v>0</v>
      </c>
      <c r="N351" s="2" t="b">
        <f>IFERROR(__xludf.DUMMYFUNCTION("IF(AND(REGEXMATCH($G$4, ""cd""),M351),N350+J351)"),FALSE)</f>
        <v>0</v>
      </c>
      <c r="O351" s="2" t="str">
        <f t="shared" si="5"/>
        <v>#N/A</v>
      </c>
    </row>
    <row r="352">
      <c r="A352" s="1" t="s">
        <v>17</v>
      </c>
      <c r="B352" s="2" t="str">
        <f t="shared" si="1"/>
        <v>#VALUE!</v>
      </c>
      <c r="C352" s="2" t="str">
        <f>IFERROR(__xludf.DUMMYFUNCTION("SPLIT(B352,"" "")"),"#VALUE!")</f>
        <v>#VALUE!</v>
      </c>
      <c r="E352" s="2" t="str">
        <f t="shared" si="2"/>
        <v>$ cd ..</v>
      </c>
      <c r="F352" s="2" t="str">
        <f>IFERROR(__xludf.DUMMYFUNCTION("SPLIT(E352,"" "")"),"$")</f>
        <v>$</v>
      </c>
      <c r="G352" s="2" t="str">
        <f>IFERROR(__xludf.DUMMYFUNCTION("""COMPUTED_VALUE"""),"cd")</f>
        <v>cd</v>
      </c>
      <c r="H352" s="2" t="str">
        <f>IFERROR(__xludf.DUMMYFUNCTION("""COMPUTED_VALUE"""),"..")</f>
        <v>..</v>
      </c>
      <c r="I352" s="2" t="str">
        <f t="shared" si="3"/>
        <v>$ cd ..</v>
      </c>
      <c r="J352" s="2" t="str">
        <f>IFERROR(__xludf.DUMMYFUNCTION("SPLIT(I352,"" "")"),"$")</f>
        <v>$</v>
      </c>
      <c r="K352" s="2" t="str">
        <f>IFERROR(__xludf.DUMMYFUNCTION("""COMPUTED_VALUE"""),"cd")</f>
        <v>cd</v>
      </c>
      <c r="L352" s="2" t="str">
        <f>IFERROR(__xludf.DUMMYFUNCTION("""COMPUTED_VALUE"""),"..")</f>
        <v>..</v>
      </c>
      <c r="M352" s="2" t="b">
        <f t="shared" si="4"/>
        <v>0</v>
      </c>
      <c r="N352" s="2" t="b">
        <f>IFERROR(__xludf.DUMMYFUNCTION("IF(AND(REGEXMATCH($G$4, ""cd""),M352),N351+J352)"),FALSE)</f>
        <v>0</v>
      </c>
      <c r="O352" s="2" t="str">
        <f t="shared" si="5"/>
        <v>#N/A</v>
      </c>
    </row>
    <row r="353">
      <c r="A353" s="1" t="s">
        <v>17</v>
      </c>
      <c r="B353" s="2" t="str">
        <f t="shared" si="1"/>
        <v>#VALUE!</v>
      </c>
      <c r="C353" s="2" t="str">
        <f>IFERROR(__xludf.DUMMYFUNCTION("SPLIT(B353,"" "")"),"#VALUE!")</f>
        <v>#VALUE!</v>
      </c>
      <c r="E353" s="2" t="str">
        <f t="shared" si="2"/>
        <v>$ cd ..</v>
      </c>
      <c r="F353" s="2" t="str">
        <f>IFERROR(__xludf.DUMMYFUNCTION("SPLIT(E353,"" "")"),"$")</f>
        <v>$</v>
      </c>
      <c r="G353" s="2" t="str">
        <f>IFERROR(__xludf.DUMMYFUNCTION("""COMPUTED_VALUE"""),"cd")</f>
        <v>cd</v>
      </c>
      <c r="H353" s="2" t="str">
        <f>IFERROR(__xludf.DUMMYFUNCTION("""COMPUTED_VALUE"""),"..")</f>
        <v>..</v>
      </c>
      <c r="I353" s="2" t="str">
        <f t="shared" si="3"/>
        <v>$ cd ..</v>
      </c>
      <c r="J353" s="2" t="str">
        <f>IFERROR(__xludf.DUMMYFUNCTION("SPLIT(I353,"" "")"),"$")</f>
        <v>$</v>
      </c>
      <c r="K353" s="2" t="str">
        <f>IFERROR(__xludf.DUMMYFUNCTION("""COMPUTED_VALUE"""),"cd")</f>
        <v>cd</v>
      </c>
      <c r="L353" s="2" t="str">
        <f>IFERROR(__xludf.DUMMYFUNCTION("""COMPUTED_VALUE"""),"..")</f>
        <v>..</v>
      </c>
      <c r="M353" s="2" t="b">
        <f t="shared" si="4"/>
        <v>0</v>
      </c>
      <c r="N353" s="2" t="b">
        <f>IFERROR(__xludf.DUMMYFUNCTION("IF(AND(REGEXMATCH($G$4, ""cd""),M353),N352+J353)"),FALSE)</f>
        <v>0</v>
      </c>
      <c r="O353" s="2" t="str">
        <f t="shared" si="5"/>
        <v>#N/A</v>
      </c>
    </row>
    <row r="354">
      <c r="A354" s="1" t="s">
        <v>217</v>
      </c>
      <c r="B354" s="2" t="str">
        <f t="shared" si="1"/>
        <v>#VALUE!</v>
      </c>
      <c r="C354" s="2" t="str">
        <f>IFERROR(__xludf.DUMMYFUNCTION("SPLIT(B354,"" "")"),"#VALUE!")</f>
        <v>#VALUE!</v>
      </c>
      <c r="E354" s="2" t="str">
        <f t="shared" si="2"/>
        <v>$ cd sdsppq</v>
      </c>
      <c r="F354" s="2" t="str">
        <f>IFERROR(__xludf.DUMMYFUNCTION("SPLIT(E354,"" "")"),"$")</f>
        <v>$</v>
      </c>
      <c r="G354" s="2" t="str">
        <f>IFERROR(__xludf.DUMMYFUNCTION("""COMPUTED_VALUE"""),"cd")</f>
        <v>cd</v>
      </c>
      <c r="H354" s="2" t="str">
        <f>IFERROR(__xludf.DUMMYFUNCTION("""COMPUTED_VALUE"""),"sdsppq")</f>
        <v>sdsppq</v>
      </c>
      <c r="I354" s="2" t="str">
        <f t="shared" si="3"/>
        <v>#VALUE!</v>
      </c>
      <c r="J354" s="2" t="str">
        <f>IFERROR(__xludf.DUMMYFUNCTION("SPLIT(I354,"" "")"),"#VALUE!")</f>
        <v>#VALUE!</v>
      </c>
      <c r="M354" s="2" t="b">
        <f t="shared" si="4"/>
        <v>0</v>
      </c>
      <c r="N354" s="2" t="b">
        <f>IFERROR(__xludf.DUMMYFUNCTION("IF(AND(REGEXMATCH($G$4, ""cd""),M354),N353+J354)"),FALSE)</f>
        <v>0</v>
      </c>
      <c r="O354" s="2" t="str">
        <f t="shared" si="5"/>
        <v>#N/A</v>
      </c>
    </row>
    <row r="355">
      <c r="A355" s="1" t="s">
        <v>2</v>
      </c>
      <c r="B355" s="2" t="str">
        <f t="shared" si="1"/>
        <v>#VALUE!</v>
      </c>
      <c r="C355" s="2" t="str">
        <f>IFERROR(__xludf.DUMMYFUNCTION("SPLIT(B355,"" "")"),"#VALUE!")</f>
        <v>#VALUE!</v>
      </c>
      <c r="E355" s="2" t="str">
        <f t="shared" si="2"/>
        <v>#VALUE!</v>
      </c>
      <c r="F355" s="2" t="str">
        <f>IFERROR(__xludf.DUMMYFUNCTION("SPLIT(E355,"" "")"),"#VALUE!")</f>
        <v>#VALUE!</v>
      </c>
      <c r="I355" s="2" t="str">
        <f t="shared" si="3"/>
        <v>#VALUE!</v>
      </c>
      <c r="J355" s="2" t="str">
        <f>IFERROR(__xludf.DUMMYFUNCTION("SPLIT(I355,"" "")"),"#VALUE!")</f>
        <v>#VALUE!</v>
      </c>
      <c r="M355" s="2" t="b">
        <f t="shared" si="4"/>
        <v>0</v>
      </c>
      <c r="N355" s="2" t="b">
        <f>IFERROR(__xludf.DUMMYFUNCTION("IF(AND(REGEXMATCH($G$4, ""cd""),M355),N354+J355)"),FALSE)</f>
        <v>0</v>
      </c>
      <c r="O355" s="2" t="str">
        <f t="shared" si="5"/>
        <v>#N/A</v>
      </c>
    </row>
    <row r="356">
      <c r="A356" s="1" t="s">
        <v>218</v>
      </c>
      <c r="B356" s="2" t="str">
        <f t="shared" si="1"/>
        <v>#VALUE!</v>
      </c>
      <c r="C356" s="2" t="str">
        <f>IFERROR(__xludf.DUMMYFUNCTION("SPLIT(B356,"" "")"),"#VALUE!")</f>
        <v>#VALUE!</v>
      </c>
      <c r="E356" s="2" t="str">
        <f t="shared" si="2"/>
        <v>#VALUE!</v>
      </c>
      <c r="F356" s="2" t="str">
        <f>IFERROR(__xludf.DUMMYFUNCTION("SPLIT(E356,"" "")"),"#VALUE!")</f>
        <v>#VALUE!</v>
      </c>
      <c r="I356" s="2" t="str">
        <f t="shared" si="3"/>
        <v>235741 bcsdzpfj.lvd</v>
      </c>
      <c r="J356" s="2">
        <f>IFERROR(__xludf.DUMMYFUNCTION("SPLIT(I356,"" "")"),235741.0)</f>
        <v>235741</v>
      </c>
      <c r="K356" s="2" t="str">
        <f>IFERROR(__xludf.DUMMYFUNCTION("""COMPUTED_VALUE"""),"bcsdzpfj.lvd")</f>
        <v>bcsdzpfj.lvd</v>
      </c>
      <c r="M356" s="2" t="b">
        <f t="shared" si="4"/>
        <v>1</v>
      </c>
      <c r="N356" s="2">
        <f>IFERROR(__xludf.DUMMYFUNCTION("IF(AND(REGEXMATCH($G$4, ""cd""),M356),N355+J356)"),235741.0)</f>
        <v>235741</v>
      </c>
      <c r="O356" s="2" t="str">
        <f t="shared" si="5"/>
        <v>#N/A</v>
      </c>
    </row>
    <row r="357">
      <c r="A357" s="1" t="s">
        <v>4</v>
      </c>
      <c r="B357" s="2" t="str">
        <f t="shared" si="1"/>
        <v>dir jnwr</v>
      </c>
      <c r="C357" s="2" t="str">
        <f>IFERROR(__xludf.DUMMYFUNCTION("SPLIT(B357,"" "")"),"dir")</f>
        <v>dir</v>
      </c>
      <c r="D357" s="2" t="str">
        <f>IFERROR(__xludf.DUMMYFUNCTION("""COMPUTED_VALUE"""),"jnwr")</f>
        <v>jnwr</v>
      </c>
      <c r="E357" s="2" t="str">
        <f t="shared" si="2"/>
        <v>#VALUE!</v>
      </c>
      <c r="F357" s="2" t="str">
        <f>IFERROR(__xludf.DUMMYFUNCTION("SPLIT(E357,"" "")"),"#VALUE!")</f>
        <v>#VALUE!</v>
      </c>
      <c r="I357" s="2" t="str">
        <f t="shared" si="3"/>
        <v>#VALUE!</v>
      </c>
      <c r="J357" s="2" t="str">
        <f>IFERROR(__xludf.DUMMYFUNCTION("SPLIT(I357,"" "")"),"#VALUE!")</f>
        <v>#VALUE!</v>
      </c>
      <c r="M357" s="2" t="b">
        <f t="shared" si="4"/>
        <v>0</v>
      </c>
      <c r="N357" s="2" t="b">
        <f>IFERROR(__xludf.DUMMYFUNCTION("IF(AND(REGEXMATCH($G$4, ""cd""),M357),N356+J357)"),FALSE)</f>
        <v>0</v>
      </c>
      <c r="O357" s="2" t="str">
        <f t="shared" si="5"/>
        <v>#N/A</v>
      </c>
    </row>
    <row r="358">
      <c r="A358" s="1" t="s">
        <v>219</v>
      </c>
      <c r="B358" s="2" t="str">
        <f t="shared" si="1"/>
        <v>dir njtrhrfm</v>
      </c>
      <c r="C358" s="2" t="str">
        <f>IFERROR(__xludf.DUMMYFUNCTION("SPLIT(B358,"" "")"),"dir")</f>
        <v>dir</v>
      </c>
      <c r="D358" s="2" t="str">
        <f>IFERROR(__xludf.DUMMYFUNCTION("""COMPUTED_VALUE"""),"njtrhrfm")</f>
        <v>njtrhrfm</v>
      </c>
      <c r="E358" s="2" t="str">
        <f t="shared" si="2"/>
        <v>#VALUE!</v>
      </c>
      <c r="F358" s="2" t="str">
        <f>IFERROR(__xludf.DUMMYFUNCTION("SPLIT(E358,"" "")"),"#VALUE!")</f>
        <v>#VALUE!</v>
      </c>
      <c r="I358" s="2" t="str">
        <f t="shared" si="3"/>
        <v>#VALUE!</v>
      </c>
      <c r="J358" s="2" t="str">
        <f>IFERROR(__xludf.DUMMYFUNCTION("SPLIT(I358,"" "")"),"#VALUE!")</f>
        <v>#VALUE!</v>
      </c>
      <c r="M358" s="2" t="b">
        <f t="shared" si="4"/>
        <v>0</v>
      </c>
      <c r="N358" s="2" t="b">
        <f>IFERROR(__xludf.DUMMYFUNCTION("IF(AND(REGEXMATCH($G$4, ""cd""),M358),N357+J358)"),FALSE)</f>
        <v>0</v>
      </c>
      <c r="O358" s="2" t="str">
        <f t="shared" si="5"/>
        <v>#N/A</v>
      </c>
    </row>
    <row r="359">
      <c r="A359" s="1" t="s">
        <v>220</v>
      </c>
      <c r="B359" s="2" t="str">
        <f t="shared" si="1"/>
        <v>dir tvq</v>
      </c>
      <c r="C359" s="2" t="str">
        <f>IFERROR(__xludf.DUMMYFUNCTION("SPLIT(B359,"" "")"),"dir")</f>
        <v>dir</v>
      </c>
      <c r="D359" s="2" t="str">
        <f>IFERROR(__xludf.DUMMYFUNCTION("""COMPUTED_VALUE"""),"tvq")</f>
        <v>tvq</v>
      </c>
      <c r="E359" s="2" t="str">
        <f t="shared" si="2"/>
        <v>#VALUE!</v>
      </c>
      <c r="F359" s="2" t="str">
        <f>IFERROR(__xludf.DUMMYFUNCTION("SPLIT(E359,"" "")"),"#VALUE!")</f>
        <v>#VALUE!</v>
      </c>
      <c r="I359" s="2" t="str">
        <f t="shared" si="3"/>
        <v>#VALUE!</v>
      </c>
      <c r="J359" s="2" t="str">
        <f>IFERROR(__xludf.DUMMYFUNCTION("SPLIT(I359,"" "")"),"#VALUE!")</f>
        <v>#VALUE!</v>
      </c>
      <c r="M359" s="2" t="b">
        <f t="shared" si="4"/>
        <v>0</v>
      </c>
      <c r="N359" s="2" t="b">
        <f>IFERROR(__xludf.DUMMYFUNCTION("IF(AND(REGEXMATCH($G$4, ""cd""),M359),N358+J359)"),FALSE)</f>
        <v>0</v>
      </c>
      <c r="O359" s="2" t="str">
        <f t="shared" si="5"/>
        <v>#N/A</v>
      </c>
    </row>
    <row r="360">
      <c r="A360" s="1" t="s">
        <v>221</v>
      </c>
      <c r="B360" s="2" t="str">
        <f t="shared" si="1"/>
        <v>dir wshgn</v>
      </c>
      <c r="C360" s="2" t="str">
        <f>IFERROR(__xludf.DUMMYFUNCTION("SPLIT(B360,"" "")"),"dir")</f>
        <v>dir</v>
      </c>
      <c r="D360" s="2" t="str">
        <f>IFERROR(__xludf.DUMMYFUNCTION("""COMPUTED_VALUE"""),"wshgn")</f>
        <v>wshgn</v>
      </c>
      <c r="E360" s="2" t="str">
        <f t="shared" si="2"/>
        <v>#VALUE!</v>
      </c>
      <c r="F360" s="2" t="str">
        <f>IFERROR(__xludf.DUMMYFUNCTION("SPLIT(E360,"" "")"),"#VALUE!")</f>
        <v>#VALUE!</v>
      </c>
      <c r="I360" s="2" t="str">
        <f t="shared" si="3"/>
        <v>#VALUE!</v>
      </c>
      <c r="J360" s="2" t="str">
        <f>IFERROR(__xludf.DUMMYFUNCTION("SPLIT(I360,"" "")"),"#VALUE!")</f>
        <v>#VALUE!</v>
      </c>
      <c r="M360" s="2" t="b">
        <f t="shared" si="4"/>
        <v>0</v>
      </c>
      <c r="N360" s="2" t="b">
        <f>IFERROR(__xludf.DUMMYFUNCTION("IF(AND(REGEXMATCH($G$4, ""cd""),M360),N359+J360)"),FALSE)</f>
        <v>0</v>
      </c>
      <c r="O360" s="2" t="str">
        <f t="shared" si="5"/>
        <v>#N/A</v>
      </c>
    </row>
    <row r="361">
      <c r="A361" s="1" t="s">
        <v>20</v>
      </c>
      <c r="B361" s="2" t="str">
        <f t="shared" si="1"/>
        <v>#VALUE!</v>
      </c>
      <c r="C361" s="2" t="str">
        <f>IFERROR(__xludf.DUMMYFUNCTION("SPLIT(B361,"" "")"),"#VALUE!")</f>
        <v>#VALUE!</v>
      </c>
      <c r="E361" s="2" t="str">
        <f t="shared" si="2"/>
        <v>$ cd jnwr</v>
      </c>
      <c r="F361" s="2" t="str">
        <f>IFERROR(__xludf.DUMMYFUNCTION("SPLIT(E361,"" "")"),"$")</f>
        <v>$</v>
      </c>
      <c r="G361" s="2" t="str">
        <f>IFERROR(__xludf.DUMMYFUNCTION("""COMPUTED_VALUE"""),"cd")</f>
        <v>cd</v>
      </c>
      <c r="H361" s="2" t="str">
        <f>IFERROR(__xludf.DUMMYFUNCTION("""COMPUTED_VALUE"""),"jnwr")</f>
        <v>jnwr</v>
      </c>
      <c r="I361" s="2" t="str">
        <f t="shared" si="3"/>
        <v>#VALUE!</v>
      </c>
      <c r="J361" s="2" t="str">
        <f>IFERROR(__xludf.DUMMYFUNCTION("SPLIT(I361,"" "")"),"#VALUE!")</f>
        <v>#VALUE!</v>
      </c>
      <c r="M361" s="2" t="b">
        <f t="shared" si="4"/>
        <v>0</v>
      </c>
      <c r="N361" s="2" t="b">
        <f>IFERROR(__xludf.DUMMYFUNCTION("IF(AND(REGEXMATCH($G$4, ""cd""),M361),N360+J361)"),FALSE)</f>
        <v>0</v>
      </c>
      <c r="O361" s="2" t="str">
        <f t="shared" si="5"/>
        <v>#N/A</v>
      </c>
    </row>
    <row r="362">
      <c r="A362" s="1" t="s">
        <v>2</v>
      </c>
      <c r="B362" s="2" t="str">
        <f t="shared" si="1"/>
        <v>#VALUE!</v>
      </c>
      <c r="C362" s="2" t="str">
        <f>IFERROR(__xludf.DUMMYFUNCTION("SPLIT(B362,"" "")"),"#VALUE!")</f>
        <v>#VALUE!</v>
      </c>
      <c r="E362" s="2" t="str">
        <f t="shared" si="2"/>
        <v>#VALUE!</v>
      </c>
      <c r="F362" s="2" t="str">
        <f>IFERROR(__xludf.DUMMYFUNCTION("SPLIT(E362,"" "")"),"#VALUE!")</f>
        <v>#VALUE!</v>
      </c>
      <c r="I362" s="2" t="str">
        <f t="shared" si="3"/>
        <v>#VALUE!</v>
      </c>
      <c r="J362" s="2" t="str">
        <f>IFERROR(__xludf.DUMMYFUNCTION("SPLIT(I362,"" "")"),"#VALUE!")</f>
        <v>#VALUE!</v>
      </c>
      <c r="M362" s="2" t="b">
        <f t="shared" si="4"/>
        <v>0</v>
      </c>
      <c r="N362" s="2" t="b">
        <f>IFERROR(__xludf.DUMMYFUNCTION("IF(AND(REGEXMATCH($G$4, ""cd""),M362),N361+J362)"),FALSE)</f>
        <v>0</v>
      </c>
      <c r="O362" s="2" t="str">
        <f t="shared" si="5"/>
        <v>#N/A</v>
      </c>
    </row>
    <row r="363">
      <c r="A363" s="1" t="s">
        <v>222</v>
      </c>
      <c r="B363" s="2" t="str">
        <f t="shared" si="1"/>
        <v>#VALUE!</v>
      </c>
      <c r="C363" s="2" t="str">
        <f>IFERROR(__xludf.DUMMYFUNCTION("SPLIT(B363,"" "")"),"#VALUE!")</f>
        <v>#VALUE!</v>
      </c>
      <c r="E363" s="2" t="str">
        <f t="shared" si="2"/>
        <v>#VALUE!</v>
      </c>
      <c r="F363" s="2" t="str">
        <f>IFERROR(__xludf.DUMMYFUNCTION("SPLIT(E363,"" "")"),"#VALUE!")</f>
        <v>#VALUE!</v>
      </c>
      <c r="I363" s="2" t="str">
        <f t="shared" si="3"/>
        <v>#VALUE!</v>
      </c>
      <c r="J363" s="2" t="str">
        <f>IFERROR(__xludf.DUMMYFUNCTION("SPLIT(I363,"" "")"),"#VALUE!")</f>
        <v>#VALUE!</v>
      </c>
      <c r="M363" s="2" t="b">
        <f t="shared" si="4"/>
        <v>0</v>
      </c>
      <c r="N363" s="2" t="b">
        <f>IFERROR(__xludf.DUMMYFUNCTION("IF(AND(REGEXMATCH($G$4, ""cd""),M363),N362+J363)"),FALSE)</f>
        <v>0</v>
      </c>
      <c r="O363" s="2" t="str">
        <f t="shared" si="5"/>
        <v>#N/A</v>
      </c>
    </row>
    <row r="364">
      <c r="A364" s="1" t="s">
        <v>223</v>
      </c>
      <c r="B364" s="2" t="str">
        <f t="shared" si="1"/>
        <v>dir gjt</v>
      </c>
      <c r="C364" s="2" t="str">
        <f>IFERROR(__xludf.DUMMYFUNCTION("SPLIT(B364,"" "")"),"dir")</f>
        <v>dir</v>
      </c>
      <c r="D364" s="2" t="str">
        <f>IFERROR(__xludf.DUMMYFUNCTION("""COMPUTED_VALUE"""),"gjt")</f>
        <v>gjt</v>
      </c>
      <c r="E364" s="2" t="str">
        <f t="shared" si="2"/>
        <v>#VALUE!</v>
      </c>
      <c r="F364" s="2" t="str">
        <f>IFERROR(__xludf.DUMMYFUNCTION("SPLIT(E364,"" "")"),"#VALUE!")</f>
        <v>#VALUE!</v>
      </c>
      <c r="I364" s="2" t="str">
        <f t="shared" si="3"/>
        <v>#VALUE!</v>
      </c>
      <c r="J364" s="2" t="str">
        <f>IFERROR(__xludf.DUMMYFUNCTION("SPLIT(I364,"" "")"),"#VALUE!")</f>
        <v>#VALUE!</v>
      </c>
      <c r="M364" s="2" t="b">
        <f t="shared" si="4"/>
        <v>0</v>
      </c>
      <c r="N364" s="2" t="b">
        <f>IFERROR(__xludf.DUMMYFUNCTION("IF(AND(REGEXMATCH($G$4, ""cd""),M364),N363+J364)"),FALSE)</f>
        <v>0</v>
      </c>
      <c r="O364" s="2" t="str">
        <f t="shared" si="5"/>
        <v>#N/A</v>
      </c>
    </row>
    <row r="365">
      <c r="A365" s="1" t="s">
        <v>50</v>
      </c>
      <c r="B365" s="2" t="str">
        <f t="shared" si="1"/>
        <v>dir hlvpfw</v>
      </c>
      <c r="C365" s="2" t="str">
        <f>IFERROR(__xludf.DUMMYFUNCTION("SPLIT(B365,"" "")"),"dir")</f>
        <v>dir</v>
      </c>
      <c r="D365" s="2" t="str">
        <f>IFERROR(__xludf.DUMMYFUNCTION("""COMPUTED_VALUE"""),"hlvpfw")</f>
        <v>hlvpfw</v>
      </c>
      <c r="E365" s="2" t="str">
        <f t="shared" si="2"/>
        <v>#VALUE!</v>
      </c>
      <c r="F365" s="2" t="str">
        <f>IFERROR(__xludf.DUMMYFUNCTION("SPLIT(E365,"" "")"),"#VALUE!")</f>
        <v>#VALUE!</v>
      </c>
      <c r="I365" s="2" t="str">
        <f t="shared" si="3"/>
        <v>#VALUE!</v>
      </c>
      <c r="J365" s="2" t="str">
        <f>IFERROR(__xludf.DUMMYFUNCTION("SPLIT(I365,"" "")"),"#VALUE!")</f>
        <v>#VALUE!</v>
      </c>
      <c r="M365" s="2" t="b">
        <f t="shared" si="4"/>
        <v>0</v>
      </c>
      <c r="N365" s="2" t="b">
        <f>IFERROR(__xludf.DUMMYFUNCTION("IF(AND(REGEXMATCH($G$4, ""cd""),M365),N364+J365)"),FALSE)</f>
        <v>0</v>
      </c>
      <c r="O365" s="2" t="str">
        <f t="shared" si="5"/>
        <v>#N/A</v>
      </c>
    </row>
    <row r="366">
      <c r="A366" s="1" t="s">
        <v>224</v>
      </c>
      <c r="B366" s="2" t="str">
        <f t="shared" si="1"/>
        <v>dir nbsdvpnj</v>
      </c>
      <c r="C366" s="2" t="str">
        <f>IFERROR(__xludf.DUMMYFUNCTION("SPLIT(B366,"" "")"),"dir")</f>
        <v>dir</v>
      </c>
      <c r="D366" s="2" t="str">
        <f>IFERROR(__xludf.DUMMYFUNCTION("""COMPUTED_VALUE"""),"nbsdvpnj")</f>
        <v>nbsdvpnj</v>
      </c>
      <c r="E366" s="2" t="str">
        <f t="shared" si="2"/>
        <v>#VALUE!</v>
      </c>
      <c r="F366" s="2" t="str">
        <f>IFERROR(__xludf.DUMMYFUNCTION("SPLIT(E366,"" "")"),"#VALUE!")</f>
        <v>#VALUE!</v>
      </c>
      <c r="I366" s="2" t="str">
        <f t="shared" si="3"/>
        <v>#VALUE!</v>
      </c>
      <c r="J366" s="2" t="str">
        <f>IFERROR(__xludf.DUMMYFUNCTION("SPLIT(I366,"" "")"),"#VALUE!")</f>
        <v>#VALUE!</v>
      </c>
      <c r="M366" s="2" t="b">
        <f t="shared" si="4"/>
        <v>0</v>
      </c>
      <c r="N366" s="2" t="b">
        <f>IFERROR(__xludf.DUMMYFUNCTION("IF(AND(REGEXMATCH($G$4, ""cd""),M366),N365+J366)"),FALSE)</f>
        <v>0</v>
      </c>
      <c r="O366" s="2" t="str">
        <f t="shared" si="5"/>
        <v>#N/A</v>
      </c>
    </row>
    <row r="367">
      <c r="A367" s="1" t="s">
        <v>46</v>
      </c>
      <c r="B367" s="2" t="str">
        <f t="shared" si="1"/>
        <v>dir zcgrgff</v>
      </c>
      <c r="C367" s="2" t="str">
        <f>IFERROR(__xludf.DUMMYFUNCTION("SPLIT(B367,"" "")"),"dir")</f>
        <v>dir</v>
      </c>
      <c r="D367" s="2" t="str">
        <f>IFERROR(__xludf.DUMMYFUNCTION("""COMPUTED_VALUE"""),"zcgrgff")</f>
        <v>zcgrgff</v>
      </c>
      <c r="E367" s="2" t="str">
        <f t="shared" si="2"/>
        <v>#VALUE!</v>
      </c>
      <c r="F367" s="2" t="str">
        <f>IFERROR(__xludf.DUMMYFUNCTION("SPLIT(E367,"" "")"),"#VALUE!")</f>
        <v>#VALUE!</v>
      </c>
      <c r="I367" s="2" t="str">
        <f t="shared" si="3"/>
        <v>#VALUE!</v>
      </c>
      <c r="J367" s="2" t="str">
        <f>IFERROR(__xludf.DUMMYFUNCTION("SPLIT(I367,"" "")"),"#VALUE!")</f>
        <v>#VALUE!</v>
      </c>
      <c r="M367" s="2" t="b">
        <f t="shared" si="4"/>
        <v>0</v>
      </c>
      <c r="N367" s="2" t="b">
        <f>IFERROR(__xludf.DUMMYFUNCTION("IF(AND(REGEXMATCH($G$4, ""cd""),M367),N366+J367)"),FALSE)</f>
        <v>0</v>
      </c>
      <c r="O367" s="2" t="str">
        <f t="shared" si="5"/>
        <v>#N/A</v>
      </c>
    </row>
    <row r="368">
      <c r="A368" s="1" t="s">
        <v>225</v>
      </c>
      <c r="B368" s="2" t="str">
        <f t="shared" si="1"/>
        <v>#VALUE!</v>
      </c>
      <c r="C368" s="2" t="str">
        <f>IFERROR(__xludf.DUMMYFUNCTION("SPLIT(B368,"" "")"),"#VALUE!")</f>
        <v>#VALUE!</v>
      </c>
      <c r="E368" s="2" t="str">
        <f t="shared" si="2"/>
        <v>$ cd gjt</v>
      </c>
      <c r="F368" s="2" t="str">
        <f>IFERROR(__xludf.DUMMYFUNCTION("SPLIT(E368,"" "")"),"$")</f>
        <v>$</v>
      </c>
      <c r="G368" s="2" t="str">
        <f>IFERROR(__xludf.DUMMYFUNCTION("""COMPUTED_VALUE"""),"cd")</f>
        <v>cd</v>
      </c>
      <c r="H368" s="2" t="str">
        <f>IFERROR(__xludf.DUMMYFUNCTION("""COMPUTED_VALUE"""),"gjt")</f>
        <v>gjt</v>
      </c>
      <c r="I368" s="2" t="str">
        <f t="shared" si="3"/>
        <v>#VALUE!</v>
      </c>
      <c r="J368" s="2" t="str">
        <f>IFERROR(__xludf.DUMMYFUNCTION("SPLIT(I368,"" "")"),"#VALUE!")</f>
        <v>#VALUE!</v>
      </c>
      <c r="M368" s="2" t="b">
        <f t="shared" si="4"/>
        <v>0</v>
      </c>
      <c r="N368" s="2" t="b">
        <f>IFERROR(__xludf.DUMMYFUNCTION("IF(AND(REGEXMATCH($G$4, ""cd""),M368),N367+J368)"),FALSE)</f>
        <v>0</v>
      </c>
      <c r="O368" s="2" t="str">
        <f t="shared" si="5"/>
        <v>#N/A</v>
      </c>
    </row>
    <row r="369">
      <c r="A369" s="1" t="s">
        <v>2</v>
      </c>
      <c r="B369" s="2" t="str">
        <f t="shared" si="1"/>
        <v>#VALUE!</v>
      </c>
      <c r="C369" s="2" t="str">
        <f>IFERROR(__xludf.DUMMYFUNCTION("SPLIT(B369,"" "")"),"#VALUE!")</f>
        <v>#VALUE!</v>
      </c>
      <c r="E369" s="2" t="str">
        <f t="shared" si="2"/>
        <v>#VALUE!</v>
      </c>
      <c r="F369" s="2" t="str">
        <f>IFERROR(__xludf.DUMMYFUNCTION("SPLIT(E369,"" "")"),"#VALUE!")</f>
        <v>#VALUE!</v>
      </c>
      <c r="I369" s="2" t="str">
        <f t="shared" si="3"/>
        <v>#VALUE!</v>
      </c>
      <c r="J369" s="2" t="str">
        <f>IFERROR(__xludf.DUMMYFUNCTION("SPLIT(I369,"" "")"),"#VALUE!")</f>
        <v>#VALUE!</v>
      </c>
      <c r="M369" s="2" t="b">
        <f t="shared" si="4"/>
        <v>0</v>
      </c>
      <c r="N369" s="2" t="b">
        <f>IFERROR(__xludf.DUMMYFUNCTION("IF(AND(REGEXMATCH($G$4, ""cd""),M369),N368+J369)"),FALSE)</f>
        <v>0</v>
      </c>
      <c r="O369" s="2" t="str">
        <f t="shared" si="5"/>
        <v>#N/A</v>
      </c>
    </row>
    <row r="370">
      <c r="A370" s="1" t="s">
        <v>226</v>
      </c>
      <c r="B370" s="2" t="str">
        <f t="shared" si="1"/>
        <v>#VALUE!</v>
      </c>
      <c r="C370" s="2" t="str">
        <f>IFERROR(__xludf.DUMMYFUNCTION("SPLIT(B370,"" "")"),"#VALUE!")</f>
        <v>#VALUE!</v>
      </c>
      <c r="E370" s="2" t="str">
        <f t="shared" si="2"/>
        <v>#VALUE!</v>
      </c>
      <c r="F370" s="2" t="str">
        <f>IFERROR(__xludf.DUMMYFUNCTION("SPLIT(E370,"" "")"),"#VALUE!")</f>
        <v>#VALUE!</v>
      </c>
      <c r="I370" s="2" t="str">
        <f t="shared" si="3"/>
        <v>184707 zbdp.gqb</v>
      </c>
      <c r="J370" s="2">
        <f>IFERROR(__xludf.DUMMYFUNCTION("SPLIT(I370,"" "")"),184707.0)</f>
        <v>184707</v>
      </c>
      <c r="K370" s="2" t="str">
        <f>IFERROR(__xludf.DUMMYFUNCTION("""COMPUTED_VALUE"""),"zbdp.gqb")</f>
        <v>zbdp.gqb</v>
      </c>
      <c r="M370" s="2" t="b">
        <f t="shared" si="4"/>
        <v>1</v>
      </c>
      <c r="N370" s="2">
        <f>IFERROR(__xludf.DUMMYFUNCTION("IF(AND(REGEXMATCH($G$4, ""cd""),M370),N369+J370)"),184707.0)</f>
        <v>184707</v>
      </c>
      <c r="O370" s="2" t="str">
        <f t="shared" si="5"/>
        <v>#N/A</v>
      </c>
    </row>
    <row r="371">
      <c r="A371" s="1" t="s">
        <v>17</v>
      </c>
      <c r="B371" s="2" t="str">
        <f t="shared" si="1"/>
        <v>#VALUE!</v>
      </c>
      <c r="C371" s="2" t="str">
        <f>IFERROR(__xludf.DUMMYFUNCTION("SPLIT(B371,"" "")"),"#VALUE!")</f>
        <v>#VALUE!</v>
      </c>
      <c r="E371" s="2" t="str">
        <f t="shared" si="2"/>
        <v>$ cd ..</v>
      </c>
      <c r="F371" s="2" t="str">
        <f>IFERROR(__xludf.DUMMYFUNCTION("SPLIT(E371,"" "")"),"$")</f>
        <v>$</v>
      </c>
      <c r="G371" s="2" t="str">
        <f>IFERROR(__xludf.DUMMYFUNCTION("""COMPUTED_VALUE"""),"cd")</f>
        <v>cd</v>
      </c>
      <c r="H371" s="2" t="str">
        <f>IFERROR(__xludf.DUMMYFUNCTION("""COMPUTED_VALUE"""),"..")</f>
        <v>..</v>
      </c>
      <c r="I371" s="2" t="str">
        <f t="shared" si="3"/>
        <v>$ cd ..</v>
      </c>
      <c r="J371" s="2" t="str">
        <f>IFERROR(__xludf.DUMMYFUNCTION("SPLIT(I371,"" "")"),"$")</f>
        <v>$</v>
      </c>
      <c r="K371" s="2" t="str">
        <f>IFERROR(__xludf.DUMMYFUNCTION("""COMPUTED_VALUE"""),"cd")</f>
        <v>cd</v>
      </c>
      <c r="L371" s="2" t="str">
        <f>IFERROR(__xludf.DUMMYFUNCTION("""COMPUTED_VALUE"""),"..")</f>
        <v>..</v>
      </c>
      <c r="M371" s="2" t="b">
        <f t="shared" si="4"/>
        <v>0</v>
      </c>
      <c r="N371" s="2" t="b">
        <f>IFERROR(__xludf.DUMMYFUNCTION("IF(AND(REGEXMATCH($G$4, ""cd""),M371),N370+J371)"),FALSE)</f>
        <v>0</v>
      </c>
      <c r="O371" s="2" t="str">
        <f t="shared" si="5"/>
        <v>#N/A</v>
      </c>
    </row>
    <row r="372">
      <c r="A372" s="1" t="s">
        <v>52</v>
      </c>
      <c r="B372" s="2" t="str">
        <f t="shared" si="1"/>
        <v>#VALUE!</v>
      </c>
      <c r="C372" s="2" t="str">
        <f>IFERROR(__xludf.DUMMYFUNCTION("SPLIT(B372,"" "")"),"#VALUE!")</f>
        <v>#VALUE!</v>
      </c>
      <c r="E372" s="2" t="str">
        <f t="shared" si="2"/>
        <v>$ cd hlvpfw</v>
      </c>
      <c r="F372" s="2" t="str">
        <f>IFERROR(__xludf.DUMMYFUNCTION("SPLIT(E372,"" "")"),"$")</f>
        <v>$</v>
      </c>
      <c r="G372" s="2" t="str">
        <f>IFERROR(__xludf.DUMMYFUNCTION("""COMPUTED_VALUE"""),"cd")</f>
        <v>cd</v>
      </c>
      <c r="H372" s="2" t="str">
        <f>IFERROR(__xludf.DUMMYFUNCTION("""COMPUTED_VALUE"""),"hlvpfw")</f>
        <v>hlvpfw</v>
      </c>
      <c r="I372" s="2" t="str">
        <f t="shared" si="3"/>
        <v>#VALUE!</v>
      </c>
      <c r="J372" s="2" t="str">
        <f>IFERROR(__xludf.DUMMYFUNCTION("SPLIT(I372,"" "")"),"#VALUE!")</f>
        <v>#VALUE!</v>
      </c>
      <c r="M372" s="2" t="b">
        <f t="shared" si="4"/>
        <v>0</v>
      </c>
      <c r="N372" s="2" t="b">
        <f>IFERROR(__xludf.DUMMYFUNCTION("IF(AND(REGEXMATCH($G$4, ""cd""),M372),N371+J372)"),FALSE)</f>
        <v>0</v>
      </c>
      <c r="O372" s="2" t="str">
        <f t="shared" si="5"/>
        <v>#N/A</v>
      </c>
    </row>
    <row r="373">
      <c r="A373" s="1" t="s">
        <v>2</v>
      </c>
      <c r="B373" s="2" t="str">
        <f t="shared" si="1"/>
        <v>#VALUE!</v>
      </c>
      <c r="C373" s="2" t="str">
        <f>IFERROR(__xludf.DUMMYFUNCTION("SPLIT(B373,"" "")"),"#VALUE!")</f>
        <v>#VALUE!</v>
      </c>
      <c r="E373" s="2" t="str">
        <f t="shared" si="2"/>
        <v>#VALUE!</v>
      </c>
      <c r="F373" s="2" t="str">
        <f>IFERROR(__xludf.DUMMYFUNCTION("SPLIT(E373,"" "")"),"#VALUE!")</f>
        <v>#VALUE!</v>
      </c>
      <c r="I373" s="2" t="str">
        <f t="shared" si="3"/>
        <v>#VALUE!</v>
      </c>
      <c r="J373" s="2" t="str">
        <f>IFERROR(__xludf.DUMMYFUNCTION("SPLIT(I373,"" "")"),"#VALUE!")</f>
        <v>#VALUE!</v>
      </c>
      <c r="M373" s="2" t="b">
        <f t="shared" si="4"/>
        <v>0</v>
      </c>
      <c r="N373" s="2" t="b">
        <f>IFERROR(__xludf.DUMMYFUNCTION("IF(AND(REGEXMATCH($G$4, ""cd""),M373),N372+J373)"),FALSE)</f>
        <v>0</v>
      </c>
      <c r="O373" s="2" t="str">
        <f t="shared" si="5"/>
        <v>#N/A</v>
      </c>
    </row>
    <row r="374">
      <c r="A374" s="1" t="s">
        <v>227</v>
      </c>
      <c r="B374" s="2" t="str">
        <f t="shared" si="1"/>
        <v>#VALUE!</v>
      </c>
      <c r="C374" s="2" t="str">
        <f>IFERROR(__xludf.DUMMYFUNCTION("SPLIT(B374,"" "")"),"#VALUE!")</f>
        <v>#VALUE!</v>
      </c>
      <c r="E374" s="2" t="str">
        <f t="shared" si="2"/>
        <v>#VALUE!</v>
      </c>
      <c r="F374" s="2" t="str">
        <f>IFERROR(__xludf.DUMMYFUNCTION("SPLIT(E374,"" "")"),"#VALUE!")</f>
        <v>#VALUE!</v>
      </c>
      <c r="I374" s="2" t="str">
        <f t="shared" si="3"/>
        <v>#VALUE!</v>
      </c>
      <c r="J374" s="2" t="str">
        <f>IFERROR(__xludf.DUMMYFUNCTION("SPLIT(I374,"" "")"),"#VALUE!")</f>
        <v>#VALUE!</v>
      </c>
      <c r="M374" s="2" t="b">
        <f t="shared" si="4"/>
        <v>0</v>
      </c>
      <c r="N374" s="2" t="b">
        <f>IFERROR(__xludf.DUMMYFUNCTION("IF(AND(REGEXMATCH($G$4, ""cd""),M374),N373+J374)"),FALSE)</f>
        <v>0</v>
      </c>
      <c r="O374" s="2" t="str">
        <f t="shared" si="5"/>
        <v>#N/A</v>
      </c>
    </row>
    <row r="375">
      <c r="A375" s="1" t="s">
        <v>17</v>
      </c>
      <c r="B375" s="2" t="str">
        <f t="shared" si="1"/>
        <v>#VALUE!</v>
      </c>
      <c r="C375" s="2" t="str">
        <f>IFERROR(__xludf.DUMMYFUNCTION("SPLIT(B375,"" "")"),"#VALUE!")</f>
        <v>#VALUE!</v>
      </c>
      <c r="E375" s="2" t="str">
        <f t="shared" si="2"/>
        <v>$ cd ..</v>
      </c>
      <c r="F375" s="2" t="str">
        <f>IFERROR(__xludf.DUMMYFUNCTION("SPLIT(E375,"" "")"),"$")</f>
        <v>$</v>
      </c>
      <c r="G375" s="2" t="str">
        <f>IFERROR(__xludf.DUMMYFUNCTION("""COMPUTED_VALUE"""),"cd")</f>
        <v>cd</v>
      </c>
      <c r="H375" s="2" t="str">
        <f>IFERROR(__xludf.DUMMYFUNCTION("""COMPUTED_VALUE"""),"..")</f>
        <v>..</v>
      </c>
      <c r="I375" s="2" t="str">
        <f t="shared" si="3"/>
        <v>$ cd ..</v>
      </c>
      <c r="J375" s="2" t="str">
        <f>IFERROR(__xludf.DUMMYFUNCTION("SPLIT(I375,"" "")"),"$")</f>
        <v>$</v>
      </c>
      <c r="K375" s="2" t="str">
        <f>IFERROR(__xludf.DUMMYFUNCTION("""COMPUTED_VALUE"""),"cd")</f>
        <v>cd</v>
      </c>
      <c r="L375" s="2" t="str">
        <f>IFERROR(__xludf.DUMMYFUNCTION("""COMPUTED_VALUE"""),"..")</f>
        <v>..</v>
      </c>
      <c r="M375" s="2" t="b">
        <f t="shared" si="4"/>
        <v>0</v>
      </c>
      <c r="N375" s="2" t="b">
        <f>IFERROR(__xludf.DUMMYFUNCTION("IF(AND(REGEXMATCH($G$4, ""cd""),M375),N374+J375)"),FALSE)</f>
        <v>0</v>
      </c>
      <c r="O375" s="2" t="str">
        <f t="shared" si="5"/>
        <v>#N/A</v>
      </c>
    </row>
    <row r="376">
      <c r="A376" s="1" t="s">
        <v>228</v>
      </c>
      <c r="B376" s="2" t="str">
        <f t="shared" si="1"/>
        <v>#VALUE!</v>
      </c>
      <c r="C376" s="2" t="str">
        <f>IFERROR(__xludf.DUMMYFUNCTION("SPLIT(B376,"" "")"),"#VALUE!")</f>
        <v>#VALUE!</v>
      </c>
      <c r="E376" s="2" t="str">
        <f t="shared" si="2"/>
        <v>$ cd nbsdvpnj</v>
      </c>
      <c r="F376" s="2" t="str">
        <f>IFERROR(__xludf.DUMMYFUNCTION("SPLIT(E376,"" "")"),"$")</f>
        <v>$</v>
      </c>
      <c r="G376" s="2" t="str">
        <f>IFERROR(__xludf.DUMMYFUNCTION("""COMPUTED_VALUE"""),"cd")</f>
        <v>cd</v>
      </c>
      <c r="H376" s="2" t="str">
        <f>IFERROR(__xludf.DUMMYFUNCTION("""COMPUTED_VALUE"""),"nbsdvpnj")</f>
        <v>nbsdvpnj</v>
      </c>
      <c r="I376" s="2" t="str">
        <f t="shared" si="3"/>
        <v>#VALUE!</v>
      </c>
      <c r="J376" s="2" t="str">
        <f>IFERROR(__xludf.DUMMYFUNCTION("SPLIT(I376,"" "")"),"#VALUE!")</f>
        <v>#VALUE!</v>
      </c>
      <c r="M376" s="2" t="b">
        <f t="shared" si="4"/>
        <v>0</v>
      </c>
      <c r="N376" s="2" t="b">
        <f>IFERROR(__xludf.DUMMYFUNCTION("IF(AND(REGEXMATCH($G$4, ""cd""),M376),N375+J376)"),FALSE)</f>
        <v>0</v>
      </c>
      <c r="O376" s="2" t="str">
        <f t="shared" si="5"/>
        <v>#N/A</v>
      </c>
    </row>
    <row r="377">
      <c r="A377" s="1" t="s">
        <v>2</v>
      </c>
      <c r="B377" s="2" t="str">
        <f t="shared" si="1"/>
        <v>#VALUE!</v>
      </c>
      <c r="C377" s="2" t="str">
        <f>IFERROR(__xludf.DUMMYFUNCTION("SPLIT(B377,"" "")"),"#VALUE!")</f>
        <v>#VALUE!</v>
      </c>
      <c r="E377" s="2" t="str">
        <f t="shared" si="2"/>
        <v>#VALUE!</v>
      </c>
      <c r="F377" s="2" t="str">
        <f>IFERROR(__xludf.DUMMYFUNCTION("SPLIT(E377,"" "")"),"#VALUE!")</f>
        <v>#VALUE!</v>
      </c>
      <c r="I377" s="2" t="str">
        <f t="shared" si="3"/>
        <v>#VALUE!</v>
      </c>
      <c r="J377" s="2" t="str">
        <f>IFERROR(__xludf.DUMMYFUNCTION("SPLIT(I377,"" "")"),"#VALUE!")</f>
        <v>#VALUE!</v>
      </c>
      <c r="M377" s="2" t="b">
        <f t="shared" si="4"/>
        <v>0</v>
      </c>
      <c r="N377" s="2" t="b">
        <f>IFERROR(__xludf.DUMMYFUNCTION("IF(AND(REGEXMATCH($G$4, ""cd""),M377),N376+J377)"),FALSE)</f>
        <v>0</v>
      </c>
      <c r="O377" s="2" t="str">
        <f t="shared" si="5"/>
        <v>#N/A</v>
      </c>
    </row>
    <row r="378">
      <c r="A378" s="1" t="s">
        <v>229</v>
      </c>
      <c r="B378" s="2" t="str">
        <f t="shared" si="1"/>
        <v>#VALUE!</v>
      </c>
      <c r="C378" s="2" t="str">
        <f>IFERROR(__xludf.DUMMYFUNCTION("SPLIT(B378,"" "")"),"#VALUE!")</f>
        <v>#VALUE!</v>
      </c>
      <c r="E378" s="2" t="str">
        <f t="shared" si="2"/>
        <v>#VALUE!</v>
      </c>
      <c r="F378" s="2" t="str">
        <f>IFERROR(__xludf.DUMMYFUNCTION("SPLIT(E378,"" "")"),"#VALUE!")</f>
        <v>#VALUE!</v>
      </c>
      <c r="I378" s="2" t="str">
        <f t="shared" si="3"/>
        <v>181797 hlvpfw.gsd</v>
      </c>
      <c r="J378" s="2">
        <f>IFERROR(__xludf.DUMMYFUNCTION("SPLIT(I378,"" "")"),181797.0)</f>
        <v>181797</v>
      </c>
      <c r="K378" s="2" t="str">
        <f>IFERROR(__xludf.DUMMYFUNCTION("""COMPUTED_VALUE"""),"hlvpfw.gsd")</f>
        <v>hlvpfw.gsd</v>
      </c>
      <c r="M378" s="2" t="b">
        <f t="shared" si="4"/>
        <v>1</v>
      </c>
      <c r="N378" s="2">
        <f>IFERROR(__xludf.DUMMYFUNCTION("IF(AND(REGEXMATCH($G$4, ""cd""),M378),N377+J378)"),181797.0)</f>
        <v>181797</v>
      </c>
      <c r="O378" s="2" t="str">
        <f t="shared" si="5"/>
        <v>#N/A</v>
      </c>
    </row>
    <row r="379">
      <c r="A379" s="1" t="s">
        <v>230</v>
      </c>
      <c r="B379" s="2" t="str">
        <f t="shared" si="1"/>
        <v>#VALUE!</v>
      </c>
      <c r="C379" s="2" t="str">
        <f>IFERROR(__xludf.DUMMYFUNCTION("SPLIT(B379,"" "")"),"#VALUE!")</f>
        <v>#VALUE!</v>
      </c>
      <c r="E379" s="2" t="str">
        <f t="shared" si="2"/>
        <v>#VALUE!</v>
      </c>
      <c r="F379" s="2" t="str">
        <f>IFERROR(__xludf.DUMMYFUNCTION("SPLIT(E379,"" "")"),"#VALUE!")</f>
        <v>#VALUE!</v>
      </c>
      <c r="I379" s="2" t="str">
        <f t="shared" si="3"/>
        <v>#VALUE!</v>
      </c>
      <c r="J379" s="2" t="str">
        <f>IFERROR(__xludf.DUMMYFUNCTION("SPLIT(I379,"" "")"),"#VALUE!")</f>
        <v>#VALUE!</v>
      </c>
      <c r="M379" s="2" t="b">
        <f t="shared" si="4"/>
        <v>0</v>
      </c>
      <c r="N379" s="2" t="b">
        <f>IFERROR(__xludf.DUMMYFUNCTION("IF(AND(REGEXMATCH($G$4, ""cd""),M379),N378+J379)"),FALSE)</f>
        <v>0</v>
      </c>
      <c r="O379" s="2" t="str">
        <f t="shared" si="5"/>
        <v>#N/A</v>
      </c>
    </row>
    <row r="380">
      <c r="A380" s="1" t="s">
        <v>231</v>
      </c>
      <c r="B380" s="2" t="str">
        <f t="shared" si="1"/>
        <v>#VALUE!</v>
      </c>
      <c r="C380" s="2" t="str">
        <f>IFERROR(__xludf.DUMMYFUNCTION("SPLIT(B380,"" "")"),"#VALUE!")</f>
        <v>#VALUE!</v>
      </c>
      <c r="E380" s="2" t="str">
        <f t="shared" si="2"/>
        <v>#VALUE!</v>
      </c>
      <c r="F380" s="2" t="str">
        <f>IFERROR(__xludf.DUMMYFUNCTION("SPLIT(E380,"" "")"),"#VALUE!")</f>
        <v>#VALUE!</v>
      </c>
      <c r="I380" s="2" t="str">
        <f t="shared" si="3"/>
        <v>#VALUE!</v>
      </c>
      <c r="J380" s="2" t="str">
        <f>IFERROR(__xludf.DUMMYFUNCTION("SPLIT(I380,"" "")"),"#VALUE!")</f>
        <v>#VALUE!</v>
      </c>
      <c r="M380" s="2" t="b">
        <f t="shared" si="4"/>
        <v>0</v>
      </c>
      <c r="N380" s="2" t="b">
        <f>IFERROR(__xludf.DUMMYFUNCTION("IF(AND(REGEXMATCH($G$4, ""cd""),M380),N379+J380)"),FALSE)</f>
        <v>0</v>
      </c>
      <c r="O380" s="2" t="str">
        <f t="shared" si="5"/>
        <v>#N/A</v>
      </c>
    </row>
    <row r="381">
      <c r="A381" s="1" t="s">
        <v>17</v>
      </c>
      <c r="B381" s="2" t="str">
        <f t="shared" si="1"/>
        <v>#VALUE!</v>
      </c>
      <c r="C381" s="2" t="str">
        <f>IFERROR(__xludf.DUMMYFUNCTION("SPLIT(B381,"" "")"),"#VALUE!")</f>
        <v>#VALUE!</v>
      </c>
      <c r="E381" s="2" t="str">
        <f t="shared" si="2"/>
        <v>$ cd ..</v>
      </c>
      <c r="F381" s="2" t="str">
        <f>IFERROR(__xludf.DUMMYFUNCTION("SPLIT(E381,"" "")"),"$")</f>
        <v>$</v>
      </c>
      <c r="G381" s="2" t="str">
        <f>IFERROR(__xludf.DUMMYFUNCTION("""COMPUTED_VALUE"""),"cd")</f>
        <v>cd</v>
      </c>
      <c r="H381" s="2" t="str">
        <f>IFERROR(__xludf.DUMMYFUNCTION("""COMPUTED_VALUE"""),"..")</f>
        <v>..</v>
      </c>
      <c r="I381" s="2" t="str">
        <f t="shared" si="3"/>
        <v>$ cd ..</v>
      </c>
      <c r="J381" s="2" t="str">
        <f>IFERROR(__xludf.DUMMYFUNCTION("SPLIT(I381,"" "")"),"$")</f>
        <v>$</v>
      </c>
      <c r="K381" s="2" t="str">
        <f>IFERROR(__xludf.DUMMYFUNCTION("""COMPUTED_VALUE"""),"cd")</f>
        <v>cd</v>
      </c>
      <c r="L381" s="2" t="str">
        <f>IFERROR(__xludf.DUMMYFUNCTION("""COMPUTED_VALUE"""),"..")</f>
        <v>..</v>
      </c>
      <c r="M381" s="2" t="b">
        <f t="shared" si="4"/>
        <v>0</v>
      </c>
      <c r="N381" s="2" t="b">
        <f>IFERROR(__xludf.DUMMYFUNCTION("IF(AND(REGEXMATCH($G$4, ""cd""),M381),N380+J381)"),FALSE)</f>
        <v>0</v>
      </c>
      <c r="O381" s="2" t="str">
        <f t="shared" si="5"/>
        <v>#N/A</v>
      </c>
    </row>
    <row r="382">
      <c r="A382" s="1" t="s">
        <v>63</v>
      </c>
      <c r="B382" s="2" t="str">
        <f t="shared" si="1"/>
        <v>#VALUE!</v>
      </c>
      <c r="C382" s="2" t="str">
        <f>IFERROR(__xludf.DUMMYFUNCTION("SPLIT(B382,"" "")"),"#VALUE!")</f>
        <v>#VALUE!</v>
      </c>
      <c r="E382" s="2" t="str">
        <f t="shared" si="2"/>
        <v>$ cd zcgrgff</v>
      </c>
      <c r="F382" s="2" t="str">
        <f>IFERROR(__xludf.DUMMYFUNCTION("SPLIT(E382,"" "")"),"$")</f>
        <v>$</v>
      </c>
      <c r="G382" s="2" t="str">
        <f>IFERROR(__xludf.DUMMYFUNCTION("""COMPUTED_VALUE"""),"cd")</f>
        <v>cd</v>
      </c>
      <c r="H382" s="2" t="str">
        <f>IFERROR(__xludf.DUMMYFUNCTION("""COMPUTED_VALUE"""),"zcgrgff")</f>
        <v>zcgrgff</v>
      </c>
      <c r="I382" s="2" t="str">
        <f t="shared" si="3"/>
        <v>#VALUE!</v>
      </c>
      <c r="J382" s="2" t="str">
        <f>IFERROR(__xludf.DUMMYFUNCTION("SPLIT(I382,"" "")"),"#VALUE!")</f>
        <v>#VALUE!</v>
      </c>
      <c r="M382" s="2" t="b">
        <f t="shared" si="4"/>
        <v>0</v>
      </c>
      <c r="N382" s="2" t="b">
        <f>IFERROR(__xludf.DUMMYFUNCTION("IF(AND(REGEXMATCH($G$4, ""cd""),M382),N381+J382)"),FALSE)</f>
        <v>0</v>
      </c>
      <c r="O382" s="2" t="str">
        <f t="shared" si="5"/>
        <v>#N/A</v>
      </c>
    </row>
    <row r="383">
      <c r="A383" s="1" t="s">
        <v>2</v>
      </c>
      <c r="B383" s="2" t="str">
        <f t="shared" si="1"/>
        <v>#VALUE!</v>
      </c>
      <c r="C383" s="2" t="str">
        <f>IFERROR(__xludf.DUMMYFUNCTION("SPLIT(B383,"" "")"),"#VALUE!")</f>
        <v>#VALUE!</v>
      </c>
      <c r="E383" s="2" t="str">
        <f t="shared" si="2"/>
        <v>#VALUE!</v>
      </c>
      <c r="F383" s="2" t="str">
        <f>IFERROR(__xludf.DUMMYFUNCTION("SPLIT(E383,"" "")"),"#VALUE!")</f>
        <v>#VALUE!</v>
      </c>
      <c r="I383" s="2" t="str">
        <f t="shared" si="3"/>
        <v>#VALUE!</v>
      </c>
      <c r="J383" s="2" t="str">
        <f>IFERROR(__xludf.DUMMYFUNCTION("SPLIT(I383,"" "")"),"#VALUE!")</f>
        <v>#VALUE!</v>
      </c>
      <c r="M383" s="2" t="b">
        <f t="shared" si="4"/>
        <v>0</v>
      </c>
      <c r="N383" s="2" t="b">
        <f>IFERROR(__xludf.DUMMYFUNCTION("IF(AND(REGEXMATCH($G$4, ""cd""),M383),N382+J383)"),FALSE)</f>
        <v>0</v>
      </c>
      <c r="O383" s="2" t="str">
        <f t="shared" si="5"/>
        <v>#N/A</v>
      </c>
    </row>
    <row r="384">
      <c r="A384" s="1" t="s">
        <v>232</v>
      </c>
      <c r="B384" s="2" t="str">
        <f t="shared" si="1"/>
        <v>#VALUE!</v>
      </c>
      <c r="C384" s="2" t="str">
        <f>IFERROR(__xludf.DUMMYFUNCTION("SPLIT(B384,"" "")"),"#VALUE!")</f>
        <v>#VALUE!</v>
      </c>
      <c r="E384" s="2" t="str">
        <f t="shared" si="2"/>
        <v>#VALUE!</v>
      </c>
      <c r="F384" s="2" t="str">
        <f>IFERROR(__xludf.DUMMYFUNCTION("SPLIT(E384,"" "")"),"#VALUE!")</f>
        <v>#VALUE!</v>
      </c>
      <c r="I384" s="2" t="str">
        <f t="shared" si="3"/>
        <v>#VALUE!</v>
      </c>
      <c r="J384" s="2" t="str">
        <f>IFERROR(__xludf.DUMMYFUNCTION("SPLIT(I384,"" "")"),"#VALUE!")</f>
        <v>#VALUE!</v>
      </c>
      <c r="M384" s="2" t="b">
        <f t="shared" si="4"/>
        <v>0</v>
      </c>
      <c r="N384" s="2" t="b">
        <f>IFERROR(__xludf.DUMMYFUNCTION("IF(AND(REGEXMATCH($G$4, ""cd""),M384),N383+J384)"),FALSE)</f>
        <v>0</v>
      </c>
      <c r="O384" s="2" t="str">
        <f t="shared" si="5"/>
        <v>#N/A</v>
      </c>
    </row>
    <row r="385">
      <c r="A385" s="1" t="s">
        <v>17</v>
      </c>
      <c r="B385" s="2" t="str">
        <f t="shared" si="1"/>
        <v>#VALUE!</v>
      </c>
      <c r="C385" s="2" t="str">
        <f>IFERROR(__xludf.DUMMYFUNCTION("SPLIT(B385,"" "")"),"#VALUE!")</f>
        <v>#VALUE!</v>
      </c>
      <c r="E385" s="2" t="str">
        <f t="shared" si="2"/>
        <v>$ cd ..</v>
      </c>
      <c r="F385" s="2" t="str">
        <f>IFERROR(__xludf.DUMMYFUNCTION("SPLIT(E385,"" "")"),"$")</f>
        <v>$</v>
      </c>
      <c r="G385" s="2" t="str">
        <f>IFERROR(__xludf.DUMMYFUNCTION("""COMPUTED_VALUE"""),"cd")</f>
        <v>cd</v>
      </c>
      <c r="H385" s="2" t="str">
        <f>IFERROR(__xludf.DUMMYFUNCTION("""COMPUTED_VALUE"""),"..")</f>
        <v>..</v>
      </c>
      <c r="I385" s="2" t="str">
        <f t="shared" si="3"/>
        <v>$ cd ..</v>
      </c>
      <c r="J385" s="2" t="str">
        <f>IFERROR(__xludf.DUMMYFUNCTION("SPLIT(I385,"" "")"),"$")</f>
        <v>$</v>
      </c>
      <c r="K385" s="2" t="str">
        <f>IFERROR(__xludf.DUMMYFUNCTION("""COMPUTED_VALUE"""),"cd")</f>
        <v>cd</v>
      </c>
      <c r="L385" s="2" t="str">
        <f>IFERROR(__xludf.DUMMYFUNCTION("""COMPUTED_VALUE"""),"..")</f>
        <v>..</v>
      </c>
      <c r="M385" s="2" t="b">
        <f t="shared" si="4"/>
        <v>0</v>
      </c>
      <c r="N385" s="2" t="b">
        <f>IFERROR(__xludf.DUMMYFUNCTION("IF(AND(REGEXMATCH($G$4, ""cd""),M385),N384+J385)"),FALSE)</f>
        <v>0</v>
      </c>
      <c r="O385" s="2" t="str">
        <f t="shared" si="5"/>
        <v>#N/A</v>
      </c>
    </row>
    <row r="386">
      <c r="A386" s="1" t="s">
        <v>17</v>
      </c>
      <c r="B386" s="2" t="str">
        <f t="shared" si="1"/>
        <v>#VALUE!</v>
      </c>
      <c r="C386" s="2" t="str">
        <f>IFERROR(__xludf.DUMMYFUNCTION("SPLIT(B386,"" "")"),"#VALUE!")</f>
        <v>#VALUE!</v>
      </c>
      <c r="E386" s="2" t="str">
        <f t="shared" si="2"/>
        <v>$ cd ..</v>
      </c>
      <c r="F386" s="2" t="str">
        <f>IFERROR(__xludf.DUMMYFUNCTION("SPLIT(E386,"" "")"),"$")</f>
        <v>$</v>
      </c>
      <c r="G386" s="2" t="str">
        <f>IFERROR(__xludf.DUMMYFUNCTION("""COMPUTED_VALUE"""),"cd")</f>
        <v>cd</v>
      </c>
      <c r="H386" s="2" t="str">
        <f>IFERROR(__xludf.DUMMYFUNCTION("""COMPUTED_VALUE"""),"..")</f>
        <v>..</v>
      </c>
      <c r="I386" s="2" t="str">
        <f t="shared" si="3"/>
        <v>$ cd ..</v>
      </c>
      <c r="J386" s="2" t="str">
        <f>IFERROR(__xludf.DUMMYFUNCTION("SPLIT(I386,"" "")"),"$")</f>
        <v>$</v>
      </c>
      <c r="K386" s="2" t="str">
        <f>IFERROR(__xludf.DUMMYFUNCTION("""COMPUTED_VALUE"""),"cd")</f>
        <v>cd</v>
      </c>
      <c r="L386" s="2" t="str">
        <f>IFERROR(__xludf.DUMMYFUNCTION("""COMPUTED_VALUE"""),"..")</f>
        <v>..</v>
      </c>
      <c r="M386" s="2" t="b">
        <f t="shared" si="4"/>
        <v>0</v>
      </c>
      <c r="N386" s="2" t="b">
        <f>IFERROR(__xludf.DUMMYFUNCTION("IF(AND(REGEXMATCH($G$4, ""cd""),M386),N385+J386)"),FALSE)</f>
        <v>0</v>
      </c>
      <c r="O386" s="2" t="str">
        <f t="shared" si="5"/>
        <v>#N/A</v>
      </c>
    </row>
    <row r="387">
      <c r="A387" s="1" t="s">
        <v>233</v>
      </c>
      <c r="B387" s="2" t="str">
        <f t="shared" si="1"/>
        <v>#VALUE!</v>
      </c>
      <c r="C387" s="2" t="str">
        <f>IFERROR(__xludf.DUMMYFUNCTION("SPLIT(B387,"" "")"),"#VALUE!")</f>
        <v>#VALUE!</v>
      </c>
      <c r="E387" s="2" t="str">
        <f t="shared" si="2"/>
        <v>$ cd njtrhrfm</v>
      </c>
      <c r="F387" s="2" t="str">
        <f>IFERROR(__xludf.DUMMYFUNCTION("SPLIT(E387,"" "")"),"$")</f>
        <v>$</v>
      </c>
      <c r="G387" s="2" t="str">
        <f>IFERROR(__xludf.DUMMYFUNCTION("""COMPUTED_VALUE"""),"cd")</f>
        <v>cd</v>
      </c>
      <c r="H387" s="2" t="str">
        <f>IFERROR(__xludf.DUMMYFUNCTION("""COMPUTED_VALUE"""),"njtrhrfm")</f>
        <v>njtrhrfm</v>
      </c>
      <c r="I387" s="2" t="str">
        <f t="shared" si="3"/>
        <v>#VALUE!</v>
      </c>
      <c r="J387" s="2" t="str">
        <f>IFERROR(__xludf.DUMMYFUNCTION("SPLIT(I387,"" "")"),"#VALUE!")</f>
        <v>#VALUE!</v>
      </c>
      <c r="M387" s="2" t="b">
        <f t="shared" si="4"/>
        <v>0</v>
      </c>
      <c r="N387" s="2" t="b">
        <f>IFERROR(__xludf.DUMMYFUNCTION("IF(AND(REGEXMATCH($G$4, ""cd""),M387),N386+J387)"),FALSE)</f>
        <v>0</v>
      </c>
      <c r="O387" s="2" t="str">
        <f t="shared" si="5"/>
        <v>#N/A</v>
      </c>
    </row>
    <row r="388">
      <c r="A388" s="1" t="s">
        <v>2</v>
      </c>
      <c r="B388" s="2" t="str">
        <f t="shared" si="1"/>
        <v>#VALUE!</v>
      </c>
      <c r="C388" s="2" t="str">
        <f>IFERROR(__xludf.DUMMYFUNCTION("SPLIT(B388,"" "")"),"#VALUE!")</f>
        <v>#VALUE!</v>
      </c>
      <c r="E388" s="2" t="str">
        <f t="shared" si="2"/>
        <v>#VALUE!</v>
      </c>
      <c r="F388" s="2" t="str">
        <f>IFERROR(__xludf.DUMMYFUNCTION("SPLIT(E388,"" "")"),"#VALUE!")</f>
        <v>#VALUE!</v>
      </c>
      <c r="I388" s="2" t="str">
        <f t="shared" si="3"/>
        <v>#VALUE!</v>
      </c>
      <c r="J388" s="2" t="str">
        <f>IFERROR(__xludf.DUMMYFUNCTION("SPLIT(I388,"" "")"),"#VALUE!")</f>
        <v>#VALUE!</v>
      </c>
      <c r="M388" s="2" t="b">
        <f t="shared" si="4"/>
        <v>0</v>
      </c>
      <c r="N388" s="2" t="b">
        <f>IFERROR(__xludf.DUMMYFUNCTION("IF(AND(REGEXMATCH($G$4, ""cd""),M388),N387+J388)"),FALSE)</f>
        <v>0</v>
      </c>
      <c r="O388" s="2" t="str">
        <f t="shared" si="5"/>
        <v>#N/A</v>
      </c>
    </row>
    <row r="389">
      <c r="A389" s="1" t="s">
        <v>234</v>
      </c>
      <c r="B389" s="2" t="str">
        <f t="shared" si="1"/>
        <v>dir dqpjdztt</v>
      </c>
      <c r="C389" s="2" t="str">
        <f>IFERROR(__xludf.DUMMYFUNCTION("SPLIT(B389,"" "")"),"dir")</f>
        <v>dir</v>
      </c>
      <c r="D389" s="2" t="str">
        <f>IFERROR(__xludf.DUMMYFUNCTION("""COMPUTED_VALUE"""),"dqpjdztt")</f>
        <v>dqpjdztt</v>
      </c>
      <c r="E389" s="2" t="str">
        <f t="shared" si="2"/>
        <v>#VALUE!</v>
      </c>
      <c r="F389" s="2" t="str">
        <f>IFERROR(__xludf.DUMMYFUNCTION("SPLIT(E389,"" "")"),"#VALUE!")</f>
        <v>#VALUE!</v>
      </c>
      <c r="I389" s="2" t="str">
        <f t="shared" si="3"/>
        <v>#VALUE!</v>
      </c>
      <c r="J389" s="2" t="str">
        <f>IFERROR(__xludf.DUMMYFUNCTION("SPLIT(I389,"" "")"),"#VALUE!")</f>
        <v>#VALUE!</v>
      </c>
      <c r="M389" s="2" t="b">
        <f t="shared" si="4"/>
        <v>0</v>
      </c>
      <c r="N389" s="2" t="b">
        <f>IFERROR(__xludf.DUMMYFUNCTION("IF(AND(REGEXMATCH($G$4, ""cd""),M389),N388+J389)"),FALSE)</f>
        <v>0</v>
      </c>
      <c r="O389" s="2" t="str">
        <f t="shared" si="5"/>
        <v>#N/A</v>
      </c>
    </row>
    <row r="390">
      <c r="A390" s="1" t="s">
        <v>235</v>
      </c>
      <c r="B390" s="2" t="str">
        <f t="shared" si="1"/>
        <v>#VALUE!</v>
      </c>
      <c r="C390" s="2" t="str">
        <f>IFERROR(__xludf.DUMMYFUNCTION("SPLIT(B390,"" "")"),"#VALUE!")</f>
        <v>#VALUE!</v>
      </c>
      <c r="E390" s="2" t="str">
        <f t="shared" si="2"/>
        <v>$ cd dqpjdztt</v>
      </c>
      <c r="F390" s="2" t="str">
        <f>IFERROR(__xludf.DUMMYFUNCTION("SPLIT(E390,"" "")"),"$")</f>
        <v>$</v>
      </c>
      <c r="G390" s="2" t="str">
        <f>IFERROR(__xludf.DUMMYFUNCTION("""COMPUTED_VALUE"""),"cd")</f>
        <v>cd</v>
      </c>
      <c r="H390" s="2" t="str">
        <f>IFERROR(__xludf.DUMMYFUNCTION("""COMPUTED_VALUE"""),"dqpjdztt")</f>
        <v>dqpjdztt</v>
      </c>
      <c r="I390" s="2" t="str">
        <f t="shared" si="3"/>
        <v>#VALUE!</v>
      </c>
      <c r="J390" s="2" t="str">
        <f>IFERROR(__xludf.DUMMYFUNCTION("SPLIT(I390,"" "")"),"#VALUE!")</f>
        <v>#VALUE!</v>
      </c>
      <c r="M390" s="2" t="b">
        <f t="shared" si="4"/>
        <v>0</v>
      </c>
      <c r="N390" s="2" t="b">
        <f>IFERROR(__xludf.DUMMYFUNCTION("IF(AND(REGEXMATCH($G$4, ""cd""),M390),N389+J390)"),FALSE)</f>
        <v>0</v>
      </c>
      <c r="O390" s="2" t="str">
        <f t="shared" si="5"/>
        <v>#N/A</v>
      </c>
    </row>
    <row r="391">
      <c r="A391" s="1" t="s">
        <v>2</v>
      </c>
      <c r="B391" s="2" t="str">
        <f t="shared" si="1"/>
        <v>#VALUE!</v>
      </c>
      <c r="C391" s="2" t="str">
        <f>IFERROR(__xludf.DUMMYFUNCTION("SPLIT(B391,"" "")"),"#VALUE!")</f>
        <v>#VALUE!</v>
      </c>
      <c r="E391" s="2" t="str">
        <f t="shared" si="2"/>
        <v>#VALUE!</v>
      </c>
      <c r="F391" s="2" t="str">
        <f>IFERROR(__xludf.DUMMYFUNCTION("SPLIT(E391,"" "")"),"#VALUE!")</f>
        <v>#VALUE!</v>
      </c>
      <c r="I391" s="2" t="str">
        <f t="shared" si="3"/>
        <v>#VALUE!</v>
      </c>
      <c r="J391" s="2" t="str">
        <f>IFERROR(__xludf.DUMMYFUNCTION("SPLIT(I391,"" "")"),"#VALUE!")</f>
        <v>#VALUE!</v>
      </c>
      <c r="M391" s="2" t="b">
        <f t="shared" si="4"/>
        <v>0</v>
      </c>
      <c r="N391" s="2" t="b">
        <f>IFERROR(__xludf.DUMMYFUNCTION("IF(AND(REGEXMATCH($G$4, ""cd""),M391),N390+J391)"),FALSE)</f>
        <v>0</v>
      </c>
      <c r="O391" s="2" t="str">
        <f t="shared" si="5"/>
        <v>#N/A</v>
      </c>
    </row>
    <row r="392">
      <c r="A392" s="1" t="s">
        <v>236</v>
      </c>
      <c r="B392" s="2" t="str">
        <f t="shared" si="1"/>
        <v>#VALUE!</v>
      </c>
      <c r="C392" s="2" t="str">
        <f>IFERROR(__xludf.DUMMYFUNCTION("SPLIT(B392,"" "")"),"#VALUE!")</f>
        <v>#VALUE!</v>
      </c>
      <c r="E392" s="2" t="str">
        <f t="shared" si="2"/>
        <v>#VALUE!</v>
      </c>
      <c r="F392" s="2" t="str">
        <f>IFERROR(__xludf.DUMMYFUNCTION("SPLIT(E392,"" "")"),"#VALUE!")</f>
        <v>#VALUE!</v>
      </c>
      <c r="I392" s="2" t="str">
        <f t="shared" si="3"/>
        <v>#VALUE!</v>
      </c>
      <c r="J392" s="2" t="str">
        <f>IFERROR(__xludf.DUMMYFUNCTION("SPLIT(I392,"" "")"),"#VALUE!")</f>
        <v>#VALUE!</v>
      </c>
      <c r="M392" s="2" t="b">
        <f t="shared" si="4"/>
        <v>0</v>
      </c>
      <c r="N392" s="2" t="b">
        <f>IFERROR(__xludf.DUMMYFUNCTION("IF(AND(REGEXMATCH($G$4, ""cd""),M392),N391+J392)"),FALSE)</f>
        <v>0</v>
      </c>
      <c r="O392" s="2" t="str">
        <f t="shared" si="5"/>
        <v>#N/A</v>
      </c>
    </row>
    <row r="393">
      <c r="A393" s="1" t="s">
        <v>17</v>
      </c>
      <c r="B393" s="2" t="str">
        <f t="shared" si="1"/>
        <v>#VALUE!</v>
      </c>
      <c r="C393" s="2" t="str">
        <f>IFERROR(__xludf.DUMMYFUNCTION("SPLIT(B393,"" "")"),"#VALUE!")</f>
        <v>#VALUE!</v>
      </c>
      <c r="E393" s="2" t="str">
        <f t="shared" si="2"/>
        <v>$ cd ..</v>
      </c>
      <c r="F393" s="2" t="str">
        <f>IFERROR(__xludf.DUMMYFUNCTION("SPLIT(E393,"" "")"),"$")</f>
        <v>$</v>
      </c>
      <c r="G393" s="2" t="str">
        <f>IFERROR(__xludf.DUMMYFUNCTION("""COMPUTED_VALUE"""),"cd")</f>
        <v>cd</v>
      </c>
      <c r="H393" s="2" t="str">
        <f>IFERROR(__xludf.DUMMYFUNCTION("""COMPUTED_VALUE"""),"..")</f>
        <v>..</v>
      </c>
      <c r="I393" s="2" t="str">
        <f t="shared" si="3"/>
        <v>$ cd ..</v>
      </c>
      <c r="J393" s="2" t="str">
        <f>IFERROR(__xludf.DUMMYFUNCTION("SPLIT(I393,"" "")"),"$")</f>
        <v>$</v>
      </c>
      <c r="K393" s="2" t="str">
        <f>IFERROR(__xludf.DUMMYFUNCTION("""COMPUTED_VALUE"""),"cd")</f>
        <v>cd</v>
      </c>
      <c r="L393" s="2" t="str">
        <f>IFERROR(__xludf.DUMMYFUNCTION("""COMPUTED_VALUE"""),"..")</f>
        <v>..</v>
      </c>
      <c r="M393" s="2" t="b">
        <f t="shared" si="4"/>
        <v>0</v>
      </c>
      <c r="N393" s="2" t="b">
        <f>IFERROR(__xludf.DUMMYFUNCTION("IF(AND(REGEXMATCH($G$4, ""cd""),M393),N392+J393)"),FALSE)</f>
        <v>0</v>
      </c>
      <c r="O393" s="2" t="str">
        <f t="shared" si="5"/>
        <v>#N/A</v>
      </c>
    </row>
    <row r="394">
      <c r="A394" s="1" t="s">
        <v>17</v>
      </c>
      <c r="B394" s="2" t="str">
        <f t="shared" si="1"/>
        <v>#VALUE!</v>
      </c>
      <c r="C394" s="2" t="str">
        <f>IFERROR(__xludf.DUMMYFUNCTION("SPLIT(B394,"" "")"),"#VALUE!")</f>
        <v>#VALUE!</v>
      </c>
      <c r="E394" s="2" t="str">
        <f t="shared" si="2"/>
        <v>$ cd ..</v>
      </c>
      <c r="F394" s="2" t="str">
        <f>IFERROR(__xludf.DUMMYFUNCTION("SPLIT(E394,"" "")"),"$")</f>
        <v>$</v>
      </c>
      <c r="G394" s="2" t="str">
        <f>IFERROR(__xludf.DUMMYFUNCTION("""COMPUTED_VALUE"""),"cd")</f>
        <v>cd</v>
      </c>
      <c r="H394" s="2" t="str">
        <f>IFERROR(__xludf.DUMMYFUNCTION("""COMPUTED_VALUE"""),"..")</f>
        <v>..</v>
      </c>
      <c r="I394" s="2" t="str">
        <f t="shared" si="3"/>
        <v>$ cd ..</v>
      </c>
      <c r="J394" s="2" t="str">
        <f>IFERROR(__xludf.DUMMYFUNCTION("SPLIT(I394,"" "")"),"$")</f>
        <v>$</v>
      </c>
      <c r="K394" s="2" t="str">
        <f>IFERROR(__xludf.DUMMYFUNCTION("""COMPUTED_VALUE"""),"cd")</f>
        <v>cd</v>
      </c>
      <c r="L394" s="2" t="str">
        <f>IFERROR(__xludf.DUMMYFUNCTION("""COMPUTED_VALUE"""),"..")</f>
        <v>..</v>
      </c>
      <c r="M394" s="2" t="b">
        <f t="shared" si="4"/>
        <v>0</v>
      </c>
      <c r="N394" s="2" t="b">
        <f>IFERROR(__xludf.DUMMYFUNCTION("IF(AND(REGEXMATCH($G$4, ""cd""),M394),N393+J394)"),FALSE)</f>
        <v>0</v>
      </c>
      <c r="O394" s="2" t="str">
        <f t="shared" si="5"/>
        <v>#N/A</v>
      </c>
    </row>
    <row r="395">
      <c r="A395" s="1" t="s">
        <v>237</v>
      </c>
      <c r="B395" s="2" t="str">
        <f t="shared" si="1"/>
        <v>#VALUE!</v>
      </c>
      <c r="C395" s="2" t="str">
        <f>IFERROR(__xludf.DUMMYFUNCTION("SPLIT(B395,"" "")"),"#VALUE!")</f>
        <v>#VALUE!</v>
      </c>
      <c r="E395" s="2" t="str">
        <f t="shared" si="2"/>
        <v>$ cd tvq</v>
      </c>
      <c r="F395" s="2" t="str">
        <f>IFERROR(__xludf.DUMMYFUNCTION("SPLIT(E395,"" "")"),"$")</f>
        <v>$</v>
      </c>
      <c r="G395" s="2" t="str">
        <f>IFERROR(__xludf.DUMMYFUNCTION("""COMPUTED_VALUE"""),"cd")</f>
        <v>cd</v>
      </c>
      <c r="H395" s="2" t="str">
        <f>IFERROR(__xludf.DUMMYFUNCTION("""COMPUTED_VALUE"""),"tvq")</f>
        <v>tvq</v>
      </c>
      <c r="I395" s="2" t="str">
        <f t="shared" si="3"/>
        <v>#VALUE!</v>
      </c>
      <c r="J395" s="2" t="str">
        <f>IFERROR(__xludf.DUMMYFUNCTION("SPLIT(I395,"" "")"),"#VALUE!")</f>
        <v>#VALUE!</v>
      </c>
      <c r="M395" s="2" t="b">
        <f t="shared" si="4"/>
        <v>0</v>
      </c>
      <c r="N395" s="2" t="b">
        <f>IFERROR(__xludf.DUMMYFUNCTION("IF(AND(REGEXMATCH($G$4, ""cd""),M395),N394+J395)"),FALSE)</f>
        <v>0</v>
      </c>
      <c r="O395" s="2" t="str">
        <f t="shared" si="5"/>
        <v>#N/A</v>
      </c>
    </row>
    <row r="396">
      <c r="A396" s="1" t="s">
        <v>2</v>
      </c>
      <c r="B396" s="2" t="str">
        <f t="shared" si="1"/>
        <v>#VALUE!</v>
      </c>
      <c r="C396" s="2" t="str">
        <f>IFERROR(__xludf.DUMMYFUNCTION("SPLIT(B396,"" "")"),"#VALUE!")</f>
        <v>#VALUE!</v>
      </c>
      <c r="E396" s="2" t="str">
        <f t="shared" si="2"/>
        <v>#VALUE!</v>
      </c>
      <c r="F396" s="2" t="str">
        <f>IFERROR(__xludf.DUMMYFUNCTION("SPLIT(E396,"" "")"),"#VALUE!")</f>
        <v>#VALUE!</v>
      </c>
      <c r="I396" s="2" t="str">
        <f t="shared" si="3"/>
        <v>#VALUE!</v>
      </c>
      <c r="J396" s="2" t="str">
        <f>IFERROR(__xludf.DUMMYFUNCTION("SPLIT(I396,"" "")"),"#VALUE!")</f>
        <v>#VALUE!</v>
      </c>
      <c r="M396" s="2" t="b">
        <f t="shared" si="4"/>
        <v>0</v>
      </c>
      <c r="N396" s="2" t="b">
        <f>IFERROR(__xludf.DUMMYFUNCTION("IF(AND(REGEXMATCH($G$4, ""cd""),M396),N395+J396)"),FALSE)</f>
        <v>0</v>
      </c>
      <c r="O396" s="2" t="str">
        <f t="shared" si="5"/>
        <v>#N/A</v>
      </c>
    </row>
    <row r="397">
      <c r="A397" s="1" t="s">
        <v>238</v>
      </c>
      <c r="B397" s="2" t="str">
        <f t="shared" si="1"/>
        <v>#VALUE!</v>
      </c>
      <c r="C397" s="2" t="str">
        <f>IFERROR(__xludf.DUMMYFUNCTION("SPLIT(B397,"" "")"),"#VALUE!")</f>
        <v>#VALUE!</v>
      </c>
      <c r="E397" s="2" t="str">
        <f t="shared" si="2"/>
        <v>#VALUE!</v>
      </c>
      <c r="F397" s="2" t="str">
        <f>IFERROR(__xludf.DUMMYFUNCTION("SPLIT(E397,"" "")"),"#VALUE!")</f>
        <v>#VALUE!</v>
      </c>
      <c r="I397" s="2" t="str">
        <f t="shared" si="3"/>
        <v>233085 rmq.zgq</v>
      </c>
      <c r="J397" s="2">
        <f>IFERROR(__xludf.DUMMYFUNCTION("SPLIT(I397,"" "")"),233085.0)</f>
        <v>233085</v>
      </c>
      <c r="K397" s="2" t="str">
        <f>IFERROR(__xludf.DUMMYFUNCTION("""COMPUTED_VALUE"""),"rmq.zgq")</f>
        <v>rmq.zgq</v>
      </c>
      <c r="M397" s="2" t="b">
        <f t="shared" si="4"/>
        <v>1</v>
      </c>
      <c r="N397" s="2">
        <f>IFERROR(__xludf.DUMMYFUNCTION("IF(AND(REGEXMATCH($G$4, ""cd""),M397),N396+J397)"),233085.0)</f>
        <v>233085</v>
      </c>
      <c r="O397" s="2" t="str">
        <f t="shared" si="5"/>
        <v>#N/A</v>
      </c>
    </row>
    <row r="398">
      <c r="A398" s="1" t="s">
        <v>239</v>
      </c>
      <c r="B398" s="2" t="str">
        <f t="shared" si="1"/>
        <v>#VALUE!</v>
      </c>
      <c r="C398" s="2" t="str">
        <f>IFERROR(__xludf.DUMMYFUNCTION("SPLIT(B398,"" "")"),"#VALUE!")</f>
        <v>#VALUE!</v>
      </c>
      <c r="E398" s="2" t="str">
        <f t="shared" si="2"/>
        <v>#VALUE!</v>
      </c>
      <c r="F398" s="2" t="str">
        <f>IFERROR(__xludf.DUMMYFUNCTION("SPLIT(E398,"" "")"),"#VALUE!")</f>
        <v>#VALUE!</v>
      </c>
      <c r="I398" s="2" t="str">
        <f t="shared" si="3"/>
        <v>215613 slzdbm.wvf</v>
      </c>
      <c r="J398" s="2">
        <f>IFERROR(__xludf.DUMMYFUNCTION("SPLIT(I398,"" "")"),215613.0)</f>
        <v>215613</v>
      </c>
      <c r="K398" s="2" t="str">
        <f>IFERROR(__xludf.DUMMYFUNCTION("""COMPUTED_VALUE"""),"slzdbm.wvf")</f>
        <v>slzdbm.wvf</v>
      </c>
      <c r="M398" s="2" t="b">
        <f t="shared" si="4"/>
        <v>1</v>
      </c>
      <c r="N398" s="2">
        <f>IFERROR(__xludf.DUMMYFUNCTION("IF(AND(REGEXMATCH($G$4, ""cd""),M398),N397+J398)"),448698.0)</f>
        <v>448698</v>
      </c>
      <c r="O398" s="2" t="str">
        <f t="shared" si="5"/>
        <v>#N/A</v>
      </c>
    </row>
    <row r="399">
      <c r="A399" s="1" t="s">
        <v>17</v>
      </c>
      <c r="B399" s="2" t="str">
        <f t="shared" si="1"/>
        <v>#VALUE!</v>
      </c>
      <c r="C399" s="2" t="str">
        <f>IFERROR(__xludf.DUMMYFUNCTION("SPLIT(B399,"" "")"),"#VALUE!")</f>
        <v>#VALUE!</v>
      </c>
      <c r="E399" s="2" t="str">
        <f t="shared" si="2"/>
        <v>$ cd ..</v>
      </c>
      <c r="F399" s="2" t="str">
        <f>IFERROR(__xludf.DUMMYFUNCTION("SPLIT(E399,"" "")"),"$")</f>
        <v>$</v>
      </c>
      <c r="G399" s="2" t="str">
        <f>IFERROR(__xludf.DUMMYFUNCTION("""COMPUTED_VALUE"""),"cd")</f>
        <v>cd</v>
      </c>
      <c r="H399" s="2" t="str">
        <f>IFERROR(__xludf.DUMMYFUNCTION("""COMPUTED_VALUE"""),"..")</f>
        <v>..</v>
      </c>
      <c r="I399" s="2" t="str">
        <f t="shared" si="3"/>
        <v>$ cd ..</v>
      </c>
      <c r="J399" s="2" t="str">
        <f>IFERROR(__xludf.DUMMYFUNCTION("SPLIT(I399,"" "")"),"$")</f>
        <v>$</v>
      </c>
      <c r="K399" s="2" t="str">
        <f>IFERROR(__xludf.DUMMYFUNCTION("""COMPUTED_VALUE"""),"cd")</f>
        <v>cd</v>
      </c>
      <c r="L399" s="2" t="str">
        <f>IFERROR(__xludf.DUMMYFUNCTION("""COMPUTED_VALUE"""),"..")</f>
        <v>..</v>
      </c>
      <c r="M399" s="2" t="b">
        <f t="shared" si="4"/>
        <v>0</v>
      </c>
      <c r="N399" s="2" t="b">
        <f>IFERROR(__xludf.DUMMYFUNCTION("IF(AND(REGEXMATCH($G$4, ""cd""),M399),N398+J399)"),FALSE)</f>
        <v>0</v>
      </c>
      <c r="O399" s="2" t="str">
        <f t="shared" si="5"/>
        <v>#N/A</v>
      </c>
    </row>
    <row r="400">
      <c r="A400" s="1" t="s">
        <v>240</v>
      </c>
      <c r="B400" s="2" t="str">
        <f t="shared" si="1"/>
        <v>#VALUE!</v>
      </c>
      <c r="C400" s="2" t="str">
        <f>IFERROR(__xludf.DUMMYFUNCTION("SPLIT(B400,"" "")"),"#VALUE!")</f>
        <v>#VALUE!</v>
      </c>
      <c r="E400" s="2" t="str">
        <f t="shared" si="2"/>
        <v>$ cd wshgn</v>
      </c>
      <c r="F400" s="2" t="str">
        <f>IFERROR(__xludf.DUMMYFUNCTION("SPLIT(E400,"" "")"),"$")</f>
        <v>$</v>
      </c>
      <c r="G400" s="2" t="str">
        <f>IFERROR(__xludf.DUMMYFUNCTION("""COMPUTED_VALUE"""),"cd")</f>
        <v>cd</v>
      </c>
      <c r="H400" s="2" t="str">
        <f>IFERROR(__xludf.DUMMYFUNCTION("""COMPUTED_VALUE"""),"wshgn")</f>
        <v>wshgn</v>
      </c>
      <c r="I400" s="2" t="str">
        <f t="shared" si="3"/>
        <v>#VALUE!</v>
      </c>
      <c r="J400" s="2" t="str">
        <f>IFERROR(__xludf.DUMMYFUNCTION("SPLIT(I400,"" "")"),"#VALUE!")</f>
        <v>#VALUE!</v>
      </c>
      <c r="M400" s="2" t="b">
        <f t="shared" si="4"/>
        <v>0</v>
      </c>
      <c r="N400" s="2" t="b">
        <f>IFERROR(__xludf.DUMMYFUNCTION("IF(AND(REGEXMATCH($G$4, ""cd""),M400),N399+J400)"),FALSE)</f>
        <v>0</v>
      </c>
      <c r="O400" s="2" t="str">
        <f t="shared" si="5"/>
        <v>#N/A</v>
      </c>
    </row>
    <row r="401">
      <c r="A401" s="1" t="s">
        <v>2</v>
      </c>
      <c r="B401" s="2" t="str">
        <f t="shared" si="1"/>
        <v>#VALUE!</v>
      </c>
      <c r="C401" s="2" t="str">
        <f>IFERROR(__xludf.DUMMYFUNCTION("SPLIT(B401,"" "")"),"#VALUE!")</f>
        <v>#VALUE!</v>
      </c>
      <c r="E401" s="2" t="str">
        <f t="shared" si="2"/>
        <v>#VALUE!</v>
      </c>
      <c r="F401" s="2" t="str">
        <f>IFERROR(__xludf.DUMMYFUNCTION("SPLIT(E401,"" "")"),"#VALUE!")</f>
        <v>#VALUE!</v>
      </c>
      <c r="I401" s="2" t="str">
        <f t="shared" si="3"/>
        <v>#VALUE!</v>
      </c>
      <c r="J401" s="2" t="str">
        <f>IFERROR(__xludf.DUMMYFUNCTION("SPLIT(I401,"" "")"),"#VALUE!")</f>
        <v>#VALUE!</v>
      </c>
      <c r="M401" s="2" t="b">
        <f t="shared" si="4"/>
        <v>0</v>
      </c>
      <c r="N401" s="2" t="b">
        <f>IFERROR(__xludf.DUMMYFUNCTION("IF(AND(REGEXMATCH($G$4, ""cd""),M401),N400+J401)"),FALSE)</f>
        <v>0</v>
      </c>
      <c r="O401" s="2" t="str">
        <f t="shared" si="5"/>
        <v>#N/A</v>
      </c>
    </row>
    <row r="402">
      <c r="A402" s="1" t="s">
        <v>241</v>
      </c>
      <c r="B402" s="2" t="str">
        <f t="shared" si="1"/>
        <v>#VALUE!</v>
      </c>
      <c r="C402" s="2" t="str">
        <f>IFERROR(__xludf.DUMMYFUNCTION("SPLIT(B402,"" "")"),"#VALUE!")</f>
        <v>#VALUE!</v>
      </c>
      <c r="E402" s="2" t="str">
        <f t="shared" si="2"/>
        <v>#VALUE!</v>
      </c>
      <c r="F402" s="2" t="str">
        <f>IFERROR(__xludf.DUMMYFUNCTION("SPLIT(E402,"" "")"),"#VALUE!")</f>
        <v>#VALUE!</v>
      </c>
      <c r="I402" s="2" t="str">
        <f t="shared" si="3"/>
        <v>209007 jnwr.hsr</v>
      </c>
      <c r="J402" s="2">
        <f>IFERROR(__xludf.DUMMYFUNCTION("SPLIT(I402,"" "")"),209007.0)</f>
        <v>209007</v>
      </c>
      <c r="K402" s="2" t="str">
        <f>IFERROR(__xludf.DUMMYFUNCTION("""COMPUTED_VALUE"""),"jnwr.hsr")</f>
        <v>jnwr.hsr</v>
      </c>
      <c r="M402" s="2" t="b">
        <f t="shared" si="4"/>
        <v>1</v>
      </c>
      <c r="N402" s="2">
        <f>IFERROR(__xludf.DUMMYFUNCTION("IF(AND(REGEXMATCH($G$4, ""cd""),M402),N401+J402)"),209007.0)</f>
        <v>209007</v>
      </c>
      <c r="O402" s="2" t="str">
        <f t="shared" si="5"/>
        <v>#N/A</v>
      </c>
    </row>
    <row r="403">
      <c r="A403" s="1" t="s">
        <v>242</v>
      </c>
      <c r="B403" s="2" t="str">
        <f t="shared" si="1"/>
        <v>dir ntrlll</v>
      </c>
      <c r="C403" s="2" t="str">
        <f>IFERROR(__xludf.DUMMYFUNCTION("SPLIT(B403,"" "")"),"dir")</f>
        <v>dir</v>
      </c>
      <c r="D403" s="2" t="str">
        <f>IFERROR(__xludf.DUMMYFUNCTION("""COMPUTED_VALUE"""),"ntrlll")</f>
        <v>ntrlll</v>
      </c>
      <c r="E403" s="2" t="str">
        <f t="shared" si="2"/>
        <v>#VALUE!</v>
      </c>
      <c r="F403" s="2" t="str">
        <f>IFERROR(__xludf.DUMMYFUNCTION("SPLIT(E403,"" "")"),"#VALUE!")</f>
        <v>#VALUE!</v>
      </c>
      <c r="I403" s="2" t="str">
        <f t="shared" si="3"/>
        <v>#VALUE!</v>
      </c>
      <c r="J403" s="2" t="str">
        <f>IFERROR(__xludf.DUMMYFUNCTION("SPLIT(I403,"" "")"),"#VALUE!")</f>
        <v>#VALUE!</v>
      </c>
      <c r="M403" s="2" t="b">
        <f t="shared" si="4"/>
        <v>0</v>
      </c>
      <c r="N403" s="2" t="b">
        <f>IFERROR(__xludf.DUMMYFUNCTION("IF(AND(REGEXMATCH($G$4, ""cd""),M403),N402+J403)"),FALSE)</f>
        <v>0</v>
      </c>
      <c r="O403" s="2" t="str">
        <f t="shared" si="5"/>
        <v>#N/A</v>
      </c>
    </row>
    <row r="404">
      <c r="A404" s="1" t="s">
        <v>243</v>
      </c>
      <c r="B404" s="2" t="str">
        <f t="shared" si="1"/>
        <v>#VALUE!</v>
      </c>
      <c r="C404" s="2" t="str">
        <f>IFERROR(__xludf.DUMMYFUNCTION("SPLIT(B404,"" "")"),"#VALUE!")</f>
        <v>#VALUE!</v>
      </c>
      <c r="E404" s="2" t="str">
        <f t="shared" si="2"/>
        <v>$ cd ntrlll</v>
      </c>
      <c r="F404" s="2" t="str">
        <f>IFERROR(__xludf.DUMMYFUNCTION("SPLIT(E404,"" "")"),"$")</f>
        <v>$</v>
      </c>
      <c r="G404" s="2" t="str">
        <f>IFERROR(__xludf.DUMMYFUNCTION("""COMPUTED_VALUE"""),"cd")</f>
        <v>cd</v>
      </c>
      <c r="H404" s="2" t="str">
        <f>IFERROR(__xludf.DUMMYFUNCTION("""COMPUTED_VALUE"""),"ntrlll")</f>
        <v>ntrlll</v>
      </c>
      <c r="I404" s="2" t="str">
        <f t="shared" si="3"/>
        <v>#VALUE!</v>
      </c>
      <c r="J404" s="2" t="str">
        <f>IFERROR(__xludf.DUMMYFUNCTION("SPLIT(I404,"" "")"),"#VALUE!")</f>
        <v>#VALUE!</v>
      </c>
      <c r="M404" s="2" t="b">
        <f t="shared" si="4"/>
        <v>0</v>
      </c>
      <c r="N404" s="2" t="b">
        <f>IFERROR(__xludf.DUMMYFUNCTION("IF(AND(REGEXMATCH($G$4, ""cd""),M404),N403+J404)"),FALSE)</f>
        <v>0</v>
      </c>
      <c r="O404" s="2" t="str">
        <f t="shared" si="5"/>
        <v>#N/A</v>
      </c>
    </row>
    <row r="405">
      <c r="A405" s="1" t="s">
        <v>2</v>
      </c>
      <c r="B405" s="2" t="str">
        <f t="shared" si="1"/>
        <v>#VALUE!</v>
      </c>
      <c r="C405" s="2" t="str">
        <f>IFERROR(__xludf.DUMMYFUNCTION("SPLIT(B405,"" "")"),"#VALUE!")</f>
        <v>#VALUE!</v>
      </c>
      <c r="E405" s="2" t="str">
        <f t="shared" si="2"/>
        <v>#VALUE!</v>
      </c>
      <c r="F405" s="2" t="str">
        <f>IFERROR(__xludf.DUMMYFUNCTION("SPLIT(E405,"" "")"),"#VALUE!")</f>
        <v>#VALUE!</v>
      </c>
      <c r="I405" s="2" t="str">
        <f t="shared" si="3"/>
        <v>#VALUE!</v>
      </c>
      <c r="J405" s="2" t="str">
        <f>IFERROR(__xludf.DUMMYFUNCTION("SPLIT(I405,"" "")"),"#VALUE!")</f>
        <v>#VALUE!</v>
      </c>
      <c r="M405" s="2" t="b">
        <f t="shared" si="4"/>
        <v>0</v>
      </c>
      <c r="N405" s="2" t="b">
        <f>IFERROR(__xludf.DUMMYFUNCTION("IF(AND(REGEXMATCH($G$4, ""cd""),M405),N404+J405)"),FALSE)</f>
        <v>0</v>
      </c>
      <c r="O405" s="2" t="str">
        <f t="shared" si="5"/>
        <v>#N/A</v>
      </c>
    </row>
    <row r="406">
      <c r="A406" s="1" t="s">
        <v>244</v>
      </c>
      <c r="B406" s="2" t="str">
        <f t="shared" si="1"/>
        <v>#VALUE!</v>
      </c>
      <c r="C406" s="2" t="str">
        <f>IFERROR(__xludf.DUMMYFUNCTION("SPLIT(B406,"" "")"),"#VALUE!")</f>
        <v>#VALUE!</v>
      </c>
      <c r="E406" s="2" t="str">
        <f t="shared" si="2"/>
        <v>#VALUE!</v>
      </c>
      <c r="F406" s="2" t="str">
        <f>IFERROR(__xludf.DUMMYFUNCTION("SPLIT(E406,"" "")"),"#VALUE!")</f>
        <v>#VALUE!</v>
      </c>
      <c r="I406" s="2" t="str">
        <f t="shared" si="3"/>
        <v>245558 jnwr.tbr</v>
      </c>
      <c r="J406" s="2">
        <f>IFERROR(__xludf.DUMMYFUNCTION("SPLIT(I406,"" "")"),245558.0)</f>
        <v>245558</v>
      </c>
      <c r="K406" s="2" t="str">
        <f>IFERROR(__xludf.DUMMYFUNCTION("""COMPUTED_VALUE"""),"jnwr.tbr")</f>
        <v>jnwr.tbr</v>
      </c>
      <c r="M406" s="2" t="b">
        <f t="shared" si="4"/>
        <v>1</v>
      </c>
      <c r="N406" s="2">
        <f>IFERROR(__xludf.DUMMYFUNCTION("IF(AND(REGEXMATCH($G$4, ""cd""),M406),N405+J406)"),245558.0)</f>
        <v>245558</v>
      </c>
      <c r="O406" s="2" t="str">
        <f t="shared" si="5"/>
        <v>#N/A</v>
      </c>
    </row>
    <row r="407">
      <c r="A407" s="1" t="s">
        <v>17</v>
      </c>
      <c r="B407" s="2" t="str">
        <f t="shared" si="1"/>
        <v>#VALUE!</v>
      </c>
      <c r="C407" s="2" t="str">
        <f>IFERROR(__xludf.DUMMYFUNCTION("SPLIT(B407,"" "")"),"#VALUE!")</f>
        <v>#VALUE!</v>
      </c>
      <c r="E407" s="2" t="str">
        <f t="shared" si="2"/>
        <v>$ cd ..</v>
      </c>
      <c r="F407" s="2" t="str">
        <f>IFERROR(__xludf.DUMMYFUNCTION("SPLIT(E407,"" "")"),"$")</f>
        <v>$</v>
      </c>
      <c r="G407" s="2" t="str">
        <f>IFERROR(__xludf.DUMMYFUNCTION("""COMPUTED_VALUE"""),"cd")</f>
        <v>cd</v>
      </c>
      <c r="H407" s="2" t="str">
        <f>IFERROR(__xludf.DUMMYFUNCTION("""COMPUTED_VALUE"""),"..")</f>
        <v>..</v>
      </c>
      <c r="I407" s="2" t="str">
        <f t="shared" si="3"/>
        <v>$ cd ..</v>
      </c>
      <c r="J407" s="2" t="str">
        <f>IFERROR(__xludf.DUMMYFUNCTION("SPLIT(I407,"" "")"),"$")</f>
        <v>$</v>
      </c>
      <c r="K407" s="2" t="str">
        <f>IFERROR(__xludf.DUMMYFUNCTION("""COMPUTED_VALUE"""),"cd")</f>
        <v>cd</v>
      </c>
      <c r="L407" s="2" t="str">
        <f>IFERROR(__xludf.DUMMYFUNCTION("""COMPUTED_VALUE"""),"..")</f>
        <v>..</v>
      </c>
      <c r="M407" s="2" t="b">
        <f t="shared" si="4"/>
        <v>0</v>
      </c>
      <c r="N407" s="2" t="b">
        <f>IFERROR(__xludf.DUMMYFUNCTION("IF(AND(REGEXMATCH($G$4, ""cd""),M407),N406+J407)"),FALSE)</f>
        <v>0</v>
      </c>
      <c r="O407" s="2" t="str">
        <f t="shared" si="5"/>
        <v>#N/A</v>
      </c>
    </row>
    <row r="408">
      <c r="A408" s="1" t="s">
        <v>17</v>
      </c>
      <c r="B408" s="2" t="str">
        <f t="shared" si="1"/>
        <v>#VALUE!</v>
      </c>
      <c r="C408" s="2" t="str">
        <f>IFERROR(__xludf.DUMMYFUNCTION("SPLIT(B408,"" "")"),"#VALUE!")</f>
        <v>#VALUE!</v>
      </c>
      <c r="E408" s="2" t="str">
        <f t="shared" si="2"/>
        <v>$ cd ..</v>
      </c>
      <c r="F408" s="2" t="str">
        <f>IFERROR(__xludf.DUMMYFUNCTION("SPLIT(E408,"" "")"),"$")</f>
        <v>$</v>
      </c>
      <c r="G408" s="2" t="str">
        <f>IFERROR(__xludf.DUMMYFUNCTION("""COMPUTED_VALUE"""),"cd")</f>
        <v>cd</v>
      </c>
      <c r="H408" s="2" t="str">
        <f>IFERROR(__xludf.DUMMYFUNCTION("""COMPUTED_VALUE"""),"..")</f>
        <v>..</v>
      </c>
      <c r="I408" s="2" t="str">
        <f t="shared" si="3"/>
        <v>$ cd ..</v>
      </c>
      <c r="J408" s="2" t="str">
        <f>IFERROR(__xludf.DUMMYFUNCTION("SPLIT(I408,"" "")"),"$")</f>
        <v>$</v>
      </c>
      <c r="K408" s="2" t="str">
        <f>IFERROR(__xludf.DUMMYFUNCTION("""COMPUTED_VALUE"""),"cd")</f>
        <v>cd</v>
      </c>
      <c r="L408" s="2" t="str">
        <f>IFERROR(__xludf.DUMMYFUNCTION("""COMPUTED_VALUE"""),"..")</f>
        <v>..</v>
      </c>
      <c r="M408" s="2" t="b">
        <f t="shared" si="4"/>
        <v>0</v>
      </c>
      <c r="N408" s="2" t="b">
        <f>IFERROR(__xludf.DUMMYFUNCTION("IF(AND(REGEXMATCH($G$4, ""cd""),M408),N407+J408)"),FALSE)</f>
        <v>0</v>
      </c>
      <c r="O408" s="2" t="str">
        <f t="shared" si="5"/>
        <v>#N/A</v>
      </c>
    </row>
    <row r="409">
      <c r="A409" s="1" t="s">
        <v>17</v>
      </c>
      <c r="B409" s="2" t="str">
        <f t="shared" si="1"/>
        <v>#VALUE!</v>
      </c>
      <c r="C409" s="2" t="str">
        <f>IFERROR(__xludf.DUMMYFUNCTION("SPLIT(B409,"" "")"),"#VALUE!")</f>
        <v>#VALUE!</v>
      </c>
      <c r="E409" s="2" t="str">
        <f t="shared" si="2"/>
        <v>$ cd ..</v>
      </c>
      <c r="F409" s="2" t="str">
        <f>IFERROR(__xludf.DUMMYFUNCTION("SPLIT(E409,"" "")"),"$")</f>
        <v>$</v>
      </c>
      <c r="G409" s="2" t="str">
        <f>IFERROR(__xludf.DUMMYFUNCTION("""COMPUTED_VALUE"""),"cd")</f>
        <v>cd</v>
      </c>
      <c r="H409" s="2" t="str">
        <f>IFERROR(__xludf.DUMMYFUNCTION("""COMPUTED_VALUE"""),"..")</f>
        <v>..</v>
      </c>
      <c r="I409" s="2" t="str">
        <f t="shared" si="3"/>
        <v>$ cd ..</v>
      </c>
      <c r="J409" s="2" t="str">
        <f>IFERROR(__xludf.DUMMYFUNCTION("SPLIT(I409,"" "")"),"$")</f>
        <v>$</v>
      </c>
      <c r="K409" s="2" t="str">
        <f>IFERROR(__xludf.DUMMYFUNCTION("""COMPUTED_VALUE"""),"cd")</f>
        <v>cd</v>
      </c>
      <c r="L409" s="2" t="str">
        <f>IFERROR(__xludf.DUMMYFUNCTION("""COMPUTED_VALUE"""),"..")</f>
        <v>..</v>
      </c>
      <c r="M409" s="2" t="b">
        <f t="shared" si="4"/>
        <v>0</v>
      </c>
      <c r="N409" s="2" t="b">
        <f>IFERROR(__xludf.DUMMYFUNCTION("IF(AND(REGEXMATCH($G$4, ""cd""),M409),N408+J409)"),FALSE)</f>
        <v>0</v>
      </c>
      <c r="O409" s="2" t="str">
        <f t="shared" si="5"/>
        <v>#N/A</v>
      </c>
    </row>
    <row r="410">
      <c r="A410" s="1" t="s">
        <v>17</v>
      </c>
      <c r="B410" s="2" t="str">
        <f t="shared" si="1"/>
        <v>#VALUE!</v>
      </c>
      <c r="C410" s="2" t="str">
        <f>IFERROR(__xludf.DUMMYFUNCTION("SPLIT(B410,"" "")"),"#VALUE!")</f>
        <v>#VALUE!</v>
      </c>
      <c r="E410" s="2" t="str">
        <f t="shared" si="2"/>
        <v>$ cd ..</v>
      </c>
      <c r="F410" s="2" t="str">
        <f>IFERROR(__xludf.DUMMYFUNCTION("SPLIT(E410,"" "")"),"$")</f>
        <v>$</v>
      </c>
      <c r="G410" s="2" t="str">
        <f>IFERROR(__xludf.DUMMYFUNCTION("""COMPUTED_VALUE"""),"cd")</f>
        <v>cd</v>
      </c>
      <c r="H410" s="2" t="str">
        <f>IFERROR(__xludf.DUMMYFUNCTION("""COMPUTED_VALUE"""),"..")</f>
        <v>..</v>
      </c>
      <c r="I410" s="2" t="str">
        <f t="shared" si="3"/>
        <v>$ cd ..</v>
      </c>
      <c r="J410" s="2" t="str">
        <f>IFERROR(__xludf.DUMMYFUNCTION("SPLIT(I410,"" "")"),"$")</f>
        <v>$</v>
      </c>
      <c r="K410" s="2" t="str">
        <f>IFERROR(__xludf.DUMMYFUNCTION("""COMPUTED_VALUE"""),"cd")</f>
        <v>cd</v>
      </c>
      <c r="L410" s="2" t="str">
        <f>IFERROR(__xludf.DUMMYFUNCTION("""COMPUTED_VALUE"""),"..")</f>
        <v>..</v>
      </c>
      <c r="M410" s="2" t="b">
        <f t="shared" si="4"/>
        <v>0</v>
      </c>
      <c r="N410" s="2" t="b">
        <f>IFERROR(__xludf.DUMMYFUNCTION("IF(AND(REGEXMATCH($G$4, ""cd""),M410),N409+J410)"),FALSE)</f>
        <v>0</v>
      </c>
      <c r="O410" s="2" t="str">
        <f t="shared" si="5"/>
        <v>#N/A</v>
      </c>
    </row>
    <row r="411">
      <c r="A411" s="1" t="s">
        <v>17</v>
      </c>
      <c r="B411" s="2" t="str">
        <f t="shared" si="1"/>
        <v>#VALUE!</v>
      </c>
      <c r="C411" s="2" t="str">
        <f>IFERROR(__xludf.DUMMYFUNCTION("SPLIT(B411,"" "")"),"#VALUE!")</f>
        <v>#VALUE!</v>
      </c>
      <c r="E411" s="2" t="str">
        <f t="shared" si="2"/>
        <v>$ cd ..</v>
      </c>
      <c r="F411" s="2" t="str">
        <f>IFERROR(__xludf.DUMMYFUNCTION("SPLIT(E411,"" "")"),"$")</f>
        <v>$</v>
      </c>
      <c r="G411" s="2" t="str">
        <f>IFERROR(__xludf.DUMMYFUNCTION("""COMPUTED_VALUE"""),"cd")</f>
        <v>cd</v>
      </c>
      <c r="H411" s="2" t="str">
        <f>IFERROR(__xludf.DUMMYFUNCTION("""COMPUTED_VALUE"""),"..")</f>
        <v>..</v>
      </c>
      <c r="I411" s="2" t="str">
        <f t="shared" si="3"/>
        <v>$ cd ..</v>
      </c>
      <c r="J411" s="2" t="str">
        <f>IFERROR(__xludf.DUMMYFUNCTION("SPLIT(I411,"" "")"),"$")</f>
        <v>$</v>
      </c>
      <c r="K411" s="2" t="str">
        <f>IFERROR(__xludf.DUMMYFUNCTION("""COMPUTED_VALUE"""),"cd")</f>
        <v>cd</v>
      </c>
      <c r="L411" s="2" t="str">
        <f>IFERROR(__xludf.DUMMYFUNCTION("""COMPUTED_VALUE"""),"..")</f>
        <v>..</v>
      </c>
      <c r="M411" s="2" t="b">
        <f t="shared" si="4"/>
        <v>0</v>
      </c>
      <c r="N411" s="2" t="b">
        <f>IFERROR(__xludf.DUMMYFUNCTION("IF(AND(REGEXMATCH($G$4, ""cd""),M411),N410+J411)"),FALSE)</f>
        <v>0</v>
      </c>
      <c r="O411" s="2" t="str">
        <f t="shared" si="5"/>
        <v>#N/A</v>
      </c>
    </row>
    <row r="412">
      <c r="A412" s="1" t="s">
        <v>17</v>
      </c>
      <c r="B412" s="2" t="str">
        <f t="shared" si="1"/>
        <v>#VALUE!</v>
      </c>
      <c r="C412" s="2" t="str">
        <f>IFERROR(__xludf.DUMMYFUNCTION("SPLIT(B412,"" "")"),"#VALUE!")</f>
        <v>#VALUE!</v>
      </c>
      <c r="E412" s="2" t="str">
        <f t="shared" si="2"/>
        <v>$ cd ..</v>
      </c>
      <c r="F412" s="2" t="str">
        <f>IFERROR(__xludf.DUMMYFUNCTION("SPLIT(E412,"" "")"),"$")</f>
        <v>$</v>
      </c>
      <c r="G412" s="2" t="str">
        <f>IFERROR(__xludf.DUMMYFUNCTION("""COMPUTED_VALUE"""),"cd")</f>
        <v>cd</v>
      </c>
      <c r="H412" s="2" t="str">
        <f>IFERROR(__xludf.DUMMYFUNCTION("""COMPUTED_VALUE"""),"..")</f>
        <v>..</v>
      </c>
      <c r="I412" s="2" t="str">
        <f t="shared" si="3"/>
        <v>$ cd ..</v>
      </c>
      <c r="J412" s="2" t="str">
        <f>IFERROR(__xludf.DUMMYFUNCTION("SPLIT(I412,"" "")"),"$")</f>
        <v>$</v>
      </c>
      <c r="K412" s="2" t="str">
        <f>IFERROR(__xludf.DUMMYFUNCTION("""COMPUTED_VALUE"""),"cd")</f>
        <v>cd</v>
      </c>
      <c r="L412" s="2" t="str">
        <f>IFERROR(__xludf.DUMMYFUNCTION("""COMPUTED_VALUE"""),"..")</f>
        <v>..</v>
      </c>
      <c r="M412" s="2" t="b">
        <f t="shared" si="4"/>
        <v>0</v>
      </c>
      <c r="N412" s="2" t="b">
        <f>IFERROR(__xludf.DUMMYFUNCTION("IF(AND(REGEXMATCH($G$4, ""cd""),M412),N411+J412)"),FALSE)</f>
        <v>0</v>
      </c>
      <c r="O412" s="2" t="str">
        <f t="shared" si="5"/>
        <v>#N/A</v>
      </c>
    </row>
    <row r="413">
      <c r="A413" s="1" t="s">
        <v>245</v>
      </c>
      <c r="B413" s="2" t="str">
        <f t="shared" si="1"/>
        <v>#VALUE!</v>
      </c>
      <c r="C413" s="2" t="str">
        <f>IFERROR(__xludf.DUMMYFUNCTION("SPLIT(B413,"" "")"),"#VALUE!")</f>
        <v>#VALUE!</v>
      </c>
      <c r="E413" s="2" t="str">
        <f t="shared" si="2"/>
        <v>$ cd fdsqmnn</v>
      </c>
      <c r="F413" s="2" t="str">
        <f>IFERROR(__xludf.DUMMYFUNCTION("SPLIT(E413,"" "")"),"$")</f>
        <v>$</v>
      </c>
      <c r="G413" s="2" t="str">
        <f>IFERROR(__xludf.DUMMYFUNCTION("""COMPUTED_VALUE"""),"cd")</f>
        <v>cd</v>
      </c>
      <c r="H413" s="2" t="str">
        <f>IFERROR(__xludf.DUMMYFUNCTION("""COMPUTED_VALUE"""),"fdsqmnn")</f>
        <v>fdsqmnn</v>
      </c>
      <c r="I413" s="2" t="str">
        <f t="shared" si="3"/>
        <v>#VALUE!</v>
      </c>
      <c r="J413" s="2" t="str">
        <f>IFERROR(__xludf.DUMMYFUNCTION("SPLIT(I413,"" "")"),"#VALUE!")</f>
        <v>#VALUE!</v>
      </c>
      <c r="M413" s="2" t="b">
        <f t="shared" si="4"/>
        <v>0</v>
      </c>
      <c r="N413" s="2" t="b">
        <f>IFERROR(__xludf.DUMMYFUNCTION("IF(AND(REGEXMATCH($G$4, ""cd""),M413),N412+J413)"),FALSE)</f>
        <v>0</v>
      </c>
      <c r="O413" s="2" t="str">
        <f t="shared" si="5"/>
        <v>#N/A</v>
      </c>
    </row>
    <row r="414">
      <c r="A414" s="1" t="s">
        <v>2</v>
      </c>
      <c r="B414" s="2" t="str">
        <f t="shared" si="1"/>
        <v>#VALUE!</v>
      </c>
      <c r="C414" s="2" t="str">
        <f>IFERROR(__xludf.DUMMYFUNCTION("SPLIT(B414,"" "")"),"#VALUE!")</f>
        <v>#VALUE!</v>
      </c>
      <c r="E414" s="2" t="str">
        <f t="shared" si="2"/>
        <v>#VALUE!</v>
      </c>
      <c r="F414" s="2" t="str">
        <f>IFERROR(__xludf.DUMMYFUNCTION("SPLIT(E414,"" "")"),"#VALUE!")</f>
        <v>#VALUE!</v>
      </c>
      <c r="I414" s="2" t="str">
        <f t="shared" si="3"/>
        <v>#VALUE!</v>
      </c>
      <c r="J414" s="2" t="str">
        <f>IFERROR(__xludf.DUMMYFUNCTION("SPLIT(I414,"" "")"),"#VALUE!")</f>
        <v>#VALUE!</v>
      </c>
      <c r="M414" s="2" t="b">
        <f t="shared" si="4"/>
        <v>0</v>
      </c>
      <c r="N414" s="2" t="b">
        <f>IFERROR(__xludf.DUMMYFUNCTION("IF(AND(REGEXMATCH($G$4, ""cd""),M414),N413+J414)"),FALSE)</f>
        <v>0</v>
      </c>
      <c r="O414" s="2" t="str">
        <f t="shared" si="5"/>
        <v>#N/A</v>
      </c>
    </row>
    <row r="415">
      <c r="A415" s="1" t="s">
        <v>246</v>
      </c>
      <c r="B415" s="2" t="str">
        <f t="shared" si="1"/>
        <v>dir dfl</v>
      </c>
      <c r="C415" s="2" t="str">
        <f>IFERROR(__xludf.DUMMYFUNCTION("SPLIT(B415,"" "")"),"dir")</f>
        <v>dir</v>
      </c>
      <c r="D415" s="2" t="str">
        <f>IFERROR(__xludf.DUMMYFUNCTION("""COMPUTED_VALUE"""),"dfl")</f>
        <v>dfl</v>
      </c>
      <c r="E415" s="2" t="str">
        <f t="shared" si="2"/>
        <v>#VALUE!</v>
      </c>
      <c r="F415" s="2" t="str">
        <f>IFERROR(__xludf.DUMMYFUNCTION("SPLIT(E415,"" "")"),"#VALUE!")</f>
        <v>#VALUE!</v>
      </c>
      <c r="I415" s="2" t="str">
        <f t="shared" si="3"/>
        <v>#VALUE!</v>
      </c>
      <c r="J415" s="2" t="str">
        <f>IFERROR(__xludf.DUMMYFUNCTION("SPLIT(I415,"" "")"),"#VALUE!")</f>
        <v>#VALUE!</v>
      </c>
      <c r="M415" s="2" t="b">
        <f t="shared" si="4"/>
        <v>0</v>
      </c>
      <c r="N415" s="2" t="b">
        <f>IFERROR(__xludf.DUMMYFUNCTION("IF(AND(REGEXMATCH($G$4, ""cd""),M415),N414+J415)"),FALSE)</f>
        <v>0</v>
      </c>
      <c r="O415" s="2" t="str">
        <f t="shared" si="5"/>
        <v>#N/A</v>
      </c>
    </row>
    <row r="416">
      <c r="A416" s="1" t="s">
        <v>247</v>
      </c>
      <c r="B416" s="2" t="str">
        <f t="shared" si="1"/>
        <v>dir hqffnmq</v>
      </c>
      <c r="C416" s="2" t="str">
        <f>IFERROR(__xludf.DUMMYFUNCTION("SPLIT(B416,"" "")"),"dir")</f>
        <v>dir</v>
      </c>
      <c r="D416" s="2" t="str">
        <f>IFERROR(__xludf.DUMMYFUNCTION("""COMPUTED_VALUE"""),"hqffnmq")</f>
        <v>hqffnmq</v>
      </c>
      <c r="E416" s="2" t="str">
        <f t="shared" si="2"/>
        <v>#VALUE!</v>
      </c>
      <c r="F416" s="2" t="str">
        <f>IFERROR(__xludf.DUMMYFUNCTION("SPLIT(E416,"" "")"),"#VALUE!")</f>
        <v>#VALUE!</v>
      </c>
      <c r="I416" s="2" t="str">
        <f t="shared" si="3"/>
        <v>#VALUE!</v>
      </c>
      <c r="J416" s="2" t="str">
        <f>IFERROR(__xludf.DUMMYFUNCTION("SPLIT(I416,"" "")"),"#VALUE!")</f>
        <v>#VALUE!</v>
      </c>
      <c r="M416" s="2" t="b">
        <f t="shared" si="4"/>
        <v>0</v>
      </c>
      <c r="N416" s="2" t="b">
        <f>IFERROR(__xludf.DUMMYFUNCTION("IF(AND(REGEXMATCH($G$4, ""cd""),M416),N415+J416)"),FALSE)</f>
        <v>0</v>
      </c>
      <c r="O416" s="2" t="str">
        <f t="shared" si="5"/>
        <v>#N/A</v>
      </c>
    </row>
    <row r="417">
      <c r="A417" s="1" t="s">
        <v>248</v>
      </c>
      <c r="B417" s="2" t="str">
        <f t="shared" si="1"/>
        <v>#VALUE!</v>
      </c>
      <c r="C417" s="2" t="str">
        <f>IFERROR(__xludf.DUMMYFUNCTION("SPLIT(B417,"" "")"),"#VALUE!")</f>
        <v>#VALUE!</v>
      </c>
      <c r="E417" s="2" t="str">
        <f t="shared" si="2"/>
        <v>#VALUE!</v>
      </c>
      <c r="F417" s="2" t="str">
        <f>IFERROR(__xludf.DUMMYFUNCTION("SPLIT(E417,"" "")"),"#VALUE!")</f>
        <v>#VALUE!</v>
      </c>
      <c r="I417" s="2" t="str">
        <f t="shared" si="3"/>
        <v>268076 zcgrgff.cfm</v>
      </c>
      <c r="J417" s="2">
        <f>IFERROR(__xludf.DUMMYFUNCTION("SPLIT(I417,"" "")"),268076.0)</f>
        <v>268076</v>
      </c>
      <c r="K417" s="2" t="str">
        <f>IFERROR(__xludf.DUMMYFUNCTION("""COMPUTED_VALUE"""),"zcgrgff.cfm")</f>
        <v>zcgrgff.cfm</v>
      </c>
      <c r="M417" s="2" t="b">
        <f t="shared" si="4"/>
        <v>1</v>
      </c>
      <c r="N417" s="2">
        <f>IFERROR(__xludf.DUMMYFUNCTION("IF(AND(REGEXMATCH($G$4, ""cd""),M417),N416+J417)"),268076.0)</f>
        <v>268076</v>
      </c>
      <c r="O417" s="2" t="str">
        <f t="shared" si="5"/>
        <v>#N/A</v>
      </c>
    </row>
    <row r="418">
      <c r="A418" s="1" t="s">
        <v>249</v>
      </c>
      <c r="B418" s="2" t="str">
        <f t="shared" si="1"/>
        <v>dir ztc</v>
      </c>
      <c r="C418" s="2" t="str">
        <f>IFERROR(__xludf.DUMMYFUNCTION("SPLIT(B418,"" "")"),"dir")</f>
        <v>dir</v>
      </c>
      <c r="D418" s="2" t="str">
        <f>IFERROR(__xludf.DUMMYFUNCTION("""COMPUTED_VALUE"""),"ztc")</f>
        <v>ztc</v>
      </c>
      <c r="E418" s="2" t="str">
        <f t="shared" si="2"/>
        <v>#VALUE!</v>
      </c>
      <c r="F418" s="2" t="str">
        <f>IFERROR(__xludf.DUMMYFUNCTION("SPLIT(E418,"" "")"),"#VALUE!")</f>
        <v>#VALUE!</v>
      </c>
      <c r="I418" s="2" t="str">
        <f t="shared" si="3"/>
        <v>#VALUE!</v>
      </c>
      <c r="J418" s="2" t="str">
        <f>IFERROR(__xludf.DUMMYFUNCTION("SPLIT(I418,"" "")"),"#VALUE!")</f>
        <v>#VALUE!</v>
      </c>
      <c r="M418" s="2" t="b">
        <f t="shared" si="4"/>
        <v>0</v>
      </c>
      <c r="N418" s="2" t="b">
        <f>IFERROR(__xludf.DUMMYFUNCTION("IF(AND(REGEXMATCH($G$4, ""cd""),M418),N417+J418)"),FALSE)</f>
        <v>0</v>
      </c>
      <c r="O418" s="2" t="str">
        <f t="shared" si="5"/>
        <v>#N/A</v>
      </c>
    </row>
    <row r="419">
      <c r="A419" s="1" t="s">
        <v>250</v>
      </c>
      <c r="B419" s="2" t="str">
        <f t="shared" si="1"/>
        <v>#VALUE!</v>
      </c>
      <c r="C419" s="2" t="str">
        <f>IFERROR(__xludf.DUMMYFUNCTION("SPLIT(B419,"" "")"),"#VALUE!")</f>
        <v>#VALUE!</v>
      </c>
      <c r="E419" s="2" t="str">
        <f t="shared" si="2"/>
        <v>$ cd dfl</v>
      </c>
      <c r="F419" s="2" t="str">
        <f>IFERROR(__xludf.DUMMYFUNCTION("SPLIT(E419,"" "")"),"$")</f>
        <v>$</v>
      </c>
      <c r="G419" s="2" t="str">
        <f>IFERROR(__xludf.DUMMYFUNCTION("""COMPUTED_VALUE"""),"cd")</f>
        <v>cd</v>
      </c>
      <c r="H419" s="2" t="str">
        <f>IFERROR(__xludf.DUMMYFUNCTION("""COMPUTED_VALUE"""),"dfl")</f>
        <v>dfl</v>
      </c>
      <c r="I419" s="2" t="str">
        <f t="shared" si="3"/>
        <v>#VALUE!</v>
      </c>
      <c r="J419" s="2" t="str">
        <f>IFERROR(__xludf.DUMMYFUNCTION("SPLIT(I419,"" "")"),"#VALUE!")</f>
        <v>#VALUE!</v>
      </c>
      <c r="M419" s="2" t="b">
        <f t="shared" si="4"/>
        <v>0</v>
      </c>
      <c r="N419" s="2" t="b">
        <f>IFERROR(__xludf.DUMMYFUNCTION("IF(AND(REGEXMATCH($G$4, ""cd""),M419),N418+J419)"),FALSE)</f>
        <v>0</v>
      </c>
      <c r="O419" s="2" t="str">
        <f t="shared" si="5"/>
        <v>#N/A</v>
      </c>
    </row>
    <row r="420">
      <c r="A420" s="1" t="s">
        <v>2</v>
      </c>
      <c r="B420" s="2" t="str">
        <f t="shared" si="1"/>
        <v>#VALUE!</v>
      </c>
      <c r="C420" s="2" t="str">
        <f>IFERROR(__xludf.DUMMYFUNCTION("SPLIT(B420,"" "")"),"#VALUE!")</f>
        <v>#VALUE!</v>
      </c>
      <c r="E420" s="2" t="str">
        <f t="shared" si="2"/>
        <v>#VALUE!</v>
      </c>
      <c r="F420" s="2" t="str">
        <f>IFERROR(__xludf.DUMMYFUNCTION("SPLIT(E420,"" "")"),"#VALUE!")</f>
        <v>#VALUE!</v>
      </c>
      <c r="I420" s="2" t="str">
        <f t="shared" si="3"/>
        <v>#VALUE!</v>
      </c>
      <c r="J420" s="2" t="str">
        <f>IFERROR(__xludf.DUMMYFUNCTION("SPLIT(I420,"" "")"),"#VALUE!")</f>
        <v>#VALUE!</v>
      </c>
      <c r="M420" s="2" t="b">
        <f t="shared" si="4"/>
        <v>0</v>
      </c>
      <c r="N420" s="2" t="b">
        <f>IFERROR(__xludf.DUMMYFUNCTION("IF(AND(REGEXMATCH($G$4, ""cd""),M420),N419+J420)"),FALSE)</f>
        <v>0</v>
      </c>
      <c r="O420" s="2" t="str">
        <f t="shared" si="5"/>
        <v>#N/A</v>
      </c>
    </row>
    <row r="421">
      <c r="A421" s="1" t="s">
        <v>251</v>
      </c>
      <c r="B421" s="2" t="str">
        <f t="shared" si="1"/>
        <v>#VALUE!</v>
      </c>
      <c r="C421" s="2" t="str">
        <f>IFERROR(__xludf.DUMMYFUNCTION("SPLIT(B421,"" "")"),"#VALUE!")</f>
        <v>#VALUE!</v>
      </c>
      <c r="E421" s="2" t="str">
        <f t="shared" si="2"/>
        <v>#VALUE!</v>
      </c>
      <c r="F421" s="2" t="str">
        <f>IFERROR(__xludf.DUMMYFUNCTION("SPLIT(E421,"" "")"),"#VALUE!")</f>
        <v>#VALUE!</v>
      </c>
      <c r="I421" s="2" t="str">
        <f t="shared" si="3"/>
        <v>#VALUE!</v>
      </c>
      <c r="J421" s="2" t="str">
        <f>IFERROR(__xludf.DUMMYFUNCTION("SPLIT(I421,"" "")"),"#VALUE!")</f>
        <v>#VALUE!</v>
      </c>
      <c r="M421" s="2" t="b">
        <f t="shared" si="4"/>
        <v>0</v>
      </c>
      <c r="N421" s="2" t="b">
        <f>IFERROR(__xludf.DUMMYFUNCTION("IF(AND(REGEXMATCH($G$4, ""cd""),M421),N420+J421)"),FALSE)</f>
        <v>0</v>
      </c>
      <c r="O421" s="2" t="str">
        <f t="shared" si="5"/>
        <v>#N/A</v>
      </c>
    </row>
    <row r="422">
      <c r="A422" s="1" t="s">
        <v>252</v>
      </c>
      <c r="B422" s="2" t="str">
        <f t="shared" si="1"/>
        <v>#VALUE!</v>
      </c>
      <c r="C422" s="2" t="str">
        <f>IFERROR(__xludf.DUMMYFUNCTION("SPLIT(B422,"" "")"),"#VALUE!")</f>
        <v>#VALUE!</v>
      </c>
      <c r="E422" s="2" t="str">
        <f t="shared" si="2"/>
        <v>#VALUE!</v>
      </c>
      <c r="F422" s="2" t="str">
        <f>IFERROR(__xludf.DUMMYFUNCTION("SPLIT(E422,"" "")"),"#VALUE!")</f>
        <v>#VALUE!</v>
      </c>
      <c r="I422" s="2" t="str">
        <f t="shared" si="3"/>
        <v>128390 lqtvvc.tdj</v>
      </c>
      <c r="J422" s="2">
        <f>IFERROR(__xludf.DUMMYFUNCTION("SPLIT(I422,"" "")"),128390.0)</f>
        <v>128390</v>
      </c>
      <c r="K422" s="2" t="str">
        <f>IFERROR(__xludf.DUMMYFUNCTION("""COMPUTED_VALUE"""),"lqtvvc.tdj")</f>
        <v>lqtvvc.tdj</v>
      </c>
      <c r="M422" s="2" t="b">
        <f t="shared" si="4"/>
        <v>1</v>
      </c>
      <c r="N422" s="2">
        <f>IFERROR(__xludf.DUMMYFUNCTION("IF(AND(REGEXMATCH($G$4, ""cd""),M422),N421+J422)"),128390.0)</f>
        <v>128390</v>
      </c>
      <c r="O422" s="2" t="str">
        <f t="shared" si="5"/>
        <v>#N/A</v>
      </c>
    </row>
    <row r="423">
      <c r="A423" s="1" t="s">
        <v>253</v>
      </c>
      <c r="B423" s="2" t="str">
        <f t="shared" si="1"/>
        <v>#VALUE!</v>
      </c>
      <c r="C423" s="2" t="str">
        <f>IFERROR(__xludf.DUMMYFUNCTION("SPLIT(B423,"" "")"),"#VALUE!")</f>
        <v>#VALUE!</v>
      </c>
      <c r="E423" s="2" t="str">
        <f t="shared" si="2"/>
        <v>190189 vnmfcdws</v>
      </c>
      <c r="F423" s="2">
        <f>IFERROR(__xludf.DUMMYFUNCTION("SPLIT(E423,"" "")"),190189.0)</f>
        <v>190189</v>
      </c>
      <c r="G423" s="2" t="str">
        <f>IFERROR(__xludf.DUMMYFUNCTION("""COMPUTED_VALUE"""),"vnmfcdws")</f>
        <v>vnmfcdws</v>
      </c>
      <c r="I423" s="2" t="str">
        <f t="shared" si="3"/>
        <v>#VALUE!</v>
      </c>
      <c r="J423" s="2" t="str">
        <f>IFERROR(__xludf.DUMMYFUNCTION("SPLIT(I423,"" "")"),"#VALUE!")</f>
        <v>#VALUE!</v>
      </c>
      <c r="M423" s="2" t="b">
        <f t="shared" si="4"/>
        <v>0</v>
      </c>
      <c r="N423" s="2" t="b">
        <f>IFERROR(__xludf.DUMMYFUNCTION("IF(AND(REGEXMATCH($G$4, ""cd""),M423),N422+J423)"),FALSE)</f>
        <v>0</v>
      </c>
      <c r="O423" s="2" t="str">
        <f t="shared" si="5"/>
        <v>#N/A</v>
      </c>
    </row>
    <row r="424">
      <c r="A424" s="1" t="s">
        <v>17</v>
      </c>
      <c r="B424" s="2" t="str">
        <f t="shared" si="1"/>
        <v>#VALUE!</v>
      </c>
      <c r="C424" s="2" t="str">
        <f>IFERROR(__xludf.DUMMYFUNCTION("SPLIT(B424,"" "")"),"#VALUE!")</f>
        <v>#VALUE!</v>
      </c>
      <c r="E424" s="2" t="str">
        <f t="shared" si="2"/>
        <v>$ cd ..</v>
      </c>
      <c r="F424" s="2" t="str">
        <f>IFERROR(__xludf.DUMMYFUNCTION("SPLIT(E424,"" "")"),"$")</f>
        <v>$</v>
      </c>
      <c r="G424" s="2" t="str">
        <f>IFERROR(__xludf.DUMMYFUNCTION("""COMPUTED_VALUE"""),"cd")</f>
        <v>cd</v>
      </c>
      <c r="H424" s="2" t="str">
        <f>IFERROR(__xludf.DUMMYFUNCTION("""COMPUTED_VALUE"""),"..")</f>
        <v>..</v>
      </c>
      <c r="I424" s="2" t="str">
        <f t="shared" si="3"/>
        <v>$ cd ..</v>
      </c>
      <c r="J424" s="2" t="str">
        <f>IFERROR(__xludf.DUMMYFUNCTION("SPLIT(I424,"" "")"),"$")</f>
        <v>$</v>
      </c>
      <c r="K424" s="2" t="str">
        <f>IFERROR(__xludf.DUMMYFUNCTION("""COMPUTED_VALUE"""),"cd")</f>
        <v>cd</v>
      </c>
      <c r="L424" s="2" t="str">
        <f>IFERROR(__xludf.DUMMYFUNCTION("""COMPUTED_VALUE"""),"..")</f>
        <v>..</v>
      </c>
      <c r="M424" s="2" t="b">
        <f t="shared" si="4"/>
        <v>0</v>
      </c>
      <c r="N424" s="2" t="b">
        <f>IFERROR(__xludf.DUMMYFUNCTION("IF(AND(REGEXMATCH($G$4, ""cd""),M424),N423+J424)"),FALSE)</f>
        <v>0</v>
      </c>
      <c r="O424" s="2" t="str">
        <f t="shared" si="5"/>
        <v>#N/A</v>
      </c>
    </row>
    <row r="425">
      <c r="A425" s="1" t="s">
        <v>254</v>
      </c>
      <c r="B425" s="2" t="str">
        <f t="shared" si="1"/>
        <v>#VALUE!</v>
      </c>
      <c r="C425" s="2" t="str">
        <f>IFERROR(__xludf.DUMMYFUNCTION("SPLIT(B425,"" "")"),"#VALUE!")</f>
        <v>#VALUE!</v>
      </c>
      <c r="E425" s="2" t="str">
        <f t="shared" si="2"/>
        <v>$ cd hqffnmq</v>
      </c>
      <c r="F425" s="2" t="str">
        <f>IFERROR(__xludf.DUMMYFUNCTION("SPLIT(E425,"" "")"),"$")</f>
        <v>$</v>
      </c>
      <c r="G425" s="2" t="str">
        <f>IFERROR(__xludf.DUMMYFUNCTION("""COMPUTED_VALUE"""),"cd")</f>
        <v>cd</v>
      </c>
      <c r="H425" s="2" t="str">
        <f>IFERROR(__xludf.DUMMYFUNCTION("""COMPUTED_VALUE"""),"hqffnmq")</f>
        <v>hqffnmq</v>
      </c>
      <c r="I425" s="2" t="str">
        <f t="shared" si="3"/>
        <v>#VALUE!</v>
      </c>
      <c r="J425" s="2" t="str">
        <f>IFERROR(__xludf.DUMMYFUNCTION("SPLIT(I425,"" "")"),"#VALUE!")</f>
        <v>#VALUE!</v>
      </c>
      <c r="M425" s="2" t="b">
        <f t="shared" si="4"/>
        <v>0</v>
      </c>
      <c r="N425" s="2" t="b">
        <f>IFERROR(__xludf.DUMMYFUNCTION("IF(AND(REGEXMATCH($G$4, ""cd""),M425),N424+J425)"),FALSE)</f>
        <v>0</v>
      </c>
      <c r="O425" s="2" t="str">
        <f t="shared" si="5"/>
        <v>#N/A</v>
      </c>
    </row>
    <row r="426">
      <c r="A426" s="1" t="s">
        <v>2</v>
      </c>
      <c r="B426" s="2" t="str">
        <f t="shared" si="1"/>
        <v>#VALUE!</v>
      </c>
      <c r="C426" s="2" t="str">
        <f>IFERROR(__xludf.DUMMYFUNCTION("SPLIT(B426,"" "")"),"#VALUE!")</f>
        <v>#VALUE!</v>
      </c>
      <c r="E426" s="2" t="str">
        <f t="shared" si="2"/>
        <v>#VALUE!</v>
      </c>
      <c r="F426" s="2" t="str">
        <f>IFERROR(__xludf.DUMMYFUNCTION("SPLIT(E426,"" "")"),"#VALUE!")</f>
        <v>#VALUE!</v>
      </c>
      <c r="I426" s="2" t="str">
        <f t="shared" si="3"/>
        <v>#VALUE!</v>
      </c>
      <c r="J426" s="2" t="str">
        <f>IFERROR(__xludf.DUMMYFUNCTION("SPLIT(I426,"" "")"),"#VALUE!")</f>
        <v>#VALUE!</v>
      </c>
      <c r="M426" s="2" t="b">
        <f t="shared" si="4"/>
        <v>0</v>
      </c>
      <c r="N426" s="2" t="b">
        <f>IFERROR(__xludf.DUMMYFUNCTION("IF(AND(REGEXMATCH($G$4, ""cd""),M426),N425+J426)"),FALSE)</f>
        <v>0</v>
      </c>
      <c r="O426" s="2" t="str">
        <f t="shared" si="5"/>
        <v>#N/A</v>
      </c>
    </row>
    <row r="427">
      <c r="A427" s="1" t="s">
        <v>255</v>
      </c>
      <c r="B427" s="2" t="str">
        <f t="shared" si="1"/>
        <v>#VALUE!</v>
      </c>
      <c r="C427" s="2" t="str">
        <f>IFERROR(__xludf.DUMMYFUNCTION("SPLIT(B427,"" "")"),"#VALUE!")</f>
        <v>#VALUE!</v>
      </c>
      <c r="E427" s="2" t="str">
        <f t="shared" si="2"/>
        <v>#VALUE!</v>
      </c>
      <c r="F427" s="2" t="str">
        <f>IFERROR(__xludf.DUMMYFUNCTION("SPLIT(E427,"" "")"),"#VALUE!")</f>
        <v>#VALUE!</v>
      </c>
      <c r="I427" s="2" t="str">
        <f t="shared" si="3"/>
        <v>#VALUE!</v>
      </c>
      <c r="J427" s="2" t="str">
        <f>IFERROR(__xludf.DUMMYFUNCTION("SPLIT(I427,"" "")"),"#VALUE!")</f>
        <v>#VALUE!</v>
      </c>
      <c r="M427" s="2" t="b">
        <f t="shared" si="4"/>
        <v>0</v>
      </c>
      <c r="N427" s="2" t="b">
        <f>IFERROR(__xludf.DUMMYFUNCTION("IF(AND(REGEXMATCH($G$4, ""cd""),M427),N426+J427)"),FALSE)</f>
        <v>0</v>
      </c>
      <c r="O427" s="2" t="str">
        <f t="shared" si="5"/>
        <v>#N/A</v>
      </c>
    </row>
    <row r="428">
      <c r="A428" s="1" t="s">
        <v>17</v>
      </c>
      <c r="B428" s="2" t="str">
        <f t="shared" si="1"/>
        <v>#VALUE!</v>
      </c>
      <c r="C428" s="2" t="str">
        <f>IFERROR(__xludf.DUMMYFUNCTION("SPLIT(B428,"" "")"),"#VALUE!")</f>
        <v>#VALUE!</v>
      </c>
      <c r="E428" s="2" t="str">
        <f t="shared" si="2"/>
        <v>$ cd ..</v>
      </c>
      <c r="F428" s="2" t="str">
        <f>IFERROR(__xludf.DUMMYFUNCTION("SPLIT(E428,"" "")"),"$")</f>
        <v>$</v>
      </c>
      <c r="G428" s="2" t="str">
        <f>IFERROR(__xludf.DUMMYFUNCTION("""COMPUTED_VALUE"""),"cd")</f>
        <v>cd</v>
      </c>
      <c r="H428" s="2" t="str">
        <f>IFERROR(__xludf.DUMMYFUNCTION("""COMPUTED_VALUE"""),"..")</f>
        <v>..</v>
      </c>
      <c r="I428" s="2" t="str">
        <f t="shared" si="3"/>
        <v>$ cd ..</v>
      </c>
      <c r="J428" s="2" t="str">
        <f>IFERROR(__xludf.DUMMYFUNCTION("SPLIT(I428,"" "")"),"$")</f>
        <v>$</v>
      </c>
      <c r="K428" s="2" t="str">
        <f>IFERROR(__xludf.DUMMYFUNCTION("""COMPUTED_VALUE"""),"cd")</f>
        <v>cd</v>
      </c>
      <c r="L428" s="2" t="str">
        <f>IFERROR(__xludf.DUMMYFUNCTION("""COMPUTED_VALUE"""),"..")</f>
        <v>..</v>
      </c>
      <c r="M428" s="2" t="b">
        <f t="shared" si="4"/>
        <v>0</v>
      </c>
      <c r="N428" s="2" t="b">
        <f>IFERROR(__xludf.DUMMYFUNCTION("IF(AND(REGEXMATCH($G$4, ""cd""),M428),N427+J428)"),FALSE)</f>
        <v>0</v>
      </c>
      <c r="O428" s="2" t="str">
        <f t="shared" si="5"/>
        <v>#N/A</v>
      </c>
    </row>
    <row r="429">
      <c r="A429" s="1" t="s">
        <v>256</v>
      </c>
      <c r="B429" s="2" t="str">
        <f t="shared" si="1"/>
        <v>#VALUE!</v>
      </c>
      <c r="C429" s="2" t="str">
        <f>IFERROR(__xludf.DUMMYFUNCTION("SPLIT(B429,"" "")"),"#VALUE!")</f>
        <v>#VALUE!</v>
      </c>
      <c r="E429" s="2" t="str">
        <f t="shared" si="2"/>
        <v>$ cd ztc</v>
      </c>
      <c r="F429" s="2" t="str">
        <f>IFERROR(__xludf.DUMMYFUNCTION("SPLIT(E429,"" "")"),"$")</f>
        <v>$</v>
      </c>
      <c r="G429" s="2" t="str">
        <f>IFERROR(__xludf.DUMMYFUNCTION("""COMPUTED_VALUE"""),"cd")</f>
        <v>cd</v>
      </c>
      <c r="H429" s="2" t="str">
        <f>IFERROR(__xludf.DUMMYFUNCTION("""COMPUTED_VALUE"""),"ztc")</f>
        <v>ztc</v>
      </c>
      <c r="I429" s="2" t="str">
        <f t="shared" si="3"/>
        <v>#VALUE!</v>
      </c>
      <c r="J429" s="2" t="str">
        <f>IFERROR(__xludf.DUMMYFUNCTION("SPLIT(I429,"" "")"),"#VALUE!")</f>
        <v>#VALUE!</v>
      </c>
      <c r="M429" s="2" t="b">
        <f t="shared" si="4"/>
        <v>0</v>
      </c>
      <c r="N429" s="2" t="b">
        <f>IFERROR(__xludf.DUMMYFUNCTION("IF(AND(REGEXMATCH($G$4, ""cd""),M429),N428+J429)"),FALSE)</f>
        <v>0</v>
      </c>
      <c r="O429" s="2" t="str">
        <f t="shared" si="5"/>
        <v>#N/A</v>
      </c>
    </row>
    <row r="430">
      <c r="A430" s="1" t="s">
        <v>2</v>
      </c>
      <c r="B430" s="2" t="str">
        <f t="shared" si="1"/>
        <v>#VALUE!</v>
      </c>
      <c r="C430" s="2" t="str">
        <f>IFERROR(__xludf.DUMMYFUNCTION("SPLIT(B430,"" "")"),"#VALUE!")</f>
        <v>#VALUE!</v>
      </c>
      <c r="E430" s="2" t="str">
        <f t="shared" si="2"/>
        <v>#VALUE!</v>
      </c>
      <c r="F430" s="2" t="str">
        <f>IFERROR(__xludf.DUMMYFUNCTION("SPLIT(E430,"" "")"),"#VALUE!")</f>
        <v>#VALUE!</v>
      </c>
      <c r="I430" s="2" t="str">
        <f t="shared" si="3"/>
        <v>#VALUE!</v>
      </c>
      <c r="J430" s="2" t="str">
        <f>IFERROR(__xludf.DUMMYFUNCTION("SPLIT(I430,"" "")"),"#VALUE!")</f>
        <v>#VALUE!</v>
      </c>
      <c r="M430" s="2" t="b">
        <f t="shared" si="4"/>
        <v>0</v>
      </c>
      <c r="N430" s="2" t="b">
        <f>IFERROR(__xludf.DUMMYFUNCTION("IF(AND(REGEXMATCH($G$4, ""cd""),M430),N429+J430)"),FALSE)</f>
        <v>0</v>
      </c>
      <c r="O430" s="2" t="str">
        <f t="shared" si="5"/>
        <v>#N/A</v>
      </c>
    </row>
    <row r="431">
      <c r="A431" s="1" t="s">
        <v>257</v>
      </c>
      <c r="B431" s="2" t="str">
        <f t="shared" si="1"/>
        <v>#VALUE!</v>
      </c>
      <c r="C431" s="2" t="str">
        <f>IFERROR(__xludf.DUMMYFUNCTION("SPLIT(B431,"" "")"),"#VALUE!")</f>
        <v>#VALUE!</v>
      </c>
      <c r="E431" s="2" t="str">
        <f t="shared" si="2"/>
        <v>#VALUE!</v>
      </c>
      <c r="F431" s="2" t="str">
        <f>IFERROR(__xludf.DUMMYFUNCTION("SPLIT(E431,"" "")"),"#VALUE!")</f>
        <v>#VALUE!</v>
      </c>
      <c r="I431" s="2" t="str">
        <f t="shared" si="3"/>
        <v>247470 slfdb.bqt</v>
      </c>
      <c r="J431" s="2">
        <f>IFERROR(__xludf.DUMMYFUNCTION("SPLIT(I431,"" "")"),247470.0)</f>
        <v>247470</v>
      </c>
      <c r="K431" s="2" t="str">
        <f>IFERROR(__xludf.DUMMYFUNCTION("""COMPUTED_VALUE"""),"slfdb.bqt")</f>
        <v>slfdb.bqt</v>
      </c>
      <c r="M431" s="2" t="b">
        <f t="shared" si="4"/>
        <v>1</v>
      </c>
      <c r="N431" s="2">
        <f>IFERROR(__xludf.DUMMYFUNCTION("IF(AND(REGEXMATCH($G$4, ""cd""),M431),N430+J431)"),247470.0)</f>
        <v>247470</v>
      </c>
      <c r="O431" s="2" t="str">
        <f t="shared" si="5"/>
        <v>#N/A</v>
      </c>
    </row>
    <row r="432">
      <c r="A432" s="1" t="s">
        <v>17</v>
      </c>
      <c r="B432" s="2" t="str">
        <f t="shared" si="1"/>
        <v>#VALUE!</v>
      </c>
      <c r="C432" s="2" t="str">
        <f>IFERROR(__xludf.DUMMYFUNCTION("SPLIT(B432,"" "")"),"#VALUE!")</f>
        <v>#VALUE!</v>
      </c>
      <c r="E432" s="2" t="str">
        <f t="shared" si="2"/>
        <v>$ cd ..</v>
      </c>
      <c r="F432" s="2" t="str">
        <f>IFERROR(__xludf.DUMMYFUNCTION("SPLIT(E432,"" "")"),"$")</f>
        <v>$</v>
      </c>
      <c r="G432" s="2" t="str">
        <f>IFERROR(__xludf.DUMMYFUNCTION("""COMPUTED_VALUE"""),"cd")</f>
        <v>cd</v>
      </c>
      <c r="H432" s="2" t="str">
        <f>IFERROR(__xludf.DUMMYFUNCTION("""COMPUTED_VALUE"""),"..")</f>
        <v>..</v>
      </c>
      <c r="I432" s="2" t="str">
        <f t="shared" si="3"/>
        <v>$ cd ..</v>
      </c>
      <c r="J432" s="2" t="str">
        <f>IFERROR(__xludf.DUMMYFUNCTION("SPLIT(I432,"" "")"),"$")</f>
        <v>$</v>
      </c>
      <c r="K432" s="2" t="str">
        <f>IFERROR(__xludf.DUMMYFUNCTION("""COMPUTED_VALUE"""),"cd")</f>
        <v>cd</v>
      </c>
      <c r="L432" s="2" t="str">
        <f>IFERROR(__xludf.DUMMYFUNCTION("""COMPUTED_VALUE"""),"..")</f>
        <v>..</v>
      </c>
      <c r="M432" s="2" t="b">
        <f t="shared" si="4"/>
        <v>0</v>
      </c>
      <c r="N432" s="2" t="b">
        <f>IFERROR(__xludf.DUMMYFUNCTION("IF(AND(REGEXMATCH($G$4, ""cd""),M432),N431+J432)"),FALSE)</f>
        <v>0</v>
      </c>
      <c r="O432" s="2" t="str">
        <f t="shared" si="5"/>
        <v>#N/A</v>
      </c>
    </row>
    <row r="433">
      <c r="A433" s="1" t="s">
        <v>17</v>
      </c>
      <c r="B433" s="2" t="str">
        <f t="shared" si="1"/>
        <v>#VALUE!</v>
      </c>
      <c r="C433" s="2" t="str">
        <f>IFERROR(__xludf.DUMMYFUNCTION("SPLIT(B433,"" "")"),"#VALUE!")</f>
        <v>#VALUE!</v>
      </c>
      <c r="E433" s="2" t="str">
        <f t="shared" si="2"/>
        <v>$ cd ..</v>
      </c>
      <c r="F433" s="2" t="str">
        <f>IFERROR(__xludf.DUMMYFUNCTION("SPLIT(E433,"" "")"),"$")</f>
        <v>$</v>
      </c>
      <c r="G433" s="2" t="str">
        <f>IFERROR(__xludf.DUMMYFUNCTION("""COMPUTED_VALUE"""),"cd")</f>
        <v>cd</v>
      </c>
      <c r="H433" s="2" t="str">
        <f>IFERROR(__xludf.DUMMYFUNCTION("""COMPUTED_VALUE"""),"..")</f>
        <v>..</v>
      </c>
      <c r="I433" s="2" t="str">
        <f t="shared" si="3"/>
        <v>$ cd ..</v>
      </c>
      <c r="J433" s="2" t="str">
        <f>IFERROR(__xludf.DUMMYFUNCTION("SPLIT(I433,"" "")"),"$")</f>
        <v>$</v>
      </c>
      <c r="K433" s="2" t="str">
        <f>IFERROR(__xludf.DUMMYFUNCTION("""COMPUTED_VALUE"""),"cd")</f>
        <v>cd</v>
      </c>
      <c r="L433" s="2" t="str">
        <f>IFERROR(__xludf.DUMMYFUNCTION("""COMPUTED_VALUE"""),"..")</f>
        <v>..</v>
      </c>
      <c r="M433" s="2" t="b">
        <f t="shared" si="4"/>
        <v>0</v>
      </c>
      <c r="N433" s="2" t="b">
        <f>IFERROR(__xludf.DUMMYFUNCTION("IF(AND(REGEXMATCH($G$4, ""cd""),M433),N432+J433)"),FALSE)</f>
        <v>0</v>
      </c>
      <c r="O433" s="2" t="str">
        <f t="shared" si="5"/>
        <v>#N/A</v>
      </c>
    </row>
    <row r="434">
      <c r="A434" s="1" t="s">
        <v>258</v>
      </c>
      <c r="B434" s="2" t="str">
        <f t="shared" si="1"/>
        <v>#VALUE!</v>
      </c>
      <c r="C434" s="2" t="str">
        <f>IFERROR(__xludf.DUMMYFUNCTION("SPLIT(B434,"" "")"),"#VALUE!")</f>
        <v>#VALUE!</v>
      </c>
      <c r="E434" s="2" t="str">
        <f t="shared" si="2"/>
        <v>$ cd fwdt</v>
      </c>
      <c r="F434" s="2" t="str">
        <f>IFERROR(__xludf.DUMMYFUNCTION("SPLIT(E434,"" "")"),"$")</f>
        <v>$</v>
      </c>
      <c r="G434" s="2" t="str">
        <f>IFERROR(__xludf.DUMMYFUNCTION("""COMPUTED_VALUE"""),"cd")</f>
        <v>cd</v>
      </c>
      <c r="H434" s="2" t="str">
        <f>IFERROR(__xludf.DUMMYFUNCTION("""COMPUTED_VALUE"""),"fwdt")</f>
        <v>fwdt</v>
      </c>
      <c r="I434" s="2" t="str">
        <f t="shared" si="3"/>
        <v>#VALUE!</v>
      </c>
      <c r="J434" s="2" t="str">
        <f>IFERROR(__xludf.DUMMYFUNCTION("SPLIT(I434,"" "")"),"#VALUE!")</f>
        <v>#VALUE!</v>
      </c>
      <c r="M434" s="2" t="b">
        <f t="shared" si="4"/>
        <v>0</v>
      </c>
      <c r="N434" s="2" t="b">
        <f>IFERROR(__xludf.DUMMYFUNCTION("IF(AND(REGEXMATCH($G$4, ""cd""),M434),N433+J434)"),FALSE)</f>
        <v>0</v>
      </c>
      <c r="O434" s="2" t="str">
        <f t="shared" si="5"/>
        <v>#N/A</v>
      </c>
    </row>
    <row r="435">
      <c r="A435" s="1" t="s">
        <v>2</v>
      </c>
      <c r="B435" s="2" t="str">
        <f t="shared" si="1"/>
        <v>#VALUE!</v>
      </c>
      <c r="C435" s="2" t="str">
        <f>IFERROR(__xludf.DUMMYFUNCTION("SPLIT(B435,"" "")"),"#VALUE!")</f>
        <v>#VALUE!</v>
      </c>
      <c r="E435" s="2" t="str">
        <f t="shared" si="2"/>
        <v>#VALUE!</v>
      </c>
      <c r="F435" s="2" t="str">
        <f>IFERROR(__xludf.DUMMYFUNCTION("SPLIT(E435,"" "")"),"#VALUE!")</f>
        <v>#VALUE!</v>
      </c>
      <c r="I435" s="2" t="str">
        <f t="shared" si="3"/>
        <v>#VALUE!</v>
      </c>
      <c r="J435" s="2" t="str">
        <f>IFERROR(__xludf.DUMMYFUNCTION("SPLIT(I435,"" "")"),"#VALUE!")</f>
        <v>#VALUE!</v>
      </c>
      <c r="M435" s="2" t="b">
        <f t="shared" si="4"/>
        <v>0</v>
      </c>
      <c r="N435" s="2" t="b">
        <f>IFERROR(__xludf.DUMMYFUNCTION("IF(AND(REGEXMATCH($G$4, ""cd""),M435),N434+J435)"),FALSE)</f>
        <v>0</v>
      </c>
      <c r="O435" s="2" t="str">
        <f t="shared" si="5"/>
        <v>#N/A</v>
      </c>
    </row>
    <row r="436">
      <c r="A436" s="1" t="s">
        <v>259</v>
      </c>
      <c r="B436" s="2" t="str">
        <f t="shared" si="1"/>
        <v>#VALUE!</v>
      </c>
      <c r="C436" s="2" t="str">
        <f>IFERROR(__xludf.DUMMYFUNCTION("SPLIT(B436,"" "")"),"#VALUE!")</f>
        <v>#VALUE!</v>
      </c>
      <c r="E436" s="2" t="str">
        <f t="shared" si="2"/>
        <v>#VALUE!</v>
      </c>
      <c r="F436" s="2" t="str">
        <f>IFERROR(__xludf.DUMMYFUNCTION("SPLIT(E436,"" "")"),"#VALUE!")</f>
        <v>#VALUE!</v>
      </c>
      <c r="I436" s="2" t="str">
        <f t="shared" si="3"/>
        <v>#VALUE!</v>
      </c>
      <c r="J436" s="2" t="str">
        <f>IFERROR(__xludf.DUMMYFUNCTION("SPLIT(I436,"" "")"),"#VALUE!")</f>
        <v>#VALUE!</v>
      </c>
      <c r="M436" s="2" t="b">
        <f t="shared" si="4"/>
        <v>0</v>
      </c>
      <c r="N436" s="2" t="b">
        <f>IFERROR(__xludf.DUMMYFUNCTION("IF(AND(REGEXMATCH($G$4, ""cd""),M436),N435+J436)"),FALSE)</f>
        <v>0</v>
      </c>
      <c r="O436" s="2" t="str">
        <f t="shared" si="5"/>
        <v>#N/A</v>
      </c>
    </row>
    <row r="437">
      <c r="A437" s="1" t="s">
        <v>260</v>
      </c>
      <c r="B437" s="2" t="str">
        <f t="shared" si="1"/>
        <v>dir cdcc</v>
      </c>
      <c r="C437" s="2" t="str">
        <f>IFERROR(__xludf.DUMMYFUNCTION("SPLIT(B437,"" "")"),"dir")</f>
        <v>dir</v>
      </c>
      <c r="D437" s="2" t="str">
        <f>IFERROR(__xludf.DUMMYFUNCTION("""COMPUTED_VALUE"""),"cdcc")</f>
        <v>cdcc</v>
      </c>
      <c r="E437" s="2" t="str">
        <f t="shared" si="2"/>
        <v>dir cdcc</v>
      </c>
      <c r="F437" s="2" t="str">
        <f>IFERROR(__xludf.DUMMYFUNCTION("SPLIT(E437,"" "")"),"dir")</f>
        <v>dir</v>
      </c>
      <c r="G437" s="2" t="str">
        <f>IFERROR(__xludf.DUMMYFUNCTION("""COMPUTED_VALUE"""),"cdcc")</f>
        <v>cdcc</v>
      </c>
      <c r="I437" s="2" t="str">
        <f t="shared" si="3"/>
        <v>#VALUE!</v>
      </c>
      <c r="J437" s="2" t="str">
        <f>IFERROR(__xludf.DUMMYFUNCTION("SPLIT(I437,"" "")"),"#VALUE!")</f>
        <v>#VALUE!</v>
      </c>
      <c r="M437" s="2" t="b">
        <f t="shared" si="4"/>
        <v>0</v>
      </c>
      <c r="N437" s="2" t="b">
        <f>IFERROR(__xludf.DUMMYFUNCTION("IF(AND(REGEXMATCH($G$4, ""cd""),M437),N436+J437)"),FALSE)</f>
        <v>0</v>
      </c>
      <c r="O437" s="2" t="str">
        <f t="shared" si="5"/>
        <v>#N/A</v>
      </c>
    </row>
    <row r="438">
      <c r="A438" s="1" t="s">
        <v>261</v>
      </c>
      <c r="B438" s="2" t="str">
        <f t="shared" si="1"/>
        <v>dir jldlzttm</v>
      </c>
      <c r="C438" s="2" t="str">
        <f>IFERROR(__xludf.DUMMYFUNCTION("SPLIT(B438,"" "")"),"dir")</f>
        <v>dir</v>
      </c>
      <c r="D438" s="2" t="str">
        <f>IFERROR(__xludf.DUMMYFUNCTION("""COMPUTED_VALUE"""),"jldlzttm")</f>
        <v>jldlzttm</v>
      </c>
      <c r="E438" s="2" t="str">
        <f t="shared" si="2"/>
        <v>#VALUE!</v>
      </c>
      <c r="F438" s="2" t="str">
        <f>IFERROR(__xludf.DUMMYFUNCTION("SPLIT(E438,"" "")"),"#VALUE!")</f>
        <v>#VALUE!</v>
      </c>
      <c r="I438" s="2" t="str">
        <f t="shared" si="3"/>
        <v>#VALUE!</v>
      </c>
      <c r="J438" s="2" t="str">
        <f>IFERROR(__xludf.DUMMYFUNCTION("SPLIT(I438,"" "")"),"#VALUE!")</f>
        <v>#VALUE!</v>
      </c>
      <c r="M438" s="2" t="b">
        <f t="shared" si="4"/>
        <v>0</v>
      </c>
      <c r="N438" s="2" t="b">
        <f>IFERROR(__xludf.DUMMYFUNCTION("IF(AND(REGEXMATCH($G$4, ""cd""),M438),N437+J438)"),FALSE)</f>
        <v>0</v>
      </c>
      <c r="O438" s="2" t="str">
        <f t="shared" si="5"/>
        <v>#N/A</v>
      </c>
    </row>
    <row r="439">
      <c r="A439" s="1" t="s">
        <v>262</v>
      </c>
      <c r="B439" s="2" t="str">
        <f t="shared" si="1"/>
        <v>#VALUE!</v>
      </c>
      <c r="C439" s="2" t="str">
        <f>IFERROR(__xludf.DUMMYFUNCTION("SPLIT(B439,"" "")"),"#VALUE!")</f>
        <v>#VALUE!</v>
      </c>
      <c r="E439" s="2" t="str">
        <f t="shared" si="2"/>
        <v>#VALUE!</v>
      </c>
      <c r="F439" s="2" t="str">
        <f>IFERROR(__xludf.DUMMYFUNCTION("SPLIT(E439,"" "")"),"#VALUE!")</f>
        <v>#VALUE!</v>
      </c>
      <c r="I439" s="2" t="str">
        <f t="shared" si="3"/>
        <v>#VALUE!</v>
      </c>
      <c r="J439" s="2" t="str">
        <f>IFERROR(__xludf.DUMMYFUNCTION("SPLIT(I439,"" "")"),"#VALUE!")</f>
        <v>#VALUE!</v>
      </c>
      <c r="M439" s="2" t="b">
        <f t="shared" si="4"/>
        <v>0</v>
      </c>
      <c r="N439" s="2" t="b">
        <f>IFERROR(__xludf.DUMMYFUNCTION("IF(AND(REGEXMATCH($G$4, ""cd""),M439),N438+J439)"),FALSE)</f>
        <v>0</v>
      </c>
      <c r="O439" s="2" t="str">
        <f t="shared" si="5"/>
        <v>#N/A</v>
      </c>
    </row>
    <row r="440">
      <c r="A440" s="1" t="s">
        <v>263</v>
      </c>
      <c r="B440" s="2" t="str">
        <f t="shared" si="1"/>
        <v>dir sws</v>
      </c>
      <c r="C440" s="2" t="str">
        <f>IFERROR(__xludf.DUMMYFUNCTION("SPLIT(B440,"" "")"),"dir")</f>
        <v>dir</v>
      </c>
      <c r="D440" s="2" t="str">
        <f>IFERROR(__xludf.DUMMYFUNCTION("""COMPUTED_VALUE"""),"sws")</f>
        <v>sws</v>
      </c>
      <c r="E440" s="2" t="str">
        <f t="shared" si="2"/>
        <v>#VALUE!</v>
      </c>
      <c r="F440" s="2" t="str">
        <f>IFERROR(__xludf.DUMMYFUNCTION("SPLIT(E440,"" "")"),"#VALUE!")</f>
        <v>#VALUE!</v>
      </c>
      <c r="I440" s="2" t="str">
        <f t="shared" si="3"/>
        <v>#VALUE!</v>
      </c>
      <c r="J440" s="2" t="str">
        <f>IFERROR(__xludf.DUMMYFUNCTION("SPLIT(I440,"" "")"),"#VALUE!")</f>
        <v>#VALUE!</v>
      </c>
      <c r="M440" s="2" t="b">
        <f t="shared" si="4"/>
        <v>0</v>
      </c>
      <c r="N440" s="2" t="b">
        <f>IFERROR(__xludf.DUMMYFUNCTION("IF(AND(REGEXMATCH($G$4, ""cd""),M440),N439+J440)"),FALSE)</f>
        <v>0</v>
      </c>
      <c r="O440" s="2" t="str">
        <f t="shared" si="5"/>
        <v>#N/A</v>
      </c>
    </row>
    <row r="441">
      <c r="A441" s="1" t="s">
        <v>264</v>
      </c>
      <c r="B441" s="2" t="str">
        <f t="shared" si="1"/>
        <v>#VALUE!</v>
      </c>
      <c r="C441" s="2" t="str">
        <f>IFERROR(__xludf.DUMMYFUNCTION("SPLIT(B441,"" "")"),"#VALUE!")</f>
        <v>#VALUE!</v>
      </c>
      <c r="E441" s="2" t="str">
        <f t="shared" si="2"/>
        <v>#VALUE!</v>
      </c>
      <c r="F441" s="2" t="str">
        <f>IFERROR(__xludf.DUMMYFUNCTION("SPLIT(E441,"" "")"),"#VALUE!")</f>
        <v>#VALUE!</v>
      </c>
      <c r="I441" s="2" t="str">
        <f t="shared" si="3"/>
        <v>293090 zbdp.gqb</v>
      </c>
      <c r="J441" s="2">
        <f>IFERROR(__xludf.DUMMYFUNCTION("SPLIT(I441,"" "")"),293090.0)</f>
        <v>293090</v>
      </c>
      <c r="K441" s="2" t="str">
        <f>IFERROR(__xludf.DUMMYFUNCTION("""COMPUTED_VALUE"""),"zbdp.gqb")</f>
        <v>zbdp.gqb</v>
      </c>
      <c r="M441" s="2" t="b">
        <f t="shared" si="4"/>
        <v>1</v>
      </c>
      <c r="N441" s="2">
        <f>IFERROR(__xludf.DUMMYFUNCTION("IF(AND(REGEXMATCH($G$4, ""cd""),M441),N440+J441)"),293090.0)</f>
        <v>293090</v>
      </c>
      <c r="O441" s="2" t="str">
        <f t="shared" si="5"/>
        <v>#N/A</v>
      </c>
    </row>
    <row r="442">
      <c r="A442" s="1" t="s">
        <v>265</v>
      </c>
      <c r="B442" s="2" t="str">
        <f t="shared" si="1"/>
        <v>#VALUE!</v>
      </c>
      <c r="C442" s="2" t="str">
        <f>IFERROR(__xludf.DUMMYFUNCTION("SPLIT(B442,"" "")"),"#VALUE!")</f>
        <v>#VALUE!</v>
      </c>
      <c r="E442" s="2" t="str">
        <f t="shared" si="2"/>
        <v>#VALUE!</v>
      </c>
      <c r="F442" s="2" t="str">
        <f>IFERROR(__xludf.DUMMYFUNCTION("SPLIT(E442,"" "")"),"#VALUE!")</f>
        <v>#VALUE!</v>
      </c>
      <c r="I442" s="2" t="str">
        <f t="shared" si="3"/>
        <v>93624 zcgrgff.vgh</v>
      </c>
      <c r="J442" s="2">
        <f>IFERROR(__xludf.DUMMYFUNCTION("SPLIT(I442,"" "")"),93624.0)</f>
        <v>93624</v>
      </c>
      <c r="K442" s="2" t="str">
        <f>IFERROR(__xludf.DUMMYFUNCTION("""COMPUTED_VALUE"""),"zcgrgff.vgh")</f>
        <v>zcgrgff.vgh</v>
      </c>
      <c r="M442" s="2" t="b">
        <f t="shared" si="4"/>
        <v>1</v>
      </c>
      <c r="N442" s="2">
        <f>IFERROR(__xludf.DUMMYFUNCTION("IF(AND(REGEXMATCH($G$4, ""cd""),M442),N441+J442)"),386714.0)</f>
        <v>386714</v>
      </c>
      <c r="O442" s="2" t="str">
        <f t="shared" si="5"/>
        <v>#N/A</v>
      </c>
    </row>
    <row r="443">
      <c r="A443" s="1" t="s">
        <v>266</v>
      </c>
      <c r="B443" s="2" t="str">
        <f t="shared" si="1"/>
        <v>#VALUE!</v>
      </c>
      <c r="C443" s="2" t="str">
        <f>IFERROR(__xludf.DUMMYFUNCTION("SPLIT(B443,"" "")"),"#VALUE!")</f>
        <v>#VALUE!</v>
      </c>
      <c r="E443" s="2" t="str">
        <f t="shared" si="2"/>
        <v>$ cd cdcc</v>
      </c>
      <c r="F443" s="2" t="str">
        <f>IFERROR(__xludf.DUMMYFUNCTION("SPLIT(E443,"" "")"),"$")</f>
        <v>$</v>
      </c>
      <c r="G443" s="2" t="str">
        <f>IFERROR(__xludf.DUMMYFUNCTION("""COMPUTED_VALUE"""),"cd")</f>
        <v>cd</v>
      </c>
      <c r="H443" s="2" t="str">
        <f>IFERROR(__xludf.DUMMYFUNCTION("""COMPUTED_VALUE"""),"cdcc")</f>
        <v>cdcc</v>
      </c>
      <c r="I443" s="2" t="str">
        <f t="shared" si="3"/>
        <v>#VALUE!</v>
      </c>
      <c r="J443" s="2" t="str">
        <f>IFERROR(__xludf.DUMMYFUNCTION("SPLIT(I443,"" "")"),"#VALUE!")</f>
        <v>#VALUE!</v>
      </c>
      <c r="M443" s="2" t="b">
        <f t="shared" si="4"/>
        <v>0</v>
      </c>
      <c r="N443" s="2" t="b">
        <f>IFERROR(__xludf.DUMMYFUNCTION("IF(AND(REGEXMATCH($G$4, ""cd""),M443),N442+J443)"),FALSE)</f>
        <v>0</v>
      </c>
      <c r="O443" s="2" t="str">
        <f t="shared" si="5"/>
        <v>#N/A</v>
      </c>
    </row>
    <row r="444">
      <c r="A444" s="1" t="s">
        <v>2</v>
      </c>
      <c r="B444" s="2" t="str">
        <f t="shared" si="1"/>
        <v>#VALUE!</v>
      </c>
      <c r="C444" s="2" t="str">
        <f>IFERROR(__xludf.DUMMYFUNCTION("SPLIT(B444,"" "")"),"#VALUE!")</f>
        <v>#VALUE!</v>
      </c>
      <c r="E444" s="2" t="str">
        <f t="shared" si="2"/>
        <v>#VALUE!</v>
      </c>
      <c r="F444" s="2" t="str">
        <f>IFERROR(__xludf.DUMMYFUNCTION("SPLIT(E444,"" "")"),"#VALUE!")</f>
        <v>#VALUE!</v>
      </c>
      <c r="I444" s="2" t="str">
        <f t="shared" si="3"/>
        <v>#VALUE!</v>
      </c>
      <c r="J444" s="2" t="str">
        <f>IFERROR(__xludf.DUMMYFUNCTION("SPLIT(I444,"" "")"),"#VALUE!")</f>
        <v>#VALUE!</v>
      </c>
      <c r="M444" s="2" t="b">
        <f t="shared" si="4"/>
        <v>0</v>
      </c>
      <c r="N444" s="2" t="b">
        <f>IFERROR(__xludf.DUMMYFUNCTION("IF(AND(REGEXMATCH($G$4, ""cd""),M444),N443+J444)"),FALSE)</f>
        <v>0</v>
      </c>
      <c r="O444" s="2" t="str">
        <f t="shared" si="5"/>
        <v>#N/A</v>
      </c>
    </row>
    <row r="445">
      <c r="A445" s="1" t="s">
        <v>267</v>
      </c>
      <c r="B445" s="2" t="str">
        <f t="shared" si="1"/>
        <v>dir cwpfczr</v>
      </c>
      <c r="C445" s="2" t="str">
        <f>IFERROR(__xludf.DUMMYFUNCTION("SPLIT(B445,"" "")"),"dir")</f>
        <v>dir</v>
      </c>
      <c r="D445" s="2" t="str">
        <f>IFERROR(__xludf.DUMMYFUNCTION("""COMPUTED_VALUE"""),"cwpfczr")</f>
        <v>cwpfczr</v>
      </c>
      <c r="E445" s="2" t="str">
        <f t="shared" si="2"/>
        <v>#VALUE!</v>
      </c>
      <c r="F445" s="2" t="str">
        <f>IFERROR(__xludf.DUMMYFUNCTION("SPLIT(E445,"" "")"),"#VALUE!")</f>
        <v>#VALUE!</v>
      </c>
      <c r="I445" s="2" t="str">
        <f t="shared" si="3"/>
        <v>#VALUE!</v>
      </c>
      <c r="J445" s="2" t="str">
        <f>IFERROR(__xludf.DUMMYFUNCTION("SPLIT(I445,"" "")"),"#VALUE!")</f>
        <v>#VALUE!</v>
      </c>
      <c r="M445" s="2" t="b">
        <f t="shared" si="4"/>
        <v>0</v>
      </c>
      <c r="N445" s="2" t="b">
        <f>IFERROR(__xludf.DUMMYFUNCTION("IF(AND(REGEXMATCH($G$4, ""cd""),M445),N444+J445)"),FALSE)</f>
        <v>0</v>
      </c>
      <c r="O445" s="2" t="str">
        <f t="shared" si="5"/>
        <v>#N/A</v>
      </c>
    </row>
    <row r="446">
      <c r="A446" s="1" t="s">
        <v>268</v>
      </c>
      <c r="B446" s="2" t="str">
        <f t="shared" si="1"/>
        <v>dir lsrgfml</v>
      </c>
      <c r="C446" s="2" t="str">
        <f>IFERROR(__xludf.DUMMYFUNCTION("SPLIT(B446,"" "")"),"dir")</f>
        <v>dir</v>
      </c>
      <c r="D446" s="2" t="str">
        <f>IFERROR(__xludf.DUMMYFUNCTION("""COMPUTED_VALUE"""),"lsrgfml")</f>
        <v>lsrgfml</v>
      </c>
      <c r="E446" s="2" t="str">
        <f t="shared" si="2"/>
        <v>#VALUE!</v>
      </c>
      <c r="F446" s="2" t="str">
        <f>IFERROR(__xludf.DUMMYFUNCTION("SPLIT(E446,"" "")"),"#VALUE!")</f>
        <v>#VALUE!</v>
      </c>
      <c r="I446" s="2" t="str">
        <f t="shared" si="3"/>
        <v>#VALUE!</v>
      </c>
      <c r="J446" s="2" t="str">
        <f>IFERROR(__xludf.DUMMYFUNCTION("SPLIT(I446,"" "")"),"#VALUE!")</f>
        <v>#VALUE!</v>
      </c>
      <c r="M446" s="2" t="b">
        <f t="shared" si="4"/>
        <v>0</v>
      </c>
      <c r="N446" s="2" t="b">
        <f>IFERROR(__xludf.DUMMYFUNCTION("IF(AND(REGEXMATCH($G$4, ""cd""),M446),N445+J446)"),FALSE)</f>
        <v>0</v>
      </c>
      <c r="O446" s="2" t="str">
        <f t="shared" si="5"/>
        <v>#N/A</v>
      </c>
    </row>
    <row r="447">
      <c r="A447" s="1" t="s">
        <v>269</v>
      </c>
      <c r="B447" s="2" t="str">
        <f t="shared" si="1"/>
        <v>#VALUE!</v>
      </c>
      <c r="C447" s="2" t="str">
        <f>IFERROR(__xludf.DUMMYFUNCTION("SPLIT(B447,"" "")"),"#VALUE!")</f>
        <v>#VALUE!</v>
      </c>
      <c r="E447" s="2" t="str">
        <f t="shared" si="2"/>
        <v>$ cd cwpfczr</v>
      </c>
      <c r="F447" s="2" t="str">
        <f>IFERROR(__xludf.DUMMYFUNCTION("SPLIT(E447,"" "")"),"$")</f>
        <v>$</v>
      </c>
      <c r="G447" s="2" t="str">
        <f>IFERROR(__xludf.DUMMYFUNCTION("""COMPUTED_VALUE"""),"cd")</f>
        <v>cd</v>
      </c>
      <c r="H447" s="2" t="str">
        <f>IFERROR(__xludf.DUMMYFUNCTION("""COMPUTED_VALUE"""),"cwpfczr")</f>
        <v>cwpfczr</v>
      </c>
      <c r="I447" s="2" t="str">
        <f t="shared" si="3"/>
        <v>#VALUE!</v>
      </c>
      <c r="J447" s="2" t="str">
        <f>IFERROR(__xludf.DUMMYFUNCTION("SPLIT(I447,"" "")"),"#VALUE!")</f>
        <v>#VALUE!</v>
      </c>
      <c r="M447" s="2" t="b">
        <f t="shared" si="4"/>
        <v>0</v>
      </c>
      <c r="N447" s="2" t="b">
        <f>IFERROR(__xludf.DUMMYFUNCTION("IF(AND(REGEXMATCH($G$4, ""cd""),M447),N446+J447)"),FALSE)</f>
        <v>0</v>
      </c>
      <c r="O447" s="2" t="str">
        <f t="shared" si="5"/>
        <v>#N/A</v>
      </c>
    </row>
    <row r="448">
      <c r="A448" s="1" t="s">
        <v>2</v>
      </c>
      <c r="B448" s="2" t="str">
        <f t="shared" si="1"/>
        <v>#VALUE!</v>
      </c>
      <c r="C448" s="2" t="str">
        <f>IFERROR(__xludf.DUMMYFUNCTION("SPLIT(B448,"" "")"),"#VALUE!")</f>
        <v>#VALUE!</v>
      </c>
      <c r="E448" s="2" t="str">
        <f t="shared" si="2"/>
        <v>#VALUE!</v>
      </c>
      <c r="F448" s="2" t="str">
        <f>IFERROR(__xludf.DUMMYFUNCTION("SPLIT(E448,"" "")"),"#VALUE!")</f>
        <v>#VALUE!</v>
      </c>
      <c r="I448" s="2" t="str">
        <f t="shared" si="3"/>
        <v>#VALUE!</v>
      </c>
      <c r="J448" s="2" t="str">
        <f>IFERROR(__xludf.DUMMYFUNCTION("SPLIT(I448,"" "")"),"#VALUE!")</f>
        <v>#VALUE!</v>
      </c>
      <c r="M448" s="2" t="b">
        <f t="shared" si="4"/>
        <v>0</v>
      </c>
      <c r="N448" s="2" t="b">
        <f>IFERROR(__xludf.DUMMYFUNCTION("IF(AND(REGEXMATCH($G$4, ""cd""),M448),N447+J448)"),FALSE)</f>
        <v>0</v>
      </c>
      <c r="O448" s="2" t="str">
        <f t="shared" si="5"/>
        <v>#N/A</v>
      </c>
    </row>
    <row r="449">
      <c r="A449" s="1" t="s">
        <v>270</v>
      </c>
      <c r="B449" s="2" t="str">
        <f t="shared" si="1"/>
        <v>#VALUE!</v>
      </c>
      <c r="C449" s="2" t="str">
        <f>IFERROR(__xludf.DUMMYFUNCTION("SPLIT(B449,"" "")"),"#VALUE!")</f>
        <v>#VALUE!</v>
      </c>
      <c r="E449" s="2" t="str">
        <f t="shared" si="2"/>
        <v>#VALUE!</v>
      </c>
      <c r="F449" s="2" t="str">
        <f>IFERROR(__xludf.DUMMYFUNCTION("SPLIT(E449,"" "")"),"#VALUE!")</f>
        <v>#VALUE!</v>
      </c>
      <c r="I449" s="2" t="str">
        <f t="shared" si="3"/>
        <v>303853 wzz.chs</v>
      </c>
      <c r="J449" s="2">
        <f>IFERROR(__xludf.DUMMYFUNCTION("SPLIT(I449,"" "")"),303853.0)</f>
        <v>303853</v>
      </c>
      <c r="K449" s="2" t="str">
        <f>IFERROR(__xludf.DUMMYFUNCTION("""COMPUTED_VALUE"""),"wzz.chs")</f>
        <v>wzz.chs</v>
      </c>
      <c r="M449" s="2" t="b">
        <f t="shared" si="4"/>
        <v>1</v>
      </c>
      <c r="N449" s="2">
        <f>IFERROR(__xludf.DUMMYFUNCTION("IF(AND(REGEXMATCH($G$4, ""cd""),M449),N448+J449)"),303853.0)</f>
        <v>303853</v>
      </c>
      <c r="O449" s="2" t="str">
        <f t="shared" si="5"/>
        <v>#N/A</v>
      </c>
    </row>
    <row r="450">
      <c r="A450" s="1" t="s">
        <v>17</v>
      </c>
      <c r="B450" s="2" t="str">
        <f t="shared" si="1"/>
        <v>#VALUE!</v>
      </c>
      <c r="C450" s="2" t="str">
        <f>IFERROR(__xludf.DUMMYFUNCTION("SPLIT(B450,"" "")"),"#VALUE!")</f>
        <v>#VALUE!</v>
      </c>
      <c r="E450" s="2" t="str">
        <f t="shared" si="2"/>
        <v>$ cd ..</v>
      </c>
      <c r="F450" s="2" t="str">
        <f>IFERROR(__xludf.DUMMYFUNCTION("SPLIT(E450,"" "")"),"$")</f>
        <v>$</v>
      </c>
      <c r="G450" s="2" t="str">
        <f>IFERROR(__xludf.DUMMYFUNCTION("""COMPUTED_VALUE"""),"cd")</f>
        <v>cd</v>
      </c>
      <c r="H450" s="2" t="str">
        <f>IFERROR(__xludf.DUMMYFUNCTION("""COMPUTED_VALUE"""),"..")</f>
        <v>..</v>
      </c>
      <c r="I450" s="2" t="str">
        <f t="shared" si="3"/>
        <v>$ cd ..</v>
      </c>
      <c r="J450" s="2" t="str">
        <f>IFERROR(__xludf.DUMMYFUNCTION("SPLIT(I450,"" "")"),"$")</f>
        <v>$</v>
      </c>
      <c r="K450" s="2" t="str">
        <f>IFERROR(__xludf.DUMMYFUNCTION("""COMPUTED_VALUE"""),"cd")</f>
        <v>cd</v>
      </c>
      <c r="L450" s="2" t="str">
        <f>IFERROR(__xludf.DUMMYFUNCTION("""COMPUTED_VALUE"""),"..")</f>
        <v>..</v>
      </c>
      <c r="M450" s="2" t="b">
        <f t="shared" si="4"/>
        <v>0</v>
      </c>
      <c r="N450" s="2" t="b">
        <f>IFERROR(__xludf.DUMMYFUNCTION("IF(AND(REGEXMATCH($G$4, ""cd""),M450),N449+J450)"),FALSE)</f>
        <v>0</v>
      </c>
      <c r="O450" s="2" t="str">
        <f t="shared" si="5"/>
        <v>#N/A</v>
      </c>
    </row>
    <row r="451">
      <c r="A451" s="1" t="s">
        <v>271</v>
      </c>
      <c r="B451" s="2" t="str">
        <f t="shared" si="1"/>
        <v>#VALUE!</v>
      </c>
      <c r="C451" s="2" t="str">
        <f>IFERROR(__xludf.DUMMYFUNCTION("SPLIT(B451,"" "")"),"#VALUE!")</f>
        <v>#VALUE!</v>
      </c>
      <c r="E451" s="2" t="str">
        <f t="shared" si="2"/>
        <v>$ cd lsrgfml</v>
      </c>
      <c r="F451" s="2" t="str">
        <f>IFERROR(__xludf.DUMMYFUNCTION("SPLIT(E451,"" "")"),"$")</f>
        <v>$</v>
      </c>
      <c r="G451" s="2" t="str">
        <f>IFERROR(__xludf.DUMMYFUNCTION("""COMPUTED_VALUE"""),"cd")</f>
        <v>cd</v>
      </c>
      <c r="H451" s="2" t="str">
        <f>IFERROR(__xludf.DUMMYFUNCTION("""COMPUTED_VALUE"""),"lsrgfml")</f>
        <v>lsrgfml</v>
      </c>
      <c r="I451" s="2" t="str">
        <f t="shared" si="3"/>
        <v>#VALUE!</v>
      </c>
      <c r="J451" s="2" t="str">
        <f>IFERROR(__xludf.DUMMYFUNCTION("SPLIT(I451,"" "")"),"#VALUE!")</f>
        <v>#VALUE!</v>
      </c>
      <c r="M451" s="2" t="b">
        <f t="shared" si="4"/>
        <v>0</v>
      </c>
      <c r="N451" s="2" t="b">
        <f>IFERROR(__xludf.DUMMYFUNCTION("IF(AND(REGEXMATCH($G$4, ""cd""),M451),N450+J451)"),FALSE)</f>
        <v>0</v>
      </c>
      <c r="O451" s="2" t="str">
        <f t="shared" si="5"/>
        <v>#N/A</v>
      </c>
    </row>
    <row r="452">
      <c r="A452" s="1" t="s">
        <v>2</v>
      </c>
      <c r="B452" s="2" t="str">
        <f t="shared" si="1"/>
        <v>#VALUE!</v>
      </c>
      <c r="C452" s="2" t="str">
        <f>IFERROR(__xludf.DUMMYFUNCTION("SPLIT(B452,"" "")"),"#VALUE!")</f>
        <v>#VALUE!</v>
      </c>
      <c r="E452" s="2" t="str">
        <f t="shared" si="2"/>
        <v>#VALUE!</v>
      </c>
      <c r="F452" s="2" t="str">
        <f>IFERROR(__xludf.DUMMYFUNCTION("SPLIT(E452,"" "")"),"#VALUE!")</f>
        <v>#VALUE!</v>
      </c>
      <c r="I452" s="2" t="str">
        <f t="shared" si="3"/>
        <v>#VALUE!</v>
      </c>
      <c r="J452" s="2" t="str">
        <f>IFERROR(__xludf.DUMMYFUNCTION("SPLIT(I452,"" "")"),"#VALUE!")</f>
        <v>#VALUE!</v>
      </c>
      <c r="M452" s="2" t="b">
        <f t="shared" si="4"/>
        <v>0</v>
      </c>
      <c r="N452" s="2" t="b">
        <f>IFERROR(__xludf.DUMMYFUNCTION("IF(AND(REGEXMATCH($G$4, ""cd""),M452),N451+J452)"),FALSE)</f>
        <v>0</v>
      </c>
      <c r="O452" s="2" t="str">
        <f t="shared" si="5"/>
        <v>#N/A</v>
      </c>
    </row>
    <row r="453">
      <c r="A453" s="1" t="s">
        <v>272</v>
      </c>
      <c r="B453" s="2" t="str">
        <f t="shared" si="1"/>
        <v>#VALUE!</v>
      </c>
      <c r="C453" s="2" t="str">
        <f>IFERROR(__xludf.DUMMYFUNCTION("SPLIT(B453,"" "")"),"#VALUE!")</f>
        <v>#VALUE!</v>
      </c>
      <c r="E453" s="2" t="str">
        <f t="shared" si="2"/>
        <v>#VALUE!</v>
      </c>
      <c r="F453" s="2" t="str">
        <f>IFERROR(__xludf.DUMMYFUNCTION("SPLIT(E453,"" "")"),"#VALUE!")</f>
        <v>#VALUE!</v>
      </c>
      <c r="I453" s="2" t="str">
        <f t="shared" si="3"/>
        <v>#VALUE!</v>
      </c>
      <c r="J453" s="2" t="str">
        <f>IFERROR(__xludf.DUMMYFUNCTION("SPLIT(I453,"" "")"),"#VALUE!")</f>
        <v>#VALUE!</v>
      </c>
      <c r="M453" s="2" t="b">
        <f t="shared" si="4"/>
        <v>0</v>
      </c>
      <c r="N453" s="2" t="b">
        <f>IFERROR(__xludf.DUMMYFUNCTION("IF(AND(REGEXMATCH($G$4, ""cd""),M453),N452+J453)"),FALSE)</f>
        <v>0</v>
      </c>
      <c r="O453" s="2" t="str">
        <f t="shared" si="5"/>
        <v>#N/A</v>
      </c>
    </row>
    <row r="454">
      <c r="A454" s="1" t="s">
        <v>17</v>
      </c>
      <c r="B454" s="2" t="str">
        <f t="shared" si="1"/>
        <v>#VALUE!</v>
      </c>
      <c r="C454" s="2" t="str">
        <f>IFERROR(__xludf.DUMMYFUNCTION("SPLIT(B454,"" "")"),"#VALUE!")</f>
        <v>#VALUE!</v>
      </c>
      <c r="E454" s="2" t="str">
        <f t="shared" si="2"/>
        <v>$ cd ..</v>
      </c>
      <c r="F454" s="2" t="str">
        <f>IFERROR(__xludf.DUMMYFUNCTION("SPLIT(E454,"" "")"),"$")</f>
        <v>$</v>
      </c>
      <c r="G454" s="2" t="str">
        <f>IFERROR(__xludf.DUMMYFUNCTION("""COMPUTED_VALUE"""),"cd")</f>
        <v>cd</v>
      </c>
      <c r="H454" s="2" t="str">
        <f>IFERROR(__xludf.DUMMYFUNCTION("""COMPUTED_VALUE"""),"..")</f>
        <v>..</v>
      </c>
      <c r="I454" s="2" t="str">
        <f t="shared" si="3"/>
        <v>$ cd ..</v>
      </c>
      <c r="J454" s="2" t="str">
        <f>IFERROR(__xludf.DUMMYFUNCTION("SPLIT(I454,"" "")"),"$")</f>
        <v>$</v>
      </c>
      <c r="K454" s="2" t="str">
        <f>IFERROR(__xludf.DUMMYFUNCTION("""COMPUTED_VALUE"""),"cd")</f>
        <v>cd</v>
      </c>
      <c r="L454" s="2" t="str">
        <f>IFERROR(__xludf.DUMMYFUNCTION("""COMPUTED_VALUE"""),"..")</f>
        <v>..</v>
      </c>
      <c r="M454" s="2" t="b">
        <f t="shared" si="4"/>
        <v>0</v>
      </c>
      <c r="N454" s="2" t="b">
        <f>IFERROR(__xludf.DUMMYFUNCTION("IF(AND(REGEXMATCH($G$4, ""cd""),M454),N453+J454)"),FALSE)</f>
        <v>0</v>
      </c>
      <c r="O454" s="2" t="str">
        <f t="shared" si="5"/>
        <v>#N/A</v>
      </c>
    </row>
    <row r="455">
      <c r="A455" s="1" t="s">
        <v>17</v>
      </c>
      <c r="B455" s="2" t="str">
        <f t="shared" si="1"/>
        <v>#VALUE!</v>
      </c>
      <c r="C455" s="2" t="str">
        <f>IFERROR(__xludf.DUMMYFUNCTION("SPLIT(B455,"" "")"),"#VALUE!")</f>
        <v>#VALUE!</v>
      </c>
      <c r="E455" s="2" t="str">
        <f t="shared" si="2"/>
        <v>$ cd ..</v>
      </c>
      <c r="F455" s="2" t="str">
        <f>IFERROR(__xludf.DUMMYFUNCTION("SPLIT(E455,"" "")"),"$")</f>
        <v>$</v>
      </c>
      <c r="G455" s="2" t="str">
        <f>IFERROR(__xludf.DUMMYFUNCTION("""COMPUTED_VALUE"""),"cd")</f>
        <v>cd</v>
      </c>
      <c r="H455" s="2" t="str">
        <f>IFERROR(__xludf.DUMMYFUNCTION("""COMPUTED_VALUE"""),"..")</f>
        <v>..</v>
      </c>
      <c r="I455" s="2" t="str">
        <f t="shared" si="3"/>
        <v>$ cd ..</v>
      </c>
      <c r="J455" s="2" t="str">
        <f>IFERROR(__xludf.DUMMYFUNCTION("SPLIT(I455,"" "")"),"$")</f>
        <v>$</v>
      </c>
      <c r="K455" s="2" t="str">
        <f>IFERROR(__xludf.DUMMYFUNCTION("""COMPUTED_VALUE"""),"cd")</f>
        <v>cd</v>
      </c>
      <c r="L455" s="2" t="str">
        <f>IFERROR(__xludf.DUMMYFUNCTION("""COMPUTED_VALUE"""),"..")</f>
        <v>..</v>
      </c>
      <c r="M455" s="2" t="b">
        <f t="shared" si="4"/>
        <v>0</v>
      </c>
      <c r="N455" s="2" t="b">
        <f>IFERROR(__xludf.DUMMYFUNCTION("IF(AND(REGEXMATCH($G$4, ""cd""),M455),N454+J455)"),FALSE)</f>
        <v>0</v>
      </c>
      <c r="O455" s="2" t="str">
        <f t="shared" si="5"/>
        <v>#N/A</v>
      </c>
    </row>
    <row r="456">
      <c r="A456" s="1" t="s">
        <v>273</v>
      </c>
      <c r="B456" s="2" t="str">
        <f t="shared" si="1"/>
        <v>#VALUE!</v>
      </c>
      <c r="C456" s="2" t="str">
        <f>IFERROR(__xludf.DUMMYFUNCTION("SPLIT(B456,"" "")"),"#VALUE!")</f>
        <v>#VALUE!</v>
      </c>
      <c r="E456" s="2" t="str">
        <f t="shared" si="2"/>
        <v>$ cd jldlzttm</v>
      </c>
      <c r="F456" s="2" t="str">
        <f>IFERROR(__xludf.DUMMYFUNCTION("SPLIT(E456,"" "")"),"$")</f>
        <v>$</v>
      </c>
      <c r="G456" s="2" t="str">
        <f>IFERROR(__xludf.DUMMYFUNCTION("""COMPUTED_VALUE"""),"cd")</f>
        <v>cd</v>
      </c>
      <c r="H456" s="2" t="str">
        <f>IFERROR(__xludf.DUMMYFUNCTION("""COMPUTED_VALUE"""),"jldlzttm")</f>
        <v>jldlzttm</v>
      </c>
      <c r="I456" s="2" t="str">
        <f t="shared" si="3"/>
        <v>#VALUE!</v>
      </c>
      <c r="J456" s="2" t="str">
        <f>IFERROR(__xludf.DUMMYFUNCTION("SPLIT(I456,"" "")"),"#VALUE!")</f>
        <v>#VALUE!</v>
      </c>
      <c r="M456" s="2" t="b">
        <f t="shared" si="4"/>
        <v>0</v>
      </c>
      <c r="N456" s="2" t="b">
        <f>IFERROR(__xludf.DUMMYFUNCTION("IF(AND(REGEXMATCH($G$4, ""cd""),M456),N455+J456)"),FALSE)</f>
        <v>0</v>
      </c>
      <c r="O456" s="2" t="str">
        <f t="shared" si="5"/>
        <v>#N/A</v>
      </c>
    </row>
    <row r="457">
      <c r="A457" s="1" t="s">
        <v>2</v>
      </c>
      <c r="B457" s="2" t="str">
        <f t="shared" si="1"/>
        <v>#VALUE!</v>
      </c>
      <c r="C457" s="2" t="str">
        <f>IFERROR(__xludf.DUMMYFUNCTION("SPLIT(B457,"" "")"),"#VALUE!")</f>
        <v>#VALUE!</v>
      </c>
      <c r="E457" s="2" t="str">
        <f t="shared" si="2"/>
        <v>#VALUE!</v>
      </c>
      <c r="F457" s="2" t="str">
        <f>IFERROR(__xludf.DUMMYFUNCTION("SPLIT(E457,"" "")"),"#VALUE!")</f>
        <v>#VALUE!</v>
      </c>
      <c r="I457" s="2" t="str">
        <f t="shared" si="3"/>
        <v>#VALUE!</v>
      </c>
      <c r="J457" s="2" t="str">
        <f>IFERROR(__xludf.DUMMYFUNCTION("SPLIT(I457,"" "")"),"#VALUE!")</f>
        <v>#VALUE!</v>
      </c>
      <c r="M457" s="2" t="b">
        <f t="shared" si="4"/>
        <v>0</v>
      </c>
      <c r="N457" s="2" t="b">
        <f>IFERROR(__xludf.DUMMYFUNCTION("IF(AND(REGEXMATCH($G$4, ""cd""),M457),N456+J457)"),FALSE)</f>
        <v>0</v>
      </c>
      <c r="O457" s="2" t="str">
        <f t="shared" si="5"/>
        <v>#N/A</v>
      </c>
    </row>
    <row r="458">
      <c r="A458" s="1" t="s">
        <v>274</v>
      </c>
      <c r="B458" s="2" t="str">
        <f t="shared" si="1"/>
        <v>#VALUE!</v>
      </c>
      <c r="C458" s="2" t="str">
        <f>IFERROR(__xludf.DUMMYFUNCTION("SPLIT(B458,"" "")"),"#VALUE!")</f>
        <v>#VALUE!</v>
      </c>
      <c r="E458" s="2" t="str">
        <f t="shared" si="2"/>
        <v>#VALUE!</v>
      </c>
      <c r="F458" s="2" t="str">
        <f>IFERROR(__xludf.DUMMYFUNCTION("SPLIT(E458,"" "")"),"#VALUE!")</f>
        <v>#VALUE!</v>
      </c>
      <c r="I458" s="2" t="str">
        <f t="shared" si="3"/>
        <v>#VALUE!</v>
      </c>
      <c r="J458" s="2" t="str">
        <f>IFERROR(__xludf.DUMMYFUNCTION("SPLIT(I458,"" "")"),"#VALUE!")</f>
        <v>#VALUE!</v>
      </c>
      <c r="M458" s="2" t="b">
        <f t="shared" si="4"/>
        <v>0</v>
      </c>
      <c r="N458" s="2" t="b">
        <f>IFERROR(__xludf.DUMMYFUNCTION("IF(AND(REGEXMATCH($G$4, ""cd""),M458),N457+J458)"),FALSE)</f>
        <v>0</v>
      </c>
      <c r="O458" s="2" t="str">
        <f t="shared" si="5"/>
        <v>#N/A</v>
      </c>
    </row>
    <row r="459">
      <c r="A459" s="1" t="s">
        <v>275</v>
      </c>
      <c r="B459" s="2" t="str">
        <f t="shared" si="1"/>
        <v>#VALUE!</v>
      </c>
      <c r="C459" s="2" t="str">
        <f>IFERROR(__xludf.DUMMYFUNCTION("SPLIT(B459,"" "")"),"#VALUE!")</f>
        <v>#VALUE!</v>
      </c>
      <c r="E459" s="2" t="str">
        <f t="shared" si="2"/>
        <v>#VALUE!</v>
      </c>
      <c r="F459" s="2" t="str">
        <f>IFERROR(__xludf.DUMMYFUNCTION("SPLIT(E459,"" "")"),"#VALUE!")</f>
        <v>#VALUE!</v>
      </c>
      <c r="I459" s="2" t="str">
        <f t="shared" si="3"/>
        <v>309967 gdbfh.vhn</v>
      </c>
      <c r="J459" s="2">
        <f>IFERROR(__xludf.DUMMYFUNCTION("SPLIT(I459,"" "")"),309967.0)</f>
        <v>309967</v>
      </c>
      <c r="K459" s="2" t="str">
        <f>IFERROR(__xludf.DUMMYFUNCTION("""COMPUTED_VALUE"""),"gdbfh.vhn")</f>
        <v>gdbfh.vhn</v>
      </c>
      <c r="M459" s="2" t="b">
        <f t="shared" si="4"/>
        <v>1</v>
      </c>
      <c r="N459" s="2">
        <f>IFERROR(__xludf.DUMMYFUNCTION("IF(AND(REGEXMATCH($G$4, ""cd""),M459),N458+J459)"),309967.0)</f>
        <v>309967</v>
      </c>
      <c r="O459" s="2" t="str">
        <f t="shared" si="5"/>
        <v>#N/A</v>
      </c>
    </row>
    <row r="460">
      <c r="A460" s="1" t="s">
        <v>276</v>
      </c>
      <c r="B460" s="2" t="str">
        <f t="shared" si="1"/>
        <v>#VALUE!</v>
      </c>
      <c r="C460" s="2" t="str">
        <f>IFERROR(__xludf.DUMMYFUNCTION("SPLIT(B460,"" "")"),"#VALUE!")</f>
        <v>#VALUE!</v>
      </c>
      <c r="E460" s="2" t="str">
        <f t="shared" si="2"/>
        <v>#VALUE!</v>
      </c>
      <c r="F460" s="2" t="str">
        <f>IFERROR(__xludf.DUMMYFUNCTION("SPLIT(E460,"" "")"),"#VALUE!")</f>
        <v>#VALUE!</v>
      </c>
      <c r="I460" s="2" t="str">
        <f t="shared" si="3"/>
        <v>5460 hlvpfw.fwb</v>
      </c>
      <c r="J460" s="2">
        <f>IFERROR(__xludf.DUMMYFUNCTION("SPLIT(I460,"" "")"),5460.0)</f>
        <v>5460</v>
      </c>
      <c r="K460" s="2" t="str">
        <f>IFERROR(__xludf.DUMMYFUNCTION("""COMPUTED_VALUE"""),"hlvpfw.fwb")</f>
        <v>hlvpfw.fwb</v>
      </c>
      <c r="M460" s="2" t="b">
        <f t="shared" si="4"/>
        <v>1</v>
      </c>
      <c r="N460" s="2">
        <f>IFERROR(__xludf.DUMMYFUNCTION("IF(AND(REGEXMATCH($G$4, ""cd""),M460),N459+J460)"),315427.0)</f>
        <v>315427</v>
      </c>
      <c r="O460" s="2" t="str">
        <f t="shared" si="5"/>
        <v>#N/A</v>
      </c>
    </row>
    <row r="461">
      <c r="A461" s="1" t="s">
        <v>277</v>
      </c>
      <c r="B461" s="2" t="str">
        <f t="shared" si="1"/>
        <v>#VALUE!</v>
      </c>
      <c r="C461" s="2" t="str">
        <f>IFERROR(__xludf.DUMMYFUNCTION("SPLIT(B461,"" "")"),"#VALUE!")</f>
        <v>#VALUE!</v>
      </c>
      <c r="E461" s="2" t="str">
        <f t="shared" si="2"/>
        <v>#VALUE!</v>
      </c>
      <c r="F461" s="2" t="str">
        <f>IFERROR(__xludf.DUMMYFUNCTION("SPLIT(E461,"" "")"),"#VALUE!")</f>
        <v>#VALUE!</v>
      </c>
      <c r="I461" s="2" t="str">
        <f t="shared" si="3"/>
        <v>46159 jnwr.ggw</v>
      </c>
      <c r="J461" s="2">
        <f>IFERROR(__xludf.DUMMYFUNCTION("SPLIT(I461,"" "")"),46159.0)</f>
        <v>46159</v>
      </c>
      <c r="K461" s="2" t="str">
        <f>IFERROR(__xludf.DUMMYFUNCTION("""COMPUTED_VALUE"""),"jnwr.ggw")</f>
        <v>jnwr.ggw</v>
      </c>
      <c r="M461" s="2" t="b">
        <f t="shared" si="4"/>
        <v>1</v>
      </c>
      <c r="N461" s="2">
        <f>IFERROR(__xludf.DUMMYFUNCTION("IF(AND(REGEXMATCH($G$4, ""cd""),M461),N460+J461)"),361586.0)</f>
        <v>361586</v>
      </c>
      <c r="O461" s="2" t="str">
        <f t="shared" si="5"/>
        <v>#N/A</v>
      </c>
    </row>
    <row r="462">
      <c r="A462" s="1" t="s">
        <v>278</v>
      </c>
      <c r="B462" s="2" t="str">
        <f t="shared" si="1"/>
        <v>#VALUE!</v>
      </c>
      <c r="C462" s="2" t="str">
        <f>IFERROR(__xludf.DUMMYFUNCTION("SPLIT(B462,"" "")"),"#VALUE!")</f>
        <v>#VALUE!</v>
      </c>
      <c r="E462" s="2" t="str">
        <f t="shared" si="2"/>
        <v>#VALUE!</v>
      </c>
      <c r="F462" s="2" t="str">
        <f>IFERROR(__xludf.DUMMYFUNCTION("SPLIT(E462,"" "")"),"#VALUE!")</f>
        <v>#VALUE!</v>
      </c>
      <c r="I462" s="2" t="str">
        <f t="shared" si="3"/>
        <v>173896 zbdp.gqb</v>
      </c>
      <c r="J462" s="2">
        <f>IFERROR(__xludf.DUMMYFUNCTION("SPLIT(I462,"" "")"),173896.0)</f>
        <v>173896</v>
      </c>
      <c r="K462" s="2" t="str">
        <f>IFERROR(__xludf.DUMMYFUNCTION("""COMPUTED_VALUE"""),"zbdp.gqb")</f>
        <v>zbdp.gqb</v>
      </c>
      <c r="M462" s="2" t="b">
        <f t="shared" si="4"/>
        <v>1</v>
      </c>
      <c r="N462" s="2">
        <f>IFERROR(__xludf.DUMMYFUNCTION("IF(AND(REGEXMATCH($G$4, ""cd""),M462),N461+J462)"),535482.0)</f>
        <v>535482</v>
      </c>
      <c r="O462" s="2" t="str">
        <f t="shared" si="5"/>
        <v>#N/A</v>
      </c>
    </row>
    <row r="463">
      <c r="A463" s="1" t="s">
        <v>17</v>
      </c>
      <c r="B463" s="2" t="str">
        <f t="shared" si="1"/>
        <v>#VALUE!</v>
      </c>
      <c r="C463" s="2" t="str">
        <f>IFERROR(__xludf.DUMMYFUNCTION("SPLIT(B463,"" "")"),"#VALUE!")</f>
        <v>#VALUE!</v>
      </c>
      <c r="E463" s="2" t="str">
        <f t="shared" si="2"/>
        <v>$ cd ..</v>
      </c>
      <c r="F463" s="2" t="str">
        <f>IFERROR(__xludf.DUMMYFUNCTION("SPLIT(E463,"" "")"),"$")</f>
        <v>$</v>
      </c>
      <c r="G463" s="2" t="str">
        <f>IFERROR(__xludf.DUMMYFUNCTION("""COMPUTED_VALUE"""),"cd")</f>
        <v>cd</v>
      </c>
      <c r="H463" s="2" t="str">
        <f>IFERROR(__xludf.DUMMYFUNCTION("""COMPUTED_VALUE"""),"..")</f>
        <v>..</v>
      </c>
      <c r="I463" s="2" t="str">
        <f t="shared" si="3"/>
        <v>$ cd ..</v>
      </c>
      <c r="J463" s="2" t="str">
        <f>IFERROR(__xludf.DUMMYFUNCTION("SPLIT(I463,"" "")"),"$")</f>
        <v>$</v>
      </c>
      <c r="K463" s="2" t="str">
        <f>IFERROR(__xludf.DUMMYFUNCTION("""COMPUTED_VALUE"""),"cd")</f>
        <v>cd</v>
      </c>
      <c r="L463" s="2" t="str">
        <f>IFERROR(__xludf.DUMMYFUNCTION("""COMPUTED_VALUE"""),"..")</f>
        <v>..</v>
      </c>
      <c r="M463" s="2" t="b">
        <f t="shared" si="4"/>
        <v>0</v>
      </c>
      <c r="N463" s="2" t="b">
        <f>IFERROR(__xludf.DUMMYFUNCTION("IF(AND(REGEXMATCH($G$4, ""cd""),M463),N462+J463)"),FALSE)</f>
        <v>0</v>
      </c>
      <c r="O463" s="2" t="str">
        <f t="shared" si="5"/>
        <v>#N/A</v>
      </c>
    </row>
    <row r="464">
      <c r="A464" s="1" t="s">
        <v>279</v>
      </c>
      <c r="B464" s="2" t="str">
        <f t="shared" si="1"/>
        <v>#VALUE!</v>
      </c>
      <c r="C464" s="2" t="str">
        <f>IFERROR(__xludf.DUMMYFUNCTION("SPLIT(B464,"" "")"),"#VALUE!")</f>
        <v>#VALUE!</v>
      </c>
      <c r="E464" s="2" t="str">
        <f t="shared" si="2"/>
        <v>$ cd sws</v>
      </c>
      <c r="F464" s="2" t="str">
        <f>IFERROR(__xludf.DUMMYFUNCTION("SPLIT(E464,"" "")"),"$")</f>
        <v>$</v>
      </c>
      <c r="G464" s="2" t="str">
        <f>IFERROR(__xludf.DUMMYFUNCTION("""COMPUTED_VALUE"""),"cd")</f>
        <v>cd</v>
      </c>
      <c r="H464" s="2" t="str">
        <f>IFERROR(__xludf.DUMMYFUNCTION("""COMPUTED_VALUE"""),"sws")</f>
        <v>sws</v>
      </c>
      <c r="I464" s="2" t="str">
        <f t="shared" si="3"/>
        <v>#VALUE!</v>
      </c>
      <c r="J464" s="2" t="str">
        <f>IFERROR(__xludf.DUMMYFUNCTION("SPLIT(I464,"" "")"),"#VALUE!")</f>
        <v>#VALUE!</v>
      </c>
      <c r="M464" s="2" t="b">
        <f t="shared" si="4"/>
        <v>0</v>
      </c>
      <c r="N464" s="2" t="b">
        <f>IFERROR(__xludf.DUMMYFUNCTION("IF(AND(REGEXMATCH($G$4, ""cd""),M464),N463+J464)"),FALSE)</f>
        <v>0</v>
      </c>
      <c r="O464" s="2" t="str">
        <f t="shared" si="5"/>
        <v>#N/A</v>
      </c>
    </row>
    <row r="465">
      <c r="A465" s="1" t="s">
        <v>2</v>
      </c>
      <c r="B465" s="2" t="str">
        <f t="shared" si="1"/>
        <v>#VALUE!</v>
      </c>
      <c r="C465" s="2" t="str">
        <f>IFERROR(__xludf.DUMMYFUNCTION("SPLIT(B465,"" "")"),"#VALUE!")</f>
        <v>#VALUE!</v>
      </c>
      <c r="E465" s="2" t="str">
        <f t="shared" si="2"/>
        <v>#VALUE!</v>
      </c>
      <c r="F465" s="2" t="str">
        <f>IFERROR(__xludf.DUMMYFUNCTION("SPLIT(E465,"" "")"),"#VALUE!")</f>
        <v>#VALUE!</v>
      </c>
      <c r="I465" s="2" t="str">
        <f t="shared" si="3"/>
        <v>#VALUE!</v>
      </c>
      <c r="J465" s="2" t="str">
        <f>IFERROR(__xludf.DUMMYFUNCTION("SPLIT(I465,"" "")"),"#VALUE!")</f>
        <v>#VALUE!</v>
      </c>
      <c r="M465" s="2" t="b">
        <f t="shared" si="4"/>
        <v>0</v>
      </c>
      <c r="N465" s="2" t="b">
        <f>IFERROR(__xludf.DUMMYFUNCTION("IF(AND(REGEXMATCH($G$4, ""cd""),M465),N464+J465)"),FALSE)</f>
        <v>0</v>
      </c>
      <c r="O465" s="2" t="str">
        <f t="shared" si="5"/>
        <v>#N/A</v>
      </c>
    </row>
    <row r="466">
      <c r="A466" s="1" t="s">
        <v>50</v>
      </c>
      <c r="B466" s="2" t="str">
        <f t="shared" si="1"/>
        <v>dir hlvpfw</v>
      </c>
      <c r="C466" s="2" t="str">
        <f>IFERROR(__xludf.DUMMYFUNCTION("SPLIT(B466,"" "")"),"dir")</f>
        <v>dir</v>
      </c>
      <c r="D466" s="2" t="str">
        <f>IFERROR(__xludf.DUMMYFUNCTION("""COMPUTED_VALUE"""),"hlvpfw")</f>
        <v>hlvpfw</v>
      </c>
      <c r="E466" s="2" t="str">
        <f t="shared" si="2"/>
        <v>#VALUE!</v>
      </c>
      <c r="F466" s="2" t="str">
        <f>IFERROR(__xludf.DUMMYFUNCTION("SPLIT(E466,"" "")"),"#VALUE!")</f>
        <v>#VALUE!</v>
      </c>
      <c r="I466" s="2" t="str">
        <f t="shared" si="3"/>
        <v>#VALUE!</v>
      </c>
      <c r="J466" s="2" t="str">
        <f>IFERROR(__xludf.DUMMYFUNCTION("SPLIT(I466,"" "")"),"#VALUE!")</f>
        <v>#VALUE!</v>
      </c>
      <c r="M466" s="2" t="b">
        <f t="shared" si="4"/>
        <v>0</v>
      </c>
      <c r="N466" s="2" t="b">
        <f>IFERROR(__xludf.DUMMYFUNCTION("IF(AND(REGEXMATCH($G$4, ""cd""),M466),N465+J466)"),FALSE)</f>
        <v>0</v>
      </c>
      <c r="O466" s="2" t="str">
        <f t="shared" si="5"/>
        <v>#N/A</v>
      </c>
    </row>
    <row r="467">
      <c r="A467" s="1" t="s">
        <v>280</v>
      </c>
      <c r="B467" s="2" t="str">
        <f t="shared" si="1"/>
        <v>#VALUE!</v>
      </c>
      <c r="C467" s="2" t="str">
        <f>IFERROR(__xludf.DUMMYFUNCTION("SPLIT(B467,"" "")"),"#VALUE!")</f>
        <v>#VALUE!</v>
      </c>
      <c r="E467" s="2" t="str">
        <f t="shared" si="2"/>
        <v>#VALUE!</v>
      </c>
      <c r="F467" s="2" t="str">
        <f>IFERROR(__xludf.DUMMYFUNCTION("SPLIT(E467,"" "")"),"#VALUE!")</f>
        <v>#VALUE!</v>
      </c>
      <c r="I467" s="2" t="str">
        <f t="shared" si="3"/>
        <v>75133 nqrp.jdg</v>
      </c>
      <c r="J467" s="2">
        <f>IFERROR(__xludf.DUMMYFUNCTION("SPLIT(I467,"" "")"),75133.0)</f>
        <v>75133</v>
      </c>
      <c r="K467" s="2" t="str">
        <f>IFERROR(__xludf.DUMMYFUNCTION("""COMPUTED_VALUE"""),"nqrp.jdg")</f>
        <v>nqrp.jdg</v>
      </c>
      <c r="M467" s="2" t="b">
        <f t="shared" si="4"/>
        <v>1</v>
      </c>
      <c r="N467" s="2">
        <f>IFERROR(__xludf.DUMMYFUNCTION("IF(AND(REGEXMATCH($G$4, ""cd""),M467),N466+J467)"),75133.0)</f>
        <v>75133</v>
      </c>
      <c r="O467" s="2" t="str">
        <f t="shared" si="5"/>
        <v>#N/A</v>
      </c>
    </row>
    <row r="468">
      <c r="A468" s="1" t="s">
        <v>52</v>
      </c>
      <c r="B468" s="2" t="str">
        <f t="shared" si="1"/>
        <v>#VALUE!</v>
      </c>
      <c r="C468" s="2" t="str">
        <f>IFERROR(__xludf.DUMMYFUNCTION("SPLIT(B468,"" "")"),"#VALUE!")</f>
        <v>#VALUE!</v>
      </c>
      <c r="E468" s="2" t="str">
        <f t="shared" si="2"/>
        <v>$ cd hlvpfw</v>
      </c>
      <c r="F468" s="2" t="str">
        <f>IFERROR(__xludf.DUMMYFUNCTION("SPLIT(E468,"" "")"),"$")</f>
        <v>$</v>
      </c>
      <c r="G468" s="2" t="str">
        <f>IFERROR(__xludf.DUMMYFUNCTION("""COMPUTED_VALUE"""),"cd")</f>
        <v>cd</v>
      </c>
      <c r="H468" s="2" t="str">
        <f>IFERROR(__xludf.DUMMYFUNCTION("""COMPUTED_VALUE"""),"hlvpfw")</f>
        <v>hlvpfw</v>
      </c>
      <c r="I468" s="2" t="str">
        <f t="shared" si="3"/>
        <v>#VALUE!</v>
      </c>
      <c r="J468" s="2" t="str">
        <f>IFERROR(__xludf.DUMMYFUNCTION("SPLIT(I468,"" "")"),"#VALUE!")</f>
        <v>#VALUE!</v>
      </c>
      <c r="M468" s="2" t="b">
        <f t="shared" si="4"/>
        <v>0</v>
      </c>
      <c r="N468" s="2" t="b">
        <f>IFERROR(__xludf.DUMMYFUNCTION("IF(AND(REGEXMATCH($G$4, ""cd""),M468),N467+J468)"),FALSE)</f>
        <v>0</v>
      </c>
      <c r="O468" s="2" t="str">
        <f t="shared" si="5"/>
        <v>#N/A</v>
      </c>
    </row>
    <row r="469">
      <c r="A469" s="1" t="s">
        <v>2</v>
      </c>
      <c r="B469" s="2" t="str">
        <f t="shared" si="1"/>
        <v>#VALUE!</v>
      </c>
      <c r="C469" s="2" t="str">
        <f>IFERROR(__xludf.DUMMYFUNCTION("SPLIT(B469,"" "")"),"#VALUE!")</f>
        <v>#VALUE!</v>
      </c>
      <c r="E469" s="2" t="str">
        <f t="shared" si="2"/>
        <v>#VALUE!</v>
      </c>
      <c r="F469" s="2" t="str">
        <f>IFERROR(__xludf.DUMMYFUNCTION("SPLIT(E469,"" "")"),"#VALUE!")</f>
        <v>#VALUE!</v>
      </c>
      <c r="I469" s="2" t="str">
        <f t="shared" si="3"/>
        <v>#VALUE!</v>
      </c>
      <c r="J469" s="2" t="str">
        <f>IFERROR(__xludf.DUMMYFUNCTION("SPLIT(I469,"" "")"),"#VALUE!")</f>
        <v>#VALUE!</v>
      </c>
      <c r="M469" s="2" t="b">
        <f t="shared" si="4"/>
        <v>0</v>
      </c>
      <c r="N469" s="2" t="b">
        <f>IFERROR(__xludf.DUMMYFUNCTION("IF(AND(REGEXMATCH($G$4, ""cd""),M469),N468+J469)"),FALSE)</f>
        <v>0</v>
      </c>
      <c r="O469" s="2" t="str">
        <f t="shared" si="5"/>
        <v>#N/A</v>
      </c>
    </row>
    <row r="470">
      <c r="A470" s="1" t="s">
        <v>281</v>
      </c>
      <c r="B470" s="2" t="str">
        <f t="shared" si="1"/>
        <v>#VALUE!</v>
      </c>
      <c r="C470" s="2" t="str">
        <f>IFERROR(__xludf.DUMMYFUNCTION("SPLIT(B470,"" "")"),"#VALUE!")</f>
        <v>#VALUE!</v>
      </c>
      <c r="E470" s="2" t="str">
        <f t="shared" si="2"/>
        <v>#VALUE!</v>
      </c>
      <c r="F470" s="2" t="str">
        <f>IFERROR(__xludf.DUMMYFUNCTION("SPLIT(E470,"" "")"),"#VALUE!")</f>
        <v>#VALUE!</v>
      </c>
      <c r="I470" s="2" t="str">
        <f t="shared" si="3"/>
        <v>71403 cvdd.whl</v>
      </c>
      <c r="J470" s="2">
        <f>IFERROR(__xludf.DUMMYFUNCTION("SPLIT(I470,"" "")"),71403.0)</f>
        <v>71403</v>
      </c>
      <c r="K470" s="2" t="str">
        <f>IFERROR(__xludf.DUMMYFUNCTION("""COMPUTED_VALUE"""),"cvdd.whl")</f>
        <v>cvdd.whl</v>
      </c>
      <c r="M470" s="2" t="b">
        <f t="shared" si="4"/>
        <v>1</v>
      </c>
      <c r="N470" s="2">
        <f>IFERROR(__xludf.DUMMYFUNCTION("IF(AND(REGEXMATCH($G$4, ""cd""),M470),N469+J470)"),71403.0)</f>
        <v>71403</v>
      </c>
      <c r="O470" s="2" t="str">
        <f t="shared" si="5"/>
        <v>#N/A</v>
      </c>
    </row>
    <row r="471">
      <c r="A471" s="1" t="s">
        <v>17</v>
      </c>
      <c r="B471" s="2" t="str">
        <f t="shared" si="1"/>
        <v>#VALUE!</v>
      </c>
      <c r="C471" s="2" t="str">
        <f>IFERROR(__xludf.DUMMYFUNCTION("SPLIT(B471,"" "")"),"#VALUE!")</f>
        <v>#VALUE!</v>
      </c>
      <c r="E471" s="2" t="str">
        <f t="shared" si="2"/>
        <v>$ cd ..</v>
      </c>
      <c r="F471" s="2" t="str">
        <f>IFERROR(__xludf.DUMMYFUNCTION("SPLIT(E471,"" "")"),"$")</f>
        <v>$</v>
      </c>
      <c r="G471" s="2" t="str">
        <f>IFERROR(__xludf.DUMMYFUNCTION("""COMPUTED_VALUE"""),"cd")</f>
        <v>cd</v>
      </c>
      <c r="H471" s="2" t="str">
        <f>IFERROR(__xludf.DUMMYFUNCTION("""COMPUTED_VALUE"""),"..")</f>
        <v>..</v>
      </c>
      <c r="I471" s="2" t="str">
        <f t="shared" si="3"/>
        <v>$ cd ..</v>
      </c>
      <c r="J471" s="2" t="str">
        <f>IFERROR(__xludf.DUMMYFUNCTION("SPLIT(I471,"" "")"),"$")</f>
        <v>$</v>
      </c>
      <c r="K471" s="2" t="str">
        <f>IFERROR(__xludf.DUMMYFUNCTION("""COMPUTED_VALUE"""),"cd")</f>
        <v>cd</v>
      </c>
      <c r="L471" s="2" t="str">
        <f>IFERROR(__xludf.DUMMYFUNCTION("""COMPUTED_VALUE"""),"..")</f>
        <v>..</v>
      </c>
      <c r="M471" s="2" t="b">
        <f t="shared" si="4"/>
        <v>0</v>
      </c>
      <c r="N471" s="2" t="b">
        <f>IFERROR(__xludf.DUMMYFUNCTION("IF(AND(REGEXMATCH($G$4, ""cd""),M471),N470+J471)"),FALSE)</f>
        <v>0</v>
      </c>
      <c r="O471" s="2" t="str">
        <f t="shared" si="5"/>
        <v>#N/A</v>
      </c>
    </row>
    <row r="472">
      <c r="A472" s="1" t="s">
        <v>17</v>
      </c>
      <c r="B472" s="2" t="str">
        <f t="shared" si="1"/>
        <v>#VALUE!</v>
      </c>
      <c r="C472" s="2" t="str">
        <f>IFERROR(__xludf.DUMMYFUNCTION("SPLIT(B472,"" "")"),"#VALUE!")</f>
        <v>#VALUE!</v>
      </c>
      <c r="E472" s="2" t="str">
        <f t="shared" si="2"/>
        <v>$ cd ..</v>
      </c>
      <c r="F472" s="2" t="str">
        <f>IFERROR(__xludf.DUMMYFUNCTION("SPLIT(E472,"" "")"),"$")</f>
        <v>$</v>
      </c>
      <c r="G472" s="2" t="str">
        <f>IFERROR(__xludf.DUMMYFUNCTION("""COMPUTED_VALUE"""),"cd")</f>
        <v>cd</v>
      </c>
      <c r="H472" s="2" t="str">
        <f>IFERROR(__xludf.DUMMYFUNCTION("""COMPUTED_VALUE"""),"..")</f>
        <v>..</v>
      </c>
      <c r="I472" s="2" t="str">
        <f t="shared" si="3"/>
        <v>$ cd ..</v>
      </c>
      <c r="J472" s="2" t="str">
        <f>IFERROR(__xludf.DUMMYFUNCTION("SPLIT(I472,"" "")"),"$")</f>
        <v>$</v>
      </c>
      <c r="K472" s="2" t="str">
        <f>IFERROR(__xludf.DUMMYFUNCTION("""COMPUTED_VALUE"""),"cd")</f>
        <v>cd</v>
      </c>
      <c r="L472" s="2" t="str">
        <f>IFERROR(__xludf.DUMMYFUNCTION("""COMPUTED_VALUE"""),"..")</f>
        <v>..</v>
      </c>
      <c r="M472" s="2" t="b">
        <f t="shared" si="4"/>
        <v>0</v>
      </c>
      <c r="N472" s="2" t="b">
        <f>IFERROR(__xludf.DUMMYFUNCTION("IF(AND(REGEXMATCH($G$4, ""cd""),M472),N471+J472)"),FALSE)</f>
        <v>0</v>
      </c>
      <c r="O472" s="2" t="str">
        <f t="shared" si="5"/>
        <v>#N/A</v>
      </c>
    </row>
    <row r="473">
      <c r="A473" s="1" t="s">
        <v>17</v>
      </c>
      <c r="B473" s="2" t="str">
        <f t="shared" si="1"/>
        <v>#VALUE!</v>
      </c>
      <c r="C473" s="2" t="str">
        <f>IFERROR(__xludf.DUMMYFUNCTION("SPLIT(B473,"" "")"),"#VALUE!")</f>
        <v>#VALUE!</v>
      </c>
      <c r="E473" s="2" t="str">
        <f t="shared" si="2"/>
        <v>$ cd ..</v>
      </c>
      <c r="F473" s="2" t="str">
        <f>IFERROR(__xludf.DUMMYFUNCTION("SPLIT(E473,"" "")"),"$")</f>
        <v>$</v>
      </c>
      <c r="G473" s="2" t="str">
        <f>IFERROR(__xludf.DUMMYFUNCTION("""COMPUTED_VALUE"""),"cd")</f>
        <v>cd</v>
      </c>
      <c r="H473" s="2" t="str">
        <f>IFERROR(__xludf.DUMMYFUNCTION("""COMPUTED_VALUE"""),"..")</f>
        <v>..</v>
      </c>
      <c r="I473" s="2" t="str">
        <f t="shared" si="3"/>
        <v>$ cd ..</v>
      </c>
      <c r="J473" s="2" t="str">
        <f>IFERROR(__xludf.DUMMYFUNCTION("SPLIT(I473,"" "")"),"$")</f>
        <v>$</v>
      </c>
      <c r="K473" s="2" t="str">
        <f>IFERROR(__xludf.DUMMYFUNCTION("""COMPUTED_VALUE"""),"cd")</f>
        <v>cd</v>
      </c>
      <c r="L473" s="2" t="str">
        <f>IFERROR(__xludf.DUMMYFUNCTION("""COMPUTED_VALUE"""),"..")</f>
        <v>..</v>
      </c>
      <c r="M473" s="2" t="b">
        <f t="shared" si="4"/>
        <v>0</v>
      </c>
      <c r="N473" s="2" t="b">
        <f>IFERROR(__xludf.DUMMYFUNCTION("IF(AND(REGEXMATCH($G$4, ""cd""),M473),N472+J473)"),FALSE)</f>
        <v>0</v>
      </c>
      <c r="O473" s="2" t="str">
        <f t="shared" si="5"/>
        <v>#N/A</v>
      </c>
    </row>
    <row r="474">
      <c r="A474" s="1" t="s">
        <v>282</v>
      </c>
      <c r="B474" s="2" t="str">
        <f t="shared" si="1"/>
        <v>#VALUE!</v>
      </c>
      <c r="C474" s="2" t="str">
        <f>IFERROR(__xludf.DUMMYFUNCTION("SPLIT(B474,"" "")"),"#VALUE!")</f>
        <v>#VALUE!</v>
      </c>
      <c r="E474" s="2" t="str">
        <f t="shared" si="2"/>
        <v>$ cd nljb</v>
      </c>
      <c r="F474" s="2" t="str">
        <f>IFERROR(__xludf.DUMMYFUNCTION("SPLIT(E474,"" "")"),"$")</f>
        <v>$</v>
      </c>
      <c r="G474" s="2" t="str">
        <f>IFERROR(__xludf.DUMMYFUNCTION("""COMPUTED_VALUE"""),"cd")</f>
        <v>cd</v>
      </c>
      <c r="H474" s="2" t="str">
        <f>IFERROR(__xludf.DUMMYFUNCTION("""COMPUTED_VALUE"""),"nljb")</f>
        <v>nljb</v>
      </c>
      <c r="I474" s="2" t="str">
        <f t="shared" si="3"/>
        <v>#VALUE!</v>
      </c>
      <c r="J474" s="2" t="str">
        <f>IFERROR(__xludf.DUMMYFUNCTION("SPLIT(I474,"" "")"),"#VALUE!")</f>
        <v>#VALUE!</v>
      </c>
      <c r="M474" s="2" t="b">
        <f t="shared" si="4"/>
        <v>0</v>
      </c>
      <c r="N474" s="2" t="b">
        <f>IFERROR(__xludf.DUMMYFUNCTION("IF(AND(REGEXMATCH($G$4, ""cd""),M474),N473+J474)"),FALSE)</f>
        <v>0</v>
      </c>
      <c r="O474" s="2" t="str">
        <f t="shared" si="5"/>
        <v>#N/A</v>
      </c>
    </row>
    <row r="475">
      <c r="A475" s="1" t="s">
        <v>2</v>
      </c>
      <c r="B475" s="2" t="str">
        <f t="shared" si="1"/>
        <v>#VALUE!</v>
      </c>
      <c r="C475" s="2" t="str">
        <f>IFERROR(__xludf.DUMMYFUNCTION("SPLIT(B475,"" "")"),"#VALUE!")</f>
        <v>#VALUE!</v>
      </c>
      <c r="E475" s="2" t="str">
        <f t="shared" si="2"/>
        <v>#VALUE!</v>
      </c>
      <c r="F475" s="2" t="str">
        <f>IFERROR(__xludf.DUMMYFUNCTION("SPLIT(E475,"" "")"),"#VALUE!")</f>
        <v>#VALUE!</v>
      </c>
      <c r="I475" s="2" t="str">
        <f t="shared" si="3"/>
        <v>#VALUE!</v>
      </c>
      <c r="J475" s="2" t="str">
        <f>IFERROR(__xludf.DUMMYFUNCTION("SPLIT(I475,"" "")"),"#VALUE!")</f>
        <v>#VALUE!</v>
      </c>
      <c r="M475" s="2" t="b">
        <f t="shared" si="4"/>
        <v>0</v>
      </c>
      <c r="N475" s="2" t="b">
        <f>IFERROR(__xludf.DUMMYFUNCTION("IF(AND(REGEXMATCH($G$4, ""cd""),M475),N474+J475)"),FALSE)</f>
        <v>0</v>
      </c>
      <c r="O475" s="2" t="str">
        <f t="shared" si="5"/>
        <v>#N/A</v>
      </c>
    </row>
    <row r="476">
      <c r="A476" s="1" t="s">
        <v>283</v>
      </c>
      <c r="B476" s="2" t="str">
        <f t="shared" si="1"/>
        <v>#VALUE!</v>
      </c>
      <c r="C476" s="2" t="str">
        <f>IFERROR(__xludf.DUMMYFUNCTION("SPLIT(B476,"" "")"),"#VALUE!")</f>
        <v>#VALUE!</v>
      </c>
      <c r="E476" s="2" t="str">
        <f t="shared" si="2"/>
        <v>#VALUE!</v>
      </c>
      <c r="F476" s="2" t="str">
        <f>IFERROR(__xludf.DUMMYFUNCTION("SPLIT(E476,"" "")"),"#VALUE!")</f>
        <v>#VALUE!</v>
      </c>
      <c r="I476" s="2" t="str">
        <f t="shared" si="3"/>
        <v>#VALUE!</v>
      </c>
      <c r="J476" s="2" t="str">
        <f>IFERROR(__xludf.DUMMYFUNCTION("SPLIT(I476,"" "")"),"#VALUE!")</f>
        <v>#VALUE!</v>
      </c>
      <c r="M476" s="2" t="b">
        <f t="shared" si="4"/>
        <v>0</v>
      </c>
      <c r="N476" s="2" t="b">
        <f>IFERROR(__xludf.DUMMYFUNCTION("IF(AND(REGEXMATCH($G$4, ""cd""),M476),N475+J476)"),FALSE)</f>
        <v>0</v>
      </c>
      <c r="O476" s="2" t="str">
        <f t="shared" si="5"/>
        <v>#N/A</v>
      </c>
    </row>
    <row r="477">
      <c r="A477" s="1" t="s">
        <v>17</v>
      </c>
      <c r="B477" s="2" t="str">
        <f t="shared" si="1"/>
        <v>#VALUE!</v>
      </c>
      <c r="C477" s="2" t="str">
        <f>IFERROR(__xludf.DUMMYFUNCTION("SPLIT(B477,"" "")"),"#VALUE!")</f>
        <v>#VALUE!</v>
      </c>
      <c r="E477" s="2" t="str">
        <f t="shared" si="2"/>
        <v>$ cd ..</v>
      </c>
      <c r="F477" s="2" t="str">
        <f>IFERROR(__xludf.DUMMYFUNCTION("SPLIT(E477,"" "")"),"$")</f>
        <v>$</v>
      </c>
      <c r="G477" s="2" t="str">
        <f>IFERROR(__xludf.DUMMYFUNCTION("""COMPUTED_VALUE"""),"cd")</f>
        <v>cd</v>
      </c>
      <c r="H477" s="2" t="str">
        <f>IFERROR(__xludf.DUMMYFUNCTION("""COMPUTED_VALUE"""),"..")</f>
        <v>..</v>
      </c>
      <c r="I477" s="2" t="str">
        <f t="shared" si="3"/>
        <v>$ cd ..</v>
      </c>
      <c r="J477" s="2" t="str">
        <f>IFERROR(__xludf.DUMMYFUNCTION("SPLIT(I477,"" "")"),"$")</f>
        <v>$</v>
      </c>
      <c r="K477" s="2" t="str">
        <f>IFERROR(__xludf.DUMMYFUNCTION("""COMPUTED_VALUE"""),"cd")</f>
        <v>cd</v>
      </c>
      <c r="L477" s="2" t="str">
        <f>IFERROR(__xludf.DUMMYFUNCTION("""COMPUTED_VALUE"""),"..")</f>
        <v>..</v>
      </c>
      <c r="M477" s="2" t="b">
        <f t="shared" si="4"/>
        <v>0</v>
      </c>
      <c r="N477" s="2" t="b">
        <f>IFERROR(__xludf.DUMMYFUNCTION("IF(AND(REGEXMATCH($G$4, ""cd""),M477),N476+J477)"),FALSE)</f>
        <v>0</v>
      </c>
      <c r="O477" s="2" t="str">
        <f t="shared" si="5"/>
        <v>#N/A</v>
      </c>
    </row>
    <row r="478">
      <c r="A478" s="1" t="s">
        <v>284</v>
      </c>
      <c r="B478" s="2" t="str">
        <f t="shared" si="1"/>
        <v>#VALUE!</v>
      </c>
      <c r="C478" s="2" t="str">
        <f>IFERROR(__xludf.DUMMYFUNCTION("SPLIT(B478,"" "")"),"#VALUE!")</f>
        <v>#VALUE!</v>
      </c>
      <c r="E478" s="2" t="str">
        <f t="shared" si="2"/>
        <v>$ cd npmsdrgp</v>
      </c>
      <c r="F478" s="2" t="str">
        <f>IFERROR(__xludf.DUMMYFUNCTION("SPLIT(E478,"" "")"),"$")</f>
        <v>$</v>
      </c>
      <c r="G478" s="2" t="str">
        <f>IFERROR(__xludf.DUMMYFUNCTION("""COMPUTED_VALUE"""),"cd")</f>
        <v>cd</v>
      </c>
      <c r="H478" s="2" t="str">
        <f>IFERROR(__xludf.DUMMYFUNCTION("""COMPUTED_VALUE"""),"npmsdrgp")</f>
        <v>npmsdrgp</v>
      </c>
      <c r="I478" s="2" t="str">
        <f t="shared" si="3"/>
        <v>#VALUE!</v>
      </c>
      <c r="J478" s="2" t="str">
        <f>IFERROR(__xludf.DUMMYFUNCTION("SPLIT(I478,"" "")"),"#VALUE!")</f>
        <v>#VALUE!</v>
      </c>
      <c r="M478" s="2" t="b">
        <f t="shared" si="4"/>
        <v>0</v>
      </c>
      <c r="N478" s="2" t="b">
        <f>IFERROR(__xludf.DUMMYFUNCTION("IF(AND(REGEXMATCH($G$4, ""cd""),M478),N477+J478)"),FALSE)</f>
        <v>0</v>
      </c>
      <c r="O478" s="2" t="str">
        <f t="shared" si="5"/>
        <v>#N/A</v>
      </c>
    </row>
    <row r="479">
      <c r="A479" s="1" t="s">
        <v>2</v>
      </c>
      <c r="B479" s="2" t="str">
        <f t="shared" si="1"/>
        <v>#VALUE!</v>
      </c>
      <c r="C479" s="2" t="str">
        <f>IFERROR(__xludf.DUMMYFUNCTION("SPLIT(B479,"" "")"),"#VALUE!")</f>
        <v>#VALUE!</v>
      </c>
      <c r="E479" s="2" t="str">
        <f t="shared" si="2"/>
        <v>#VALUE!</v>
      </c>
      <c r="F479" s="2" t="str">
        <f>IFERROR(__xludf.DUMMYFUNCTION("SPLIT(E479,"" "")"),"#VALUE!")</f>
        <v>#VALUE!</v>
      </c>
      <c r="I479" s="2" t="str">
        <f t="shared" si="3"/>
        <v>#VALUE!</v>
      </c>
      <c r="J479" s="2" t="str">
        <f>IFERROR(__xludf.DUMMYFUNCTION("SPLIT(I479,"" "")"),"#VALUE!")</f>
        <v>#VALUE!</v>
      </c>
      <c r="M479" s="2" t="b">
        <f t="shared" si="4"/>
        <v>0</v>
      </c>
      <c r="N479" s="2" t="b">
        <f>IFERROR(__xludf.DUMMYFUNCTION("IF(AND(REGEXMATCH($G$4, ""cd""),M479),N478+J479)"),FALSE)</f>
        <v>0</v>
      </c>
      <c r="O479" s="2" t="str">
        <f t="shared" si="5"/>
        <v>#N/A</v>
      </c>
    </row>
    <row r="480">
      <c r="A480" s="1" t="s">
        <v>285</v>
      </c>
      <c r="B480" s="2" t="str">
        <f t="shared" si="1"/>
        <v>#VALUE!</v>
      </c>
      <c r="C480" s="2" t="str">
        <f>IFERROR(__xludf.DUMMYFUNCTION("SPLIT(B480,"" "")"),"#VALUE!")</f>
        <v>#VALUE!</v>
      </c>
      <c r="E480" s="2" t="str">
        <f t="shared" si="2"/>
        <v>#VALUE!</v>
      </c>
      <c r="F480" s="2" t="str">
        <f>IFERROR(__xludf.DUMMYFUNCTION("SPLIT(E480,"" "")"),"#VALUE!")</f>
        <v>#VALUE!</v>
      </c>
      <c r="I480" s="2" t="str">
        <f t="shared" si="3"/>
        <v>176062 bhm.gfd</v>
      </c>
      <c r="J480" s="2">
        <f>IFERROR(__xludf.DUMMYFUNCTION("SPLIT(I480,"" "")"),176062.0)</f>
        <v>176062</v>
      </c>
      <c r="K480" s="2" t="str">
        <f>IFERROR(__xludf.DUMMYFUNCTION("""COMPUTED_VALUE"""),"bhm.gfd")</f>
        <v>bhm.gfd</v>
      </c>
      <c r="M480" s="2" t="b">
        <f t="shared" si="4"/>
        <v>1</v>
      </c>
      <c r="N480" s="2">
        <f>IFERROR(__xludf.DUMMYFUNCTION("IF(AND(REGEXMATCH($G$4, ""cd""),M480),N479+J480)"),176062.0)</f>
        <v>176062</v>
      </c>
      <c r="O480" s="2" t="str">
        <f t="shared" si="5"/>
        <v>#N/A</v>
      </c>
    </row>
    <row r="481">
      <c r="A481" s="1" t="s">
        <v>286</v>
      </c>
      <c r="B481" s="2" t="str">
        <f t="shared" si="1"/>
        <v>dir dgdl</v>
      </c>
      <c r="C481" s="2" t="str">
        <f>IFERROR(__xludf.DUMMYFUNCTION("SPLIT(B481,"" "")"),"dir")</f>
        <v>dir</v>
      </c>
      <c r="D481" s="2" t="str">
        <f>IFERROR(__xludf.DUMMYFUNCTION("""COMPUTED_VALUE"""),"dgdl")</f>
        <v>dgdl</v>
      </c>
      <c r="E481" s="2" t="str">
        <f t="shared" si="2"/>
        <v>#VALUE!</v>
      </c>
      <c r="F481" s="2" t="str">
        <f>IFERROR(__xludf.DUMMYFUNCTION("SPLIT(E481,"" "")"),"#VALUE!")</f>
        <v>#VALUE!</v>
      </c>
      <c r="I481" s="2" t="str">
        <f t="shared" si="3"/>
        <v>#VALUE!</v>
      </c>
      <c r="J481" s="2" t="str">
        <f>IFERROR(__xludf.DUMMYFUNCTION("SPLIT(I481,"" "")"),"#VALUE!")</f>
        <v>#VALUE!</v>
      </c>
      <c r="M481" s="2" t="b">
        <f t="shared" si="4"/>
        <v>0</v>
      </c>
      <c r="N481" s="2" t="b">
        <f>IFERROR(__xludf.DUMMYFUNCTION("IF(AND(REGEXMATCH($G$4, ""cd""),M481),N480+J481)"),FALSE)</f>
        <v>0</v>
      </c>
      <c r="O481" s="2" t="str">
        <f t="shared" si="5"/>
        <v>#N/A</v>
      </c>
    </row>
    <row r="482">
      <c r="A482" s="1" t="s">
        <v>287</v>
      </c>
      <c r="B482" s="2" t="str">
        <f t="shared" si="1"/>
        <v>#VALUE!</v>
      </c>
      <c r="C482" s="2" t="str">
        <f>IFERROR(__xludf.DUMMYFUNCTION("SPLIT(B482,"" "")"),"#VALUE!")</f>
        <v>#VALUE!</v>
      </c>
      <c r="E482" s="2" t="str">
        <f t="shared" si="2"/>
        <v>#VALUE!</v>
      </c>
      <c r="F482" s="2" t="str">
        <f>IFERROR(__xludf.DUMMYFUNCTION("SPLIT(E482,"" "")"),"#VALUE!")</f>
        <v>#VALUE!</v>
      </c>
      <c r="I482" s="2" t="str">
        <f t="shared" si="3"/>
        <v>24535 fdfmntpt.qvp</v>
      </c>
      <c r="J482" s="2">
        <f>IFERROR(__xludf.DUMMYFUNCTION("SPLIT(I482,"" "")"),24535.0)</f>
        <v>24535</v>
      </c>
      <c r="K482" s="2" t="str">
        <f>IFERROR(__xludf.DUMMYFUNCTION("""COMPUTED_VALUE"""),"fdfmntpt.qvp")</f>
        <v>fdfmntpt.qvp</v>
      </c>
      <c r="M482" s="2" t="b">
        <f t="shared" si="4"/>
        <v>1</v>
      </c>
      <c r="N482" s="2">
        <f>IFERROR(__xludf.DUMMYFUNCTION("IF(AND(REGEXMATCH($G$4, ""cd""),M482),N481+J482)"),24535.0)</f>
        <v>24535</v>
      </c>
      <c r="O482" s="2" t="str">
        <f t="shared" si="5"/>
        <v>#N/A</v>
      </c>
    </row>
    <row r="483">
      <c r="A483" s="1" t="s">
        <v>4</v>
      </c>
      <c r="B483" s="2" t="str">
        <f t="shared" si="1"/>
        <v>dir jnwr</v>
      </c>
      <c r="C483" s="2" t="str">
        <f>IFERROR(__xludf.DUMMYFUNCTION("SPLIT(B483,"" "")"),"dir")</f>
        <v>dir</v>
      </c>
      <c r="D483" s="2" t="str">
        <f>IFERROR(__xludf.DUMMYFUNCTION("""COMPUTED_VALUE"""),"jnwr")</f>
        <v>jnwr</v>
      </c>
      <c r="E483" s="2" t="str">
        <f t="shared" si="2"/>
        <v>#VALUE!</v>
      </c>
      <c r="F483" s="2" t="str">
        <f>IFERROR(__xludf.DUMMYFUNCTION("SPLIT(E483,"" "")"),"#VALUE!")</f>
        <v>#VALUE!</v>
      </c>
      <c r="I483" s="2" t="str">
        <f t="shared" si="3"/>
        <v>#VALUE!</v>
      </c>
      <c r="J483" s="2" t="str">
        <f>IFERROR(__xludf.DUMMYFUNCTION("SPLIT(I483,"" "")"),"#VALUE!")</f>
        <v>#VALUE!</v>
      </c>
      <c r="M483" s="2" t="b">
        <f t="shared" si="4"/>
        <v>0</v>
      </c>
      <c r="N483" s="2" t="b">
        <f>IFERROR(__xludf.DUMMYFUNCTION("IF(AND(REGEXMATCH($G$4, ""cd""),M483),N482+J483)"),FALSE)</f>
        <v>0</v>
      </c>
      <c r="O483" s="2" t="str">
        <f t="shared" si="5"/>
        <v>#N/A</v>
      </c>
    </row>
    <row r="484">
      <c r="A484" s="1" t="s">
        <v>288</v>
      </c>
      <c r="B484" s="2" t="str">
        <f t="shared" si="1"/>
        <v>#VALUE!</v>
      </c>
      <c r="C484" s="2" t="str">
        <f>IFERROR(__xludf.DUMMYFUNCTION("SPLIT(B484,"" "")"),"#VALUE!")</f>
        <v>#VALUE!</v>
      </c>
      <c r="E484" s="2" t="str">
        <f t="shared" si="2"/>
        <v>#VALUE!</v>
      </c>
      <c r="F484" s="2" t="str">
        <f>IFERROR(__xludf.DUMMYFUNCTION("SPLIT(E484,"" "")"),"#VALUE!")</f>
        <v>#VALUE!</v>
      </c>
      <c r="I484" s="2" t="str">
        <f t="shared" si="3"/>
        <v>#VALUE!</v>
      </c>
      <c r="J484" s="2" t="str">
        <f>IFERROR(__xludf.DUMMYFUNCTION("SPLIT(I484,"" "")"),"#VALUE!")</f>
        <v>#VALUE!</v>
      </c>
      <c r="M484" s="2" t="b">
        <f t="shared" si="4"/>
        <v>0</v>
      </c>
      <c r="N484" s="2" t="b">
        <f>IFERROR(__xludf.DUMMYFUNCTION("IF(AND(REGEXMATCH($G$4, ""cd""),M484),N483+J484)"),FALSE)</f>
        <v>0</v>
      </c>
      <c r="O484" s="2" t="str">
        <f t="shared" si="5"/>
        <v>#N/A</v>
      </c>
    </row>
    <row r="485">
      <c r="A485" s="1" t="s">
        <v>289</v>
      </c>
      <c r="B485" s="2" t="str">
        <f t="shared" si="1"/>
        <v>#VALUE!</v>
      </c>
      <c r="C485" s="2" t="str">
        <f>IFERROR(__xludf.DUMMYFUNCTION("SPLIT(B485,"" "")"),"#VALUE!")</f>
        <v>#VALUE!</v>
      </c>
      <c r="E485" s="2" t="str">
        <f t="shared" si="2"/>
        <v>#VALUE!</v>
      </c>
      <c r="F485" s="2" t="str">
        <f>IFERROR(__xludf.DUMMYFUNCTION("SPLIT(E485,"" "")"),"#VALUE!")</f>
        <v>#VALUE!</v>
      </c>
      <c r="I485" s="2" t="str">
        <f t="shared" si="3"/>
        <v>4671 zbdp.gqb</v>
      </c>
      <c r="J485" s="2">
        <f>IFERROR(__xludf.DUMMYFUNCTION("SPLIT(I485,"" "")"),4671.0)</f>
        <v>4671</v>
      </c>
      <c r="K485" s="2" t="str">
        <f>IFERROR(__xludf.DUMMYFUNCTION("""COMPUTED_VALUE"""),"zbdp.gqb")</f>
        <v>zbdp.gqb</v>
      </c>
      <c r="M485" s="2" t="b">
        <f t="shared" si="4"/>
        <v>1</v>
      </c>
      <c r="N485" s="2">
        <f>IFERROR(__xludf.DUMMYFUNCTION("IF(AND(REGEXMATCH($G$4, ""cd""),M485),N484+J485)"),4671.0)</f>
        <v>4671</v>
      </c>
      <c r="O485" s="2" t="str">
        <f t="shared" si="5"/>
        <v>#N/A</v>
      </c>
    </row>
    <row r="486">
      <c r="A486" s="1" t="s">
        <v>290</v>
      </c>
      <c r="B486" s="2" t="str">
        <f t="shared" si="1"/>
        <v>#VALUE!</v>
      </c>
      <c r="C486" s="2" t="str">
        <f>IFERROR(__xludf.DUMMYFUNCTION("SPLIT(B486,"" "")"),"#VALUE!")</f>
        <v>#VALUE!</v>
      </c>
      <c r="E486" s="2" t="str">
        <f t="shared" si="2"/>
        <v>$ cd dgdl</v>
      </c>
      <c r="F486" s="2" t="str">
        <f>IFERROR(__xludf.DUMMYFUNCTION("SPLIT(E486,"" "")"),"$")</f>
        <v>$</v>
      </c>
      <c r="G486" s="2" t="str">
        <f>IFERROR(__xludf.DUMMYFUNCTION("""COMPUTED_VALUE"""),"cd")</f>
        <v>cd</v>
      </c>
      <c r="H486" s="2" t="str">
        <f>IFERROR(__xludf.DUMMYFUNCTION("""COMPUTED_VALUE"""),"dgdl")</f>
        <v>dgdl</v>
      </c>
      <c r="I486" s="2" t="str">
        <f t="shared" si="3"/>
        <v>#VALUE!</v>
      </c>
      <c r="J486" s="2" t="str">
        <f>IFERROR(__xludf.DUMMYFUNCTION("SPLIT(I486,"" "")"),"#VALUE!")</f>
        <v>#VALUE!</v>
      </c>
      <c r="M486" s="2" t="b">
        <f t="shared" si="4"/>
        <v>0</v>
      </c>
      <c r="N486" s="2" t="b">
        <f>IFERROR(__xludf.DUMMYFUNCTION("IF(AND(REGEXMATCH($G$4, ""cd""),M486),N485+J486)"),FALSE)</f>
        <v>0</v>
      </c>
      <c r="O486" s="2" t="str">
        <f t="shared" si="5"/>
        <v>#N/A</v>
      </c>
    </row>
    <row r="487">
      <c r="A487" s="1" t="s">
        <v>2</v>
      </c>
      <c r="B487" s="2" t="str">
        <f t="shared" si="1"/>
        <v>#VALUE!</v>
      </c>
      <c r="C487" s="2" t="str">
        <f>IFERROR(__xludf.DUMMYFUNCTION("SPLIT(B487,"" "")"),"#VALUE!")</f>
        <v>#VALUE!</v>
      </c>
      <c r="E487" s="2" t="str">
        <f t="shared" si="2"/>
        <v>#VALUE!</v>
      </c>
      <c r="F487" s="2" t="str">
        <f>IFERROR(__xludf.DUMMYFUNCTION("SPLIT(E487,"" "")"),"#VALUE!")</f>
        <v>#VALUE!</v>
      </c>
      <c r="I487" s="2" t="str">
        <f t="shared" si="3"/>
        <v>#VALUE!</v>
      </c>
      <c r="J487" s="2" t="str">
        <f>IFERROR(__xludf.DUMMYFUNCTION("SPLIT(I487,"" "")"),"#VALUE!")</f>
        <v>#VALUE!</v>
      </c>
      <c r="M487" s="2" t="b">
        <f t="shared" si="4"/>
        <v>0</v>
      </c>
      <c r="N487" s="2" t="b">
        <f>IFERROR(__xludf.DUMMYFUNCTION("IF(AND(REGEXMATCH($G$4, ""cd""),M487),N486+J487)"),FALSE)</f>
        <v>0</v>
      </c>
      <c r="O487" s="2" t="str">
        <f t="shared" si="5"/>
        <v>#N/A</v>
      </c>
    </row>
    <row r="488">
      <c r="A488" s="1" t="s">
        <v>291</v>
      </c>
      <c r="B488" s="2" t="str">
        <f t="shared" si="1"/>
        <v>#VALUE!</v>
      </c>
      <c r="C488" s="2" t="str">
        <f>IFERROR(__xludf.DUMMYFUNCTION("SPLIT(B488,"" "")"),"#VALUE!")</f>
        <v>#VALUE!</v>
      </c>
      <c r="E488" s="2" t="str">
        <f t="shared" si="2"/>
        <v>#VALUE!</v>
      </c>
      <c r="F488" s="2" t="str">
        <f>IFERROR(__xludf.DUMMYFUNCTION("SPLIT(E488,"" "")"),"#VALUE!")</f>
        <v>#VALUE!</v>
      </c>
      <c r="I488" s="2" t="str">
        <f t="shared" si="3"/>
        <v>4624 qqcp.rcg</v>
      </c>
      <c r="J488" s="2">
        <f>IFERROR(__xludf.DUMMYFUNCTION("SPLIT(I488,"" "")"),4624.0)</f>
        <v>4624</v>
      </c>
      <c r="K488" s="2" t="str">
        <f>IFERROR(__xludf.DUMMYFUNCTION("""COMPUTED_VALUE"""),"qqcp.rcg")</f>
        <v>qqcp.rcg</v>
      </c>
      <c r="M488" s="2" t="b">
        <f t="shared" si="4"/>
        <v>1</v>
      </c>
      <c r="N488" s="2">
        <f>IFERROR(__xludf.DUMMYFUNCTION("IF(AND(REGEXMATCH($G$4, ""cd""),M488),N487+J488)"),4624.0)</f>
        <v>4624</v>
      </c>
      <c r="O488" s="2" t="str">
        <f t="shared" si="5"/>
        <v>#N/A</v>
      </c>
    </row>
    <row r="489">
      <c r="A489" s="1" t="s">
        <v>17</v>
      </c>
      <c r="B489" s="2" t="str">
        <f t="shared" si="1"/>
        <v>#VALUE!</v>
      </c>
      <c r="C489" s="2" t="str">
        <f>IFERROR(__xludf.DUMMYFUNCTION("SPLIT(B489,"" "")"),"#VALUE!")</f>
        <v>#VALUE!</v>
      </c>
      <c r="E489" s="2" t="str">
        <f t="shared" si="2"/>
        <v>$ cd ..</v>
      </c>
      <c r="F489" s="2" t="str">
        <f>IFERROR(__xludf.DUMMYFUNCTION("SPLIT(E489,"" "")"),"$")</f>
        <v>$</v>
      </c>
      <c r="G489" s="2" t="str">
        <f>IFERROR(__xludf.DUMMYFUNCTION("""COMPUTED_VALUE"""),"cd")</f>
        <v>cd</v>
      </c>
      <c r="H489" s="2" t="str">
        <f>IFERROR(__xludf.DUMMYFUNCTION("""COMPUTED_VALUE"""),"..")</f>
        <v>..</v>
      </c>
      <c r="I489" s="2" t="str">
        <f t="shared" si="3"/>
        <v>$ cd ..</v>
      </c>
      <c r="J489" s="2" t="str">
        <f>IFERROR(__xludf.DUMMYFUNCTION("SPLIT(I489,"" "")"),"$")</f>
        <v>$</v>
      </c>
      <c r="K489" s="2" t="str">
        <f>IFERROR(__xludf.DUMMYFUNCTION("""COMPUTED_VALUE"""),"cd")</f>
        <v>cd</v>
      </c>
      <c r="L489" s="2" t="str">
        <f>IFERROR(__xludf.DUMMYFUNCTION("""COMPUTED_VALUE"""),"..")</f>
        <v>..</v>
      </c>
      <c r="M489" s="2" t="b">
        <f t="shared" si="4"/>
        <v>0</v>
      </c>
      <c r="N489" s="2" t="b">
        <f>IFERROR(__xludf.DUMMYFUNCTION("IF(AND(REGEXMATCH($G$4, ""cd""),M489),N488+J489)"),FALSE)</f>
        <v>0</v>
      </c>
      <c r="O489" s="2" t="str">
        <f t="shared" si="5"/>
        <v>#N/A</v>
      </c>
    </row>
    <row r="490">
      <c r="A490" s="1" t="s">
        <v>20</v>
      </c>
      <c r="B490" s="2" t="str">
        <f t="shared" si="1"/>
        <v>#VALUE!</v>
      </c>
      <c r="C490" s="2" t="str">
        <f>IFERROR(__xludf.DUMMYFUNCTION("SPLIT(B490,"" "")"),"#VALUE!")</f>
        <v>#VALUE!</v>
      </c>
      <c r="E490" s="2" t="str">
        <f t="shared" si="2"/>
        <v>$ cd jnwr</v>
      </c>
      <c r="F490" s="2" t="str">
        <f>IFERROR(__xludf.DUMMYFUNCTION("SPLIT(E490,"" "")"),"$")</f>
        <v>$</v>
      </c>
      <c r="G490" s="2" t="str">
        <f>IFERROR(__xludf.DUMMYFUNCTION("""COMPUTED_VALUE"""),"cd")</f>
        <v>cd</v>
      </c>
      <c r="H490" s="2" t="str">
        <f>IFERROR(__xludf.DUMMYFUNCTION("""COMPUTED_VALUE"""),"jnwr")</f>
        <v>jnwr</v>
      </c>
      <c r="I490" s="2" t="str">
        <f t="shared" si="3"/>
        <v>#VALUE!</v>
      </c>
      <c r="J490" s="2" t="str">
        <f>IFERROR(__xludf.DUMMYFUNCTION("SPLIT(I490,"" "")"),"#VALUE!")</f>
        <v>#VALUE!</v>
      </c>
      <c r="M490" s="2" t="b">
        <f t="shared" si="4"/>
        <v>0</v>
      </c>
      <c r="N490" s="2" t="b">
        <f>IFERROR(__xludf.DUMMYFUNCTION("IF(AND(REGEXMATCH($G$4, ""cd""),M490),N489+J490)"),FALSE)</f>
        <v>0</v>
      </c>
      <c r="O490" s="2" t="str">
        <f t="shared" si="5"/>
        <v>#N/A</v>
      </c>
    </row>
    <row r="491">
      <c r="A491" s="1" t="s">
        <v>2</v>
      </c>
      <c r="B491" s="2" t="str">
        <f t="shared" si="1"/>
        <v>#VALUE!</v>
      </c>
      <c r="C491" s="2" t="str">
        <f>IFERROR(__xludf.DUMMYFUNCTION("SPLIT(B491,"" "")"),"#VALUE!")</f>
        <v>#VALUE!</v>
      </c>
      <c r="E491" s="2" t="str">
        <f t="shared" si="2"/>
        <v>#VALUE!</v>
      </c>
      <c r="F491" s="2" t="str">
        <f>IFERROR(__xludf.DUMMYFUNCTION("SPLIT(E491,"" "")"),"#VALUE!")</f>
        <v>#VALUE!</v>
      </c>
      <c r="I491" s="2" t="str">
        <f t="shared" si="3"/>
        <v>#VALUE!</v>
      </c>
      <c r="J491" s="2" t="str">
        <f>IFERROR(__xludf.DUMMYFUNCTION("SPLIT(I491,"" "")"),"#VALUE!")</f>
        <v>#VALUE!</v>
      </c>
      <c r="M491" s="2" t="b">
        <f t="shared" si="4"/>
        <v>0</v>
      </c>
      <c r="N491" s="2" t="b">
        <f>IFERROR(__xludf.DUMMYFUNCTION("IF(AND(REGEXMATCH($G$4, ""cd""),M491),N490+J491)"),FALSE)</f>
        <v>0</v>
      </c>
      <c r="O491" s="2" t="str">
        <f t="shared" si="5"/>
        <v>#N/A</v>
      </c>
    </row>
    <row r="492">
      <c r="A492" s="1" t="s">
        <v>292</v>
      </c>
      <c r="B492" s="2" t="str">
        <f t="shared" si="1"/>
        <v>dir cvw</v>
      </c>
      <c r="C492" s="2" t="str">
        <f>IFERROR(__xludf.DUMMYFUNCTION("SPLIT(B492,"" "")"),"dir")</f>
        <v>dir</v>
      </c>
      <c r="D492" s="2" t="str">
        <f>IFERROR(__xludf.DUMMYFUNCTION("""COMPUTED_VALUE"""),"cvw")</f>
        <v>cvw</v>
      </c>
      <c r="E492" s="2" t="str">
        <f t="shared" si="2"/>
        <v>#VALUE!</v>
      </c>
      <c r="F492" s="2" t="str">
        <f>IFERROR(__xludf.DUMMYFUNCTION("SPLIT(E492,"" "")"),"#VALUE!")</f>
        <v>#VALUE!</v>
      </c>
      <c r="I492" s="2" t="str">
        <f t="shared" si="3"/>
        <v>#VALUE!</v>
      </c>
      <c r="J492" s="2" t="str">
        <f>IFERROR(__xludf.DUMMYFUNCTION("SPLIT(I492,"" "")"),"#VALUE!")</f>
        <v>#VALUE!</v>
      </c>
      <c r="M492" s="2" t="b">
        <f t="shared" si="4"/>
        <v>0</v>
      </c>
      <c r="N492" s="2" t="b">
        <f>IFERROR(__xludf.DUMMYFUNCTION("IF(AND(REGEXMATCH($G$4, ""cd""),M492),N491+J492)"),FALSE)</f>
        <v>0</v>
      </c>
      <c r="O492" s="2" t="str">
        <f t="shared" si="5"/>
        <v>#N/A</v>
      </c>
    </row>
    <row r="493">
      <c r="A493" s="1" t="s">
        <v>293</v>
      </c>
      <c r="B493" s="2" t="str">
        <f t="shared" si="1"/>
        <v>#VALUE!</v>
      </c>
      <c r="C493" s="2" t="str">
        <f>IFERROR(__xludf.DUMMYFUNCTION("SPLIT(B493,"" "")"),"#VALUE!")</f>
        <v>#VALUE!</v>
      </c>
      <c r="E493" s="2" t="str">
        <f t="shared" si="2"/>
        <v>#VALUE!</v>
      </c>
      <c r="F493" s="2" t="str">
        <f>IFERROR(__xludf.DUMMYFUNCTION("SPLIT(E493,"" "")"),"#VALUE!")</f>
        <v>#VALUE!</v>
      </c>
      <c r="I493" s="2" t="str">
        <f t="shared" si="3"/>
        <v>#VALUE!</v>
      </c>
      <c r="J493" s="2" t="str">
        <f>IFERROR(__xludf.DUMMYFUNCTION("SPLIT(I493,"" "")"),"#VALUE!")</f>
        <v>#VALUE!</v>
      </c>
      <c r="M493" s="2" t="b">
        <f t="shared" si="4"/>
        <v>0</v>
      </c>
      <c r="N493" s="2" t="b">
        <f>IFERROR(__xludf.DUMMYFUNCTION("IF(AND(REGEXMATCH($G$4, ""cd""),M493),N492+J493)"),FALSE)</f>
        <v>0</v>
      </c>
      <c r="O493" s="2" t="str">
        <f t="shared" si="5"/>
        <v>#N/A</v>
      </c>
    </row>
    <row r="494">
      <c r="A494" s="1" t="s">
        <v>294</v>
      </c>
      <c r="B494" s="2" t="str">
        <f t="shared" si="1"/>
        <v>#VALUE!</v>
      </c>
      <c r="C494" s="2" t="str">
        <f>IFERROR(__xludf.DUMMYFUNCTION("SPLIT(B494,"" "")"),"#VALUE!")</f>
        <v>#VALUE!</v>
      </c>
      <c r="E494" s="2" t="str">
        <f t="shared" si="2"/>
        <v>#VALUE!</v>
      </c>
      <c r="F494" s="2" t="str">
        <f>IFERROR(__xludf.DUMMYFUNCTION("SPLIT(E494,"" "")"),"#VALUE!")</f>
        <v>#VALUE!</v>
      </c>
      <c r="I494" s="2" t="str">
        <f t="shared" si="3"/>
        <v>26565 jnwr.fst</v>
      </c>
      <c r="J494" s="2">
        <f>IFERROR(__xludf.DUMMYFUNCTION("SPLIT(I494,"" "")"),26565.0)</f>
        <v>26565</v>
      </c>
      <c r="K494" s="2" t="str">
        <f>IFERROR(__xludf.DUMMYFUNCTION("""COMPUTED_VALUE"""),"jnwr.fst")</f>
        <v>jnwr.fst</v>
      </c>
      <c r="M494" s="2" t="b">
        <f t="shared" si="4"/>
        <v>1</v>
      </c>
      <c r="N494" s="2">
        <f>IFERROR(__xludf.DUMMYFUNCTION("IF(AND(REGEXMATCH($G$4, ""cd""),M494),N493+J494)"),26565.0)</f>
        <v>26565</v>
      </c>
      <c r="O494" s="2" t="str">
        <f t="shared" si="5"/>
        <v>#N/A</v>
      </c>
    </row>
    <row r="495">
      <c r="A495" s="1" t="s">
        <v>295</v>
      </c>
      <c r="B495" s="2" t="str">
        <f t="shared" si="1"/>
        <v>#VALUE!</v>
      </c>
      <c r="C495" s="2" t="str">
        <f>IFERROR(__xludf.DUMMYFUNCTION("SPLIT(B495,"" "")"),"#VALUE!")</f>
        <v>#VALUE!</v>
      </c>
      <c r="E495" s="2" t="str">
        <f t="shared" si="2"/>
        <v>#VALUE!</v>
      </c>
      <c r="F495" s="2" t="str">
        <f>IFERROR(__xludf.DUMMYFUNCTION("SPLIT(E495,"" "")"),"#VALUE!")</f>
        <v>#VALUE!</v>
      </c>
      <c r="I495" s="2" t="str">
        <f t="shared" si="3"/>
        <v>271544 jnwr.tqb</v>
      </c>
      <c r="J495" s="2">
        <f>IFERROR(__xludf.DUMMYFUNCTION("SPLIT(I495,"" "")"),271544.0)</f>
        <v>271544</v>
      </c>
      <c r="K495" s="2" t="str">
        <f>IFERROR(__xludf.DUMMYFUNCTION("""COMPUTED_VALUE"""),"jnwr.tqb")</f>
        <v>jnwr.tqb</v>
      </c>
      <c r="M495" s="2" t="b">
        <f t="shared" si="4"/>
        <v>1</v>
      </c>
      <c r="N495" s="2">
        <f>IFERROR(__xludf.DUMMYFUNCTION("IF(AND(REGEXMATCH($G$4, ""cd""),M495),N494+J495)"),298109.0)</f>
        <v>298109</v>
      </c>
      <c r="O495" s="2" t="str">
        <f t="shared" si="5"/>
        <v>#N/A</v>
      </c>
    </row>
    <row r="496">
      <c r="A496" s="1" t="s">
        <v>296</v>
      </c>
      <c r="B496" s="2" t="str">
        <f t="shared" si="1"/>
        <v>#VALUE!</v>
      </c>
      <c r="C496" s="2" t="str">
        <f>IFERROR(__xludf.DUMMYFUNCTION("SPLIT(B496,"" "")"),"#VALUE!")</f>
        <v>#VALUE!</v>
      </c>
      <c r="E496" s="2" t="str">
        <f t="shared" si="2"/>
        <v>170968 mpq.cdn</v>
      </c>
      <c r="F496" s="2">
        <f>IFERROR(__xludf.DUMMYFUNCTION("SPLIT(E496,"" "")"),170968.0)</f>
        <v>170968</v>
      </c>
      <c r="G496" s="2" t="str">
        <f>IFERROR(__xludf.DUMMYFUNCTION("""COMPUTED_VALUE"""),"mpq.cdn")</f>
        <v>mpq.cdn</v>
      </c>
      <c r="I496" s="2" t="str">
        <f t="shared" si="3"/>
        <v>170968 mpq.cdn</v>
      </c>
      <c r="J496" s="2">
        <f>IFERROR(__xludf.DUMMYFUNCTION("SPLIT(I496,"" "")"),170968.0)</f>
        <v>170968</v>
      </c>
      <c r="K496" s="2" t="str">
        <f>IFERROR(__xludf.DUMMYFUNCTION("""COMPUTED_VALUE"""),"mpq.cdn")</f>
        <v>mpq.cdn</v>
      </c>
      <c r="M496" s="2" t="b">
        <f t="shared" si="4"/>
        <v>1</v>
      </c>
      <c r="N496" s="2">
        <f>IFERROR(__xludf.DUMMYFUNCTION("IF(AND(REGEXMATCH($G$4, ""cd""),M496),N495+J496)"),469077.0)</f>
        <v>469077</v>
      </c>
      <c r="O496" s="2" t="str">
        <f t="shared" si="5"/>
        <v>#N/A</v>
      </c>
    </row>
    <row r="497">
      <c r="A497" s="1" t="s">
        <v>297</v>
      </c>
      <c r="B497" s="2" t="str">
        <f t="shared" si="1"/>
        <v>dir ncqflwrb</v>
      </c>
      <c r="C497" s="2" t="str">
        <f>IFERROR(__xludf.DUMMYFUNCTION("SPLIT(B497,"" "")"),"dir")</f>
        <v>dir</v>
      </c>
      <c r="D497" s="2" t="str">
        <f>IFERROR(__xludf.DUMMYFUNCTION("""COMPUTED_VALUE"""),"ncqflwrb")</f>
        <v>ncqflwrb</v>
      </c>
      <c r="E497" s="2" t="str">
        <f t="shared" si="2"/>
        <v>#VALUE!</v>
      </c>
      <c r="F497" s="2" t="str">
        <f>IFERROR(__xludf.DUMMYFUNCTION("SPLIT(E497,"" "")"),"#VALUE!")</f>
        <v>#VALUE!</v>
      </c>
      <c r="I497" s="2" t="str">
        <f t="shared" si="3"/>
        <v>#VALUE!</v>
      </c>
      <c r="J497" s="2" t="str">
        <f>IFERROR(__xludf.DUMMYFUNCTION("SPLIT(I497,"" "")"),"#VALUE!")</f>
        <v>#VALUE!</v>
      </c>
      <c r="M497" s="2" t="b">
        <f t="shared" si="4"/>
        <v>0</v>
      </c>
      <c r="N497" s="2" t="b">
        <f>IFERROR(__xludf.DUMMYFUNCTION("IF(AND(REGEXMATCH($G$4, ""cd""),M497),N496+J497)"),FALSE)</f>
        <v>0</v>
      </c>
      <c r="O497" s="2" t="str">
        <f t="shared" si="5"/>
        <v>#N/A</v>
      </c>
    </row>
    <row r="498">
      <c r="A498" s="1" t="s">
        <v>298</v>
      </c>
      <c r="B498" s="2" t="str">
        <f t="shared" si="1"/>
        <v>#VALUE!</v>
      </c>
      <c r="C498" s="2" t="str">
        <f>IFERROR(__xludf.DUMMYFUNCTION("SPLIT(B498,"" "")"),"#VALUE!")</f>
        <v>#VALUE!</v>
      </c>
      <c r="E498" s="2" t="str">
        <f t="shared" si="2"/>
        <v>#VALUE!</v>
      </c>
      <c r="F498" s="2" t="str">
        <f>IFERROR(__xludf.DUMMYFUNCTION("SPLIT(E498,"" "")"),"#VALUE!")</f>
        <v>#VALUE!</v>
      </c>
      <c r="I498" s="2" t="str">
        <f t="shared" si="3"/>
        <v>103826 qgzlff.frl</v>
      </c>
      <c r="J498" s="2">
        <f>IFERROR(__xludf.DUMMYFUNCTION("SPLIT(I498,"" "")"),103826.0)</f>
        <v>103826</v>
      </c>
      <c r="K498" s="2" t="str">
        <f>IFERROR(__xludf.DUMMYFUNCTION("""COMPUTED_VALUE"""),"qgzlff.frl")</f>
        <v>qgzlff.frl</v>
      </c>
      <c r="M498" s="2" t="b">
        <f t="shared" si="4"/>
        <v>1</v>
      </c>
      <c r="N498" s="2">
        <f>IFERROR(__xludf.DUMMYFUNCTION("IF(AND(REGEXMATCH($G$4, ""cd""),M498),N497+J498)"),103826.0)</f>
        <v>103826</v>
      </c>
      <c r="O498" s="2" t="str">
        <f t="shared" si="5"/>
        <v>#N/A</v>
      </c>
    </row>
    <row r="499">
      <c r="A499" s="1" t="s">
        <v>299</v>
      </c>
      <c r="B499" s="2" t="str">
        <f t="shared" si="1"/>
        <v>dir wclwg</v>
      </c>
      <c r="C499" s="2" t="str">
        <f>IFERROR(__xludf.DUMMYFUNCTION("SPLIT(B499,"" "")"),"dir")</f>
        <v>dir</v>
      </c>
      <c r="D499" s="2" t="str">
        <f>IFERROR(__xludf.DUMMYFUNCTION("""COMPUTED_VALUE"""),"wclwg")</f>
        <v>wclwg</v>
      </c>
      <c r="E499" s="2" t="str">
        <f t="shared" si="2"/>
        <v>#VALUE!</v>
      </c>
      <c r="F499" s="2" t="str">
        <f>IFERROR(__xludf.DUMMYFUNCTION("SPLIT(E499,"" "")"),"#VALUE!")</f>
        <v>#VALUE!</v>
      </c>
      <c r="I499" s="2" t="str">
        <f t="shared" si="3"/>
        <v>#VALUE!</v>
      </c>
      <c r="J499" s="2" t="str">
        <f>IFERROR(__xludf.DUMMYFUNCTION("SPLIT(I499,"" "")"),"#VALUE!")</f>
        <v>#VALUE!</v>
      </c>
      <c r="M499" s="2" t="b">
        <f t="shared" si="4"/>
        <v>0</v>
      </c>
      <c r="N499" s="2" t="b">
        <f>IFERROR(__xludf.DUMMYFUNCTION("IF(AND(REGEXMATCH($G$4, ""cd""),M499),N498+J499)"),FALSE)</f>
        <v>0</v>
      </c>
      <c r="O499" s="2" t="str">
        <f t="shared" si="5"/>
        <v>#N/A</v>
      </c>
    </row>
    <row r="500">
      <c r="A500" s="1" t="s">
        <v>300</v>
      </c>
      <c r="B500" s="2" t="str">
        <f t="shared" si="1"/>
        <v>dir wtcfswt</v>
      </c>
      <c r="C500" s="2" t="str">
        <f>IFERROR(__xludf.DUMMYFUNCTION("SPLIT(B500,"" "")"),"dir")</f>
        <v>dir</v>
      </c>
      <c r="D500" s="2" t="str">
        <f>IFERROR(__xludf.DUMMYFUNCTION("""COMPUTED_VALUE"""),"wtcfswt")</f>
        <v>wtcfswt</v>
      </c>
      <c r="E500" s="2" t="str">
        <f t="shared" si="2"/>
        <v>#VALUE!</v>
      </c>
      <c r="F500" s="2" t="str">
        <f>IFERROR(__xludf.DUMMYFUNCTION("SPLIT(E500,"" "")"),"#VALUE!")</f>
        <v>#VALUE!</v>
      </c>
      <c r="I500" s="2" t="str">
        <f t="shared" si="3"/>
        <v>#VALUE!</v>
      </c>
      <c r="J500" s="2" t="str">
        <f>IFERROR(__xludf.DUMMYFUNCTION("SPLIT(I500,"" "")"),"#VALUE!")</f>
        <v>#VALUE!</v>
      </c>
      <c r="M500" s="2" t="b">
        <f t="shared" si="4"/>
        <v>0</v>
      </c>
      <c r="N500" s="2" t="b">
        <f>IFERROR(__xludf.DUMMYFUNCTION("IF(AND(REGEXMATCH($G$4, ""cd""),M500),N499+J500)"),FALSE)</f>
        <v>0</v>
      </c>
      <c r="O500" s="2" t="str">
        <f t="shared" si="5"/>
        <v>#N/A</v>
      </c>
    </row>
    <row r="501">
      <c r="A501" s="1" t="s">
        <v>301</v>
      </c>
      <c r="B501" s="2" t="str">
        <f t="shared" si="1"/>
        <v>#VALUE!</v>
      </c>
      <c r="C501" s="2" t="str">
        <f>IFERROR(__xludf.DUMMYFUNCTION("SPLIT(B501,"" "")"),"#VALUE!")</f>
        <v>#VALUE!</v>
      </c>
      <c r="E501" s="2" t="str">
        <f t="shared" si="2"/>
        <v>$ cd cvw</v>
      </c>
      <c r="F501" s="2" t="str">
        <f>IFERROR(__xludf.DUMMYFUNCTION("SPLIT(E501,"" "")"),"$")</f>
        <v>$</v>
      </c>
      <c r="G501" s="2" t="str">
        <f>IFERROR(__xludf.DUMMYFUNCTION("""COMPUTED_VALUE"""),"cd")</f>
        <v>cd</v>
      </c>
      <c r="H501" s="2" t="str">
        <f>IFERROR(__xludf.DUMMYFUNCTION("""COMPUTED_VALUE"""),"cvw")</f>
        <v>cvw</v>
      </c>
      <c r="I501" s="2" t="str">
        <f t="shared" si="3"/>
        <v>#VALUE!</v>
      </c>
      <c r="J501" s="2" t="str">
        <f>IFERROR(__xludf.DUMMYFUNCTION("SPLIT(I501,"" "")"),"#VALUE!")</f>
        <v>#VALUE!</v>
      </c>
      <c r="M501" s="2" t="b">
        <f t="shared" si="4"/>
        <v>0</v>
      </c>
      <c r="N501" s="2" t="b">
        <f>IFERROR(__xludf.DUMMYFUNCTION("IF(AND(REGEXMATCH($G$4, ""cd""),M501),N500+J501)"),FALSE)</f>
        <v>0</v>
      </c>
      <c r="O501" s="2" t="str">
        <f t="shared" si="5"/>
        <v>#N/A</v>
      </c>
    </row>
    <row r="502">
      <c r="A502" s="1" t="s">
        <v>2</v>
      </c>
      <c r="B502" s="2" t="str">
        <f t="shared" si="1"/>
        <v>#VALUE!</v>
      </c>
      <c r="C502" s="2" t="str">
        <f>IFERROR(__xludf.DUMMYFUNCTION("SPLIT(B502,"" "")"),"#VALUE!")</f>
        <v>#VALUE!</v>
      </c>
      <c r="E502" s="2" t="str">
        <f t="shared" si="2"/>
        <v>#VALUE!</v>
      </c>
      <c r="F502" s="2" t="str">
        <f>IFERROR(__xludf.DUMMYFUNCTION("SPLIT(E502,"" "")"),"#VALUE!")</f>
        <v>#VALUE!</v>
      </c>
      <c r="I502" s="2" t="str">
        <f t="shared" si="3"/>
        <v>#VALUE!</v>
      </c>
      <c r="J502" s="2" t="str">
        <f>IFERROR(__xludf.DUMMYFUNCTION("SPLIT(I502,"" "")"),"#VALUE!")</f>
        <v>#VALUE!</v>
      </c>
      <c r="M502" s="2" t="b">
        <f t="shared" si="4"/>
        <v>0</v>
      </c>
      <c r="N502" s="2" t="b">
        <f>IFERROR(__xludf.DUMMYFUNCTION("IF(AND(REGEXMATCH($G$4, ""cd""),M502),N501+J502)"),FALSE)</f>
        <v>0</v>
      </c>
      <c r="O502" s="2" t="str">
        <f t="shared" si="5"/>
        <v>#N/A</v>
      </c>
    </row>
    <row r="503">
      <c r="A503" s="1" t="s">
        <v>302</v>
      </c>
      <c r="B503" s="2" t="str">
        <f t="shared" si="1"/>
        <v>#VALUE!</v>
      </c>
      <c r="C503" s="2" t="str">
        <f>IFERROR(__xludf.DUMMYFUNCTION("SPLIT(B503,"" "")"),"#VALUE!")</f>
        <v>#VALUE!</v>
      </c>
      <c r="E503" s="2" t="str">
        <f t="shared" si="2"/>
        <v>#VALUE!</v>
      </c>
      <c r="F503" s="2" t="str">
        <f>IFERROR(__xludf.DUMMYFUNCTION("SPLIT(E503,"" "")"),"#VALUE!")</f>
        <v>#VALUE!</v>
      </c>
      <c r="I503" s="2" t="str">
        <f t="shared" si="3"/>
        <v>58583 pjthqdbr.zzh</v>
      </c>
      <c r="J503" s="2">
        <f>IFERROR(__xludf.DUMMYFUNCTION("SPLIT(I503,"" "")"),58583.0)</f>
        <v>58583</v>
      </c>
      <c r="K503" s="2" t="str">
        <f>IFERROR(__xludf.DUMMYFUNCTION("""COMPUTED_VALUE"""),"pjthqdbr.zzh")</f>
        <v>pjthqdbr.zzh</v>
      </c>
      <c r="M503" s="2" t="b">
        <f t="shared" si="4"/>
        <v>1</v>
      </c>
      <c r="N503" s="2">
        <f>IFERROR(__xludf.DUMMYFUNCTION("IF(AND(REGEXMATCH($G$4, ""cd""),M503),N502+J503)"),58583.0)</f>
        <v>58583</v>
      </c>
      <c r="O503" s="2" t="str">
        <f t="shared" si="5"/>
        <v>#N/A</v>
      </c>
    </row>
    <row r="504">
      <c r="A504" s="1" t="s">
        <v>303</v>
      </c>
      <c r="B504" s="2" t="str">
        <f t="shared" si="1"/>
        <v>#VALUE!</v>
      </c>
      <c r="C504" s="2" t="str">
        <f>IFERROR(__xludf.DUMMYFUNCTION("SPLIT(B504,"" "")"),"#VALUE!")</f>
        <v>#VALUE!</v>
      </c>
      <c r="E504" s="2" t="str">
        <f t="shared" si="2"/>
        <v>#VALUE!</v>
      </c>
      <c r="F504" s="2" t="str">
        <f>IFERROR(__xludf.DUMMYFUNCTION("SPLIT(E504,"" "")"),"#VALUE!")</f>
        <v>#VALUE!</v>
      </c>
      <c r="I504" s="2" t="str">
        <f t="shared" si="3"/>
        <v>#VALUE!</v>
      </c>
      <c r="J504" s="2" t="str">
        <f>IFERROR(__xludf.DUMMYFUNCTION("SPLIT(I504,"" "")"),"#VALUE!")</f>
        <v>#VALUE!</v>
      </c>
      <c r="M504" s="2" t="b">
        <f t="shared" si="4"/>
        <v>0</v>
      </c>
      <c r="N504" s="2" t="b">
        <f>IFERROR(__xludf.DUMMYFUNCTION("IF(AND(REGEXMATCH($G$4, ""cd""),M504),N503+J504)"),FALSE)</f>
        <v>0</v>
      </c>
      <c r="O504" s="2" t="str">
        <f t="shared" si="5"/>
        <v>#N/A</v>
      </c>
    </row>
    <row r="505">
      <c r="A505" s="1" t="s">
        <v>17</v>
      </c>
      <c r="B505" s="2" t="str">
        <f t="shared" si="1"/>
        <v>#VALUE!</v>
      </c>
      <c r="C505" s="2" t="str">
        <f>IFERROR(__xludf.DUMMYFUNCTION("SPLIT(B505,"" "")"),"#VALUE!")</f>
        <v>#VALUE!</v>
      </c>
      <c r="E505" s="2" t="str">
        <f t="shared" si="2"/>
        <v>$ cd ..</v>
      </c>
      <c r="F505" s="2" t="str">
        <f>IFERROR(__xludf.DUMMYFUNCTION("SPLIT(E505,"" "")"),"$")</f>
        <v>$</v>
      </c>
      <c r="G505" s="2" t="str">
        <f>IFERROR(__xludf.DUMMYFUNCTION("""COMPUTED_VALUE"""),"cd")</f>
        <v>cd</v>
      </c>
      <c r="H505" s="2" t="str">
        <f>IFERROR(__xludf.DUMMYFUNCTION("""COMPUTED_VALUE"""),"..")</f>
        <v>..</v>
      </c>
      <c r="I505" s="2" t="str">
        <f t="shared" si="3"/>
        <v>$ cd ..</v>
      </c>
      <c r="J505" s="2" t="str">
        <f>IFERROR(__xludf.DUMMYFUNCTION("SPLIT(I505,"" "")"),"$")</f>
        <v>$</v>
      </c>
      <c r="K505" s="2" t="str">
        <f>IFERROR(__xludf.DUMMYFUNCTION("""COMPUTED_VALUE"""),"cd")</f>
        <v>cd</v>
      </c>
      <c r="L505" s="2" t="str">
        <f>IFERROR(__xludf.DUMMYFUNCTION("""COMPUTED_VALUE"""),"..")</f>
        <v>..</v>
      </c>
      <c r="M505" s="2" t="b">
        <f t="shared" si="4"/>
        <v>0</v>
      </c>
      <c r="N505" s="2" t="b">
        <f>IFERROR(__xludf.DUMMYFUNCTION("IF(AND(REGEXMATCH($G$4, ""cd""),M505),N504+J505)"),FALSE)</f>
        <v>0</v>
      </c>
      <c r="O505" s="2" t="str">
        <f t="shared" si="5"/>
        <v>#N/A</v>
      </c>
    </row>
    <row r="506">
      <c r="A506" s="1" t="s">
        <v>304</v>
      </c>
      <c r="B506" s="2" t="str">
        <f t="shared" si="1"/>
        <v>#VALUE!</v>
      </c>
      <c r="C506" s="2" t="str">
        <f>IFERROR(__xludf.DUMMYFUNCTION("SPLIT(B506,"" "")"),"#VALUE!")</f>
        <v>#VALUE!</v>
      </c>
      <c r="E506" s="2" t="str">
        <f t="shared" si="2"/>
        <v>$ cd ncqflwrb</v>
      </c>
      <c r="F506" s="2" t="str">
        <f>IFERROR(__xludf.DUMMYFUNCTION("SPLIT(E506,"" "")"),"$")</f>
        <v>$</v>
      </c>
      <c r="G506" s="2" t="str">
        <f>IFERROR(__xludf.DUMMYFUNCTION("""COMPUTED_VALUE"""),"cd")</f>
        <v>cd</v>
      </c>
      <c r="H506" s="2" t="str">
        <f>IFERROR(__xludf.DUMMYFUNCTION("""COMPUTED_VALUE"""),"ncqflwrb")</f>
        <v>ncqflwrb</v>
      </c>
      <c r="I506" s="2" t="str">
        <f t="shared" si="3"/>
        <v>#VALUE!</v>
      </c>
      <c r="J506" s="2" t="str">
        <f>IFERROR(__xludf.DUMMYFUNCTION("SPLIT(I506,"" "")"),"#VALUE!")</f>
        <v>#VALUE!</v>
      </c>
      <c r="M506" s="2" t="b">
        <f t="shared" si="4"/>
        <v>0</v>
      </c>
      <c r="N506" s="2" t="b">
        <f>IFERROR(__xludf.DUMMYFUNCTION("IF(AND(REGEXMATCH($G$4, ""cd""),M506),N505+J506)"),FALSE)</f>
        <v>0</v>
      </c>
      <c r="O506" s="2" t="str">
        <f t="shared" si="5"/>
        <v>#N/A</v>
      </c>
    </row>
    <row r="507">
      <c r="A507" s="1" t="s">
        <v>2</v>
      </c>
      <c r="B507" s="2" t="str">
        <f t="shared" si="1"/>
        <v>#VALUE!</v>
      </c>
      <c r="C507" s="2" t="str">
        <f>IFERROR(__xludf.DUMMYFUNCTION("SPLIT(B507,"" "")"),"#VALUE!")</f>
        <v>#VALUE!</v>
      </c>
      <c r="E507" s="2" t="str">
        <f t="shared" si="2"/>
        <v>#VALUE!</v>
      </c>
      <c r="F507" s="2" t="str">
        <f>IFERROR(__xludf.DUMMYFUNCTION("SPLIT(E507,"" "")"),"#VALUE!")</f>
        <v>#VALUE!</v>
      </c>
      <c r="I507" s="2" t="str">
        <f t="shared" si="3"/>
        <v>#VALUE!</v>
      </c>
      <c r="J507" s="2" t="str">
        <f>IFERROR(__xludf.DUMMYFUNCTION("SPLIT(I507,"" "")"),"#VALUE!")</f>
        <v>#VALUE!</v>
      </c>
      <c r="M507" s="2" t="b">
        <f t="shared" si="4"/>
        <v>0</v>
      </c>
      <c r="N507" s="2" t="b">
        <f>IFERROR(__xludf.DUMMYFUNCTION("IF(AND(REGEXMATCH($G$4, ""cd""),M507),N506+J507)"),FALSE)</f>
        <v>0</v>
      </c>
      <c r="O507" s="2" t="str">
        <f t="shared" si="5"/>
        <v>#N/A</v>
      </c>
    </row>
    <row r="508">
      <c r="A508" s="1" t="s">
        <v>305</v>
      </c>
      <c r="B508" s="2" t="str">
        <f t="shared" si="1"/>
        <v>#VALUE!</v>
      </c>
      <c r="C508" s="2" t="str">
        <f>IFERROR(__xludf.DUMMYFUNCTION("SPLIT(B508,"" "")"),"#VALUE!")</f>
        <v>#VALUE!</v>
      </c>
      <c r="E508" s="2" t="str">
        <f t="shared" si="2"/>
        <v>105747 wwstfng.cdl</v>
      </c>
      <c r="F508" s="2">
        <f>IFERROR(__xludf.DUMMYFUNCTION("SPLIT(E508,"" "")"),105747.0)</f>
        <v>105747</v>
      </c>
      <c r="G508" s="2" t="str">
        <f>IFERROR(__xludf.DUMMYFUNCTION("""COMPUTED_VALUE"""),"wwstfng.cdl")</f>
        <v>wwstfng.cdl</v>
      </c>
      <c r="I508" s="2" t="str">
        <f t="shared" si="3"/>
        <v>105747 wwstfng.cdl</v>
      </c>
      <c r="J508" s="2">
        <f>IFERROR(__xludf.DUMMYFUNCTION("SPLIT(I508,"" "")"),105747.0)</f>
        <v>105747</v>
      </c>
      <c r="K508" s="2" t="str">
        <f>IFERROR(__xludf.DUMMYFUNCTION("""COMPUTED_VALUE"""),"wwstfng.cdl")</f>
        <v>wwstfng.cdl</v>
      </c>
      <c r="M508" s="2" t="b">
        <f t="shared" si="4"/>
        <v>1</v>
      </c>
      <c r="N508" s="2">
        <f>IFERROR(__xludf.DUMMYFUNCTION("IF(AND(REGEXMATCH($G$4, ""cd""),M508),N507+J508)"),105747.0)</f>
        <v>105747</v>
      </c>
      <c r="O508" s="2" t="str">
        <f t="shared" si="5"/>
        <v>#N/A</v>
      </c>
    </row>
    <row r="509">
      <c r="A509" s="1" t="s">
        <v>17</v>
      </c>
      <c r="B509" s="2" t="str">
        <f t="shared" si="1"/>
        <v>#VALUE!</v>
      </c>
      <c r="C509" s="2" t="str">
        <f>IFERROR(__xludf.DUMMYFUNCTION("SPLIT(B509,"" "")"),"#VALUE!")</f>
        <v>#VALUE!</v>
      </c>
      <c r="E509" s="2" t="str">
        <f t="shared" si="2"/>
        <v>$ cd ..</v>
      </c>
      <c r="F509" s="2" t="str">
        <f>IFERROR(__xludf.DUMMYFUNCTION("SPLIT(E509,"" "")"),"$")</f>
        <v>$</v>
      </c>
      <c r="G509" s="2" t="str">
        <f>IFERROR(__xludf.DUMMYFUNCTION("""COMPUTED_VALUE"""),"cd")</f>
        <v>cd</v>
      </c>
      <c r="H509" s="2" t="str">
        <f>IFERROR(__xludf.DUMMYFUNCTION("""COMPUTED_VALUE"""),"..")</f>
        <v>..</v>
      </c>
      <c r="I509" s="2" t="str">
        <f t="shared" si="3"/>
        <v>$ cd ..</v>
      </c>
      <c r="J509" s="2" t="str">
        <f>IFERROR(__xludf.DUMMYFUNCTION("SPLIT(I509,"" "")"),"$")</f>
        <v>$</v>
      </c>
      <c r="K509" s="2" t="str">
        <f>IFERROR(__xludf.DUMMYFUNCTION("""COMPUTED_VALUE"""),"cd")</f>
        <v>cd</v>
      </c>
      <c r="L509" s="2" t="str">
        <f>IFERROR(__xludf.DUMMYFUNCTION("""COMPUTED_VALUE"""),"..")</f>
        <v>..</v>
      </c>
      <c r="M509" s="2" t="b">
        <f t="shared" si="4"/>
        <v>0</v>
      </c>
      <c r="N509" s="2" t="b">
        <f>IFERROR(__xludf.DUMMYFUNCTION("IF(AND(REGEXMATCH($G$4, ""cd""),M509),N508+J509)"),FALSE)</f>
        <v>0</v>
      </c>
      <c r="O509" s="2" t="str">
        <f t="shared" si="5"/>
        <v>#N/A</v>
      </c>
    </row>
    <row r="510">
      <c r="A510" s="1" t="s">
        <v>306</v>
      </c>
      <c r="B510" s="2" t="str">
        <f t="shared" si="1"/>
        <v>#VALUE!</v>
      </c>
      <c r="C510" s="2" t="str">
        <f>IFERROR(__xludf.DUMMYFUNCTION("SPLIT(B510,"" "")"),"#VALUE!")</f>
        <v>#VALUE!</v>
      </c>
      <c r="E510" s="2" t="str">
        <f t="shared" si="2"/>
        <v>$ cd wclwg</v>
      </c>
      <c r="F510" s="2" t="str">
        <f>IFERROR(__xludf.DUMMYFUNCTION("SPLIT(E510,"" "")"),"$")</f>
        <v>$</v>
      </c>
      <c r="G510" s="2" t="str">
        <f>IFERROR(__xludf.DUMMYFUNCTION("""COMPUTED_VALUE"""),"cd")</f>
        <v>cd</v>
      </c>
      <c r="H510" s="2" t="str">
        <f>IFERROR(__xludf.DUMMYFUNCTION("""COMPUTED_VALUE"""),"wclwg")</f>
        <v>wclwg</v>
      </c>
      <c r="I510" s="2" t="str">
        <f t="shared" si="3"/>
        <v>#VALUE!</v>
      </c>
      <c r="J510" s="2" t="str">
        <f>IFERROR(__xludf.DUMMYFUNCTION("SPLIT(I510,"" "")"),"#VALUE!")</f>
        <v>#VALUE!</v>
      </c>
      <c r="M510" s="2" t="b">
        <f t="shared" si="4"/>
        <v>0</v>
      </c>
      <c r="N510" s="2" t="b">
        <f>IFERROR(__xludf.DUMMYFUNCTION("IF(AND(REGEXMATCH($G$4, ""cd""),M510),N509+J510)"),FALSE)</f>
        <v>0</v>
      </c>
      <c r="O510" s="2" t="str">
        <f t="shared" si="5"/>
        <v>#N/A</v>
      </c>
    </row>
    <row r="511">
      <c r="A511" s="1" t="s">
        <v>2</v>
      </c>
      <c r="B511" s="2" t="str">
        <f t="shared" si="1"/>
        <v>#VALUE!</v>
      </c>
      <c r="C511" s="2" t="str">
        <f>IFERROR(__xludf.DUMMYFUNCTION("SPLIT(B511,"" "")"),"#VALUE!")</f>
        <v>#VALUE!</v>
      </c>
      <c r="E511" s="2" t="str">
        <f t="shared" si="2"/>
        <v>#VALUE!</v>
      </c>
      <c r="F511" s="2" t="str">
        <f>IFERROR(__xludf.DUMMYFUNCTION("SPLIT(E511,"" "")"),"#VALUE!")</f>
        <v>#VALUE!</v>
      </c>
      <c r="I511" s="2" t="str">
        <f t="shared" si="3"/>
        <v>#VALUE!</v>
      </c>
      <c r="J511" s="2" t="str">
        <f>IFERROR(__xludf.DUMMYFUNCTION("SPLIT(I511,"" "")"),"#VALUE!")</f>
        <v>#VALUE!</v>
      </c>
      <c r="M511" s="2" t="b">
        <f t="shared" si="4"/>
        <v>0</v>
      </c>
      <c r="N511" s="2" t="b">
        <f>IFERROR(__xludf.DUMMYFUNCTION("IF(AND(REGEXMATCH($G$4, ""cd""),M511),N510+J511)"),FALSE)</f>
        <v>0</v>
      </c>
      <c r="O511" s="2" t="str">
        <f t="shared" si="5"/>
        <v>#N/A</v>
      </c>
    </row>
    <row r="512">
      <c r="A512" s="1" t="s">
        <v>307</v>
      </c>
      <c r="B512" s="2" t="str">
        <f t="shared" si="1"/>
        <v>#VALUE!</v>
      </c>
      <c r="C512" s="2" t="str">
        <f>IFERROR(__xludf.DUMMYFUNCTION("SPLIT(B512,"" "")"),"#VALUE!")</f>
        <v>#VALUE!</v>
      </c>
      <c r="E512" s="2" t="str">
        <f t="shared" si="2"/>
        <v>#VALUE!</v>
      </c>
      <c r="F512" s="2" t="str">
        <f>IFERROR(__xludf.DUMMYFUNCTION("SPLIT(E512,"" "")"),"#VALUE!")</f>
        <v>#VALUE!</v>
      </c>
      <c r="I512" s="2" t="str">
        <f t="shared" si="3"/>
        <v>#VALUE!</v>
      </c>
      <c r="J512" s="2" t="str">
        <f>IFERROR(__xludf.DUMMYFUNCTION("SPLIT(I512,"" "")"),"#VALUE!")</f>
        <v>#VALUE!</v>
      </c>
      <c r="M512" s="2" t="b">
        <f t="shared" si="4"/>
        <v>0</v>
      </c>
      <c r="N512" s="2" t="b">
        <f>IFERROR(__xludf.DUMMYFUNCTION("IF(AND(REGEXMATCH($G$4, ""cd""),M512),N511+J512)"),FALSE)</f>
        <v>0</v>
      </c>
      <c r="O512" s="2" t="str">
        <f t="shared" si="5"/>
        <v>#N/A</v>
      </c>
    </row>
    <row r="513">
      <c r="A513" s="1" t="s">
        <v>17</v>
      </c>
      <c r="B513" s="2" t="str">
        <f t="shared" si="1"/>
        <v>#VALUE!</v>
      </c>
      <c r="C513" s="2" t="str">
        <f>IFERROR(__xludf.DUMMYFUNCTION("SPLIT(B513,"" "")"),"#VALUE!")</f>
        <v>#VALUE!</v>
      </c>
      <c r="E513" s="2" t="str">
        <f t="shared" si="2"/>
        <v>$ cd ..</v>
      </c>
      <c r="F513" s="2" t="str">
        <f>IFERROR(__xludf.DUMMYFUNCTION("SPLIT(E513,"" "")"),"$")</f>
        <v>$</v>
      </c>
      <c r="G513" s="2" t="str">
        <f>IFERROR(__xludf.DUMMYFUNCTION("""COMPUTED_VALUE"""),"cd")</f>
        <v>cd</v>
      </c>
      <c r="H513" s="2" t="str">
        <f>IFERROR(__xludf.DUMMYFUNCTION("""COMPUTED_VALUE"""),"..")</f>
        <v>..</v>
      </c>
      <c r="I513" s="2" t="str">
        <f t="shared" si="3"/>
        <v>$ cd ..</v>
      </c>
      <c r="J513" s="2" t="str">
        <f>IFERROR(__xludf.DUMMYFUNCTION("SPLIT(I513,"" "")"),"$")</f>
        <v>$</v>
      </c>
      <c r="K513" s="2" t="str">
        <f>IFERROR(__xludf.DUMMYFUNCTION("""COMPUTED_VALUE"""),"cd")</f>
        <v>cd</v>
      </c>
      <c r="L513" s="2" t="str">
        <f>IFERROR(__xludf.DUMMYFUNCTION("""COMPUTED_VALUE"""),"..")</f>
        <v>..</v>
      </c>
      <c r="M513" s="2" t="b">
        <f t="shared" si="4"/>
        <v>0</v>
      </c>
      <c r="N513" s="2" t="b">
        <f>IFERROR(__xludf.DUMMYFUNCTION("IF(AND(REGEXMATCH($G$4, ""cd""),M513),N512+J513)"),FALSE)</f>
        <v>0</v>
      </c>
      <c r="O513" s="2" t="str">
        <f t="shared" si="5"/>
        <v>#N/A</v>
      </c>
    </row>
    <row r="514">
      <c r="A514" s="1" t="s">
        <v>308</v>
      </c>
      <c r="B514" s="2" t="str">
        <f t="shared" si="1"/>
        <v>#VALUE!</v>
      </c>
      <c r="C514" s="2" t="str">
        <f>IFERROR(__xludf.DUMMYFUNCTION("SPLIT(B514,"" "")"),"#VALUE!")</f>
        <v>#VALUE!</v>
      </c>
      <c r="E514" s="2" t="str">
        <f t="shared" si="2"/>
        <v>$ cd wtcfswt</v>
      </c>
      <c r="F514" s="2" t="str">
        <f>IFERROR(__xludf.DUMMYFUNCTION("SPLIT(E514,"" "")"),"$")</f>
        <v>$</v>
      </c>
      <c r="G514" s="2" t="str">
        <f>IFERROR(__xludf.DUMMYFUNCTION("""COMPUTED_VALUE"""),"cd")</f>
        <v>cd</v>
      </c>
      <c r="H514" s="2" t="str">
        <f>IFERROR(__xludf.DUMMYFUNCTION("""COMPUTED_VALUE"""),"wtcfswt")</f>
        <v>wtcfswt</v>
      </c>
      <c r="I514" s="2" t="str">
        <f t="shared" si="3"/>
        <v>#VALUE!</v>
      </c>
      <c r="J514" s="2" t="str">
        <f>IFERROR(__xludf.DUMMYFUNCTION("SPLIT(I514,"" "")"),"#VALUE!")</f>
        <v>#VALUE!</v>
      </c>
      <c r="M514" s="2" t="b">
        <f t="shared" si="4"/>
        <v>0</v>
      </c>
      <c r="N514" s="2" t="b">
        <f>IFERROR(__xludf.DUMMYFUNCTION("IF(AND(REGEXMATCH($G$4, ""cd""),M514),N513+J514)"),FALSE)</f>
        <v>0</v>
      </c>
      <c r="O514" s="2" t="str">
        <f t="shared" si="5"/>
        <v>#N/A</v>
      </c>
    </row>
    <row r="515">
      <c r="A515" s="1" t="s">
        <v>2</v>
      </c>
      <c r="B515" s="2" t="str">
        <f t="shared" si="1"/>
        <v>#VALUE!</v>
      </c>
      <c r="C515" s="2" t="str">
        <f>IFERROR(__xludf.DUMMYFUNCTION("SPLIT(B515,"" "")"),"#VALUE!")</f>
        <v>#VALUE!</v>
      </c>
      <c r="E515" s="2" t="str">
        <f t="shared" si="2"/>
        <v>#VALUE!</v>
      </c>
      <c r="F515" s="2" t="str">
        <f>IFERROR(__xludf.DUMMYFUNCTION("SPLIT(E515,"" "")"),"#VALUE!")</f>
        <v>#VALUE!</v>
      </c>
      <c r="I515" s="2" t="str">
        <f t="shared" si="3"/>
        <v>#VALUE!</v>
      </c>
      <c r="J515" s="2" t="str">
        <f>IFERROR(__xludf.DUMMYFUNCTION("SPLIT(I515,"" "")"),"#VALUE!")</f>
        <v>#VALUE!</v>
      </c>
      <c r="M515" s="2" t="b">
        <f t="shared" si="4"/>
        <v>0</v>
      </c>
      <c r="N515" s="2" t="b">
        <f>IFERROR(__xludf.DUMMYFUNCTION("IF(AND(REGEXMATCH($G$4, ""cd""),M515),N514+J515)"),FALSE)</f>
        <v>0</v>
      </c>
      <c r="O515" s="2" t="str">
        <f t="shared" si="5"/>
        <v>#N/A</v>
      </c>
    </row>
    <row r="516">
      <c r="A516" s="1" t="s">
        <v>309</v>
      </c>
      <c r="B516" s="2" t="str">
        <f t="shared" si="1"/>
        <v>#VALUE!</v>
      </c>
      <c r="C516" s="2" t="str">
        <f>IFERROR(__xludf.DUMMYFUNCTION("SPLIT(B516,"" "")"),"#VALUE!")</f>
        <v>#VALUE!</v>
      </c>
      <c r="E516" s="2" t="str">
        <f t="shared" si="2"/>
        <v>#VALUE!</v>
      </c>
      <c r="F516" s="2" t="str">
        <f>IFERROR(__xludf.DUMMYFUNCTION("SPLIT(E516,"" "")"),"#VALUE!")</f>
        <v>#VALUE!</v>
      </c>
      <c r="I516" s="2" t="str">
        <f t="shared" si="3"/>
        <v>#VALUE!</v>
      </c>
      <c r="J516" s="2" t="str">
        <f>IFERROR(__xludf.DUMMYFUNCTION("SPLIT(I516,"" "")"),"#VALUE!")</f>
        <v>#VALUE!</v>
      </c>
      <c r="M516" s="2" t="b">
        <f t="shared" si="4"/>
        <v>0</v>
      </c>
      <c r="N516" s="2" t="b">
        <f>IFERROR(__xludf.DUMMYFUNCTION("IF(AND(REGEXMATCH($G$4, ""cd""),M516),N515+J516)"),FALSE)</f>
        <v>0</v>
      </c>
      <c r="O516" s="2" t="str">
        <f t="shared" si="5"/>
        <v>#N/A</v>
      </c>
    </row>
    <row r="517">
      <c r="A517" s="1" t="s">
        <v>310</v>
      </c>
      <c r="B517" s="2" t="str">
        <f t="shared" si="1"/>
        <v>#VALUE!</v>
      </c>
      <c r="C517" s="2" t="str">
        <f>IFERROR(__xludf.DUMMYFUNCTION("SPLIT(B517,"" "")"),"#VALUE!")</f>
        <v>#VALUE!</v>
      </c>
      <c r="E517" s="2" t="str">
        <f t="shared" si="2"/>
        <v>#VALUE!</v>
      </c>
      <c r="F517" s="2" t="str">
        <f>IFERROR(__xludf.DUMMYFUNCTION("SPLIT(E517,"" "")"),"#VALUE!")</f>
        <v>#VALUE!</v>
      </c>
      <c r="I517" s="2" t="str">
        <f t="shared" si="3"/>
        <v>#VALUE!</v>
      </c>
      <c r="J517" s="2" t="str">
        <f>IFERROR(__xludf.DUMMYFUNCTION("SPLIT(I517,"" "")"),"#VALUE!")</f>
        <v>#VALUE!</v>
      </c>
      <c r="M517" s="2" t="b">
        <f t="shared" si="4"/>
        <v>0</v>
      </c>
      <c r="N517" s="2" t="b">
        <f>IFERROR(__xludf.DUMMYFUNCTION("IF(AND(REGEXMATCH($G$4, ""cd""),M517),N516+J517)"),FALSE)</f>
        <v>0</v>
      </c>
      <c r="O517" s="2" t="str">
        <f t="shared" si="5"/>
        <v>#N/A</v>
      </c>
    </row>
    <row r="518">
      <c r="A518" s="1" t="s">
        <v>17</v>
      </c>
      <c r="B518" s="2" t="str">
        <f t="shared" si="1"/>
        <v>#VALUE!</v>
      </c>
      <c r="C518" s="2" t="str">
        <f>IFERROR(__xludf.DUMMYFUNCTION("SPLIT(B518,"" "")"),"#VALUE!")</f>
        <v>#VALUE!</v>
      </c>
      <c r="E518" s="2" t="str">
        <f t="shared" si="2"/>
        <v>$ cd ..</v>
      </c>
      <c r="F518" s="2" t="str">
        <f>IFERROR(__xludf.DUMMYFUNCTION("SPLIT(E518,"" "")"),"$")</f>
        <v>$</v>
      </c>
      <c r="G518" s="2" t="str">
        <f>IFERROR(__xludf.DUMMYFUNCTION("""COMPUTED_VALUE"""),"cd")</f>
        <v>cd</v>
      </c>
      <c r="H518" s="2" t="str">
        <f>IFERROR(__xludf.DUMMYFUNCTION("""COMPUTED_VALUE"""),"..")</f>
        <v>..</v>
      </c>
      <c r="I518" s="2" t="str">
        <f t="shared" si="3"/>
        <v>$ cd ..</v>
      </c>
      <c r="J518" s="2" t="str">
        <f>IFERROR(__xludf.DUMMYFUNCTION("SPLIT(I518,"" "")"),"$")</f>
        <v>$</v>
      </c>
      <c r="K518" s="2" t="str">
        <f>IFERROR(__xludf.DUMMYFUNCTION("""COMPUTED_VALUE"""),"cd")</f>
        <v>cd</v>
      </c>
      <c r="L518" s="2" t="str">
        <f>IFERROR(__xludf.DUMMYFUNCTION("""COMPUTED_VALUE"""),"..")</f>
        <v>..</v>
      </c>
      <c r="M518" s="2" t="b">
        <f t="shared" si="4"/>
        <v>0</v>
      </c>
      <c r="N518" s="2" t="b">
        <f>IFERROR(__xludf.DUMMYFUNCTION("IF(AND(REGEXMATCH($G$4, ""cd""),M518),N517+J518)"),FALSE)</f>
        <v>0</v>
      </c>
      <c r="O518" s="2" t="str">
        <f t="shared" si="5"/>
        <v>#N/A</v>
      </c>
    </row>
    <row r="519">
      <c r="A519" s="1" t="s">
        <v>17</v>
      </c>
      <c r="B519" s="2" t="str">
        <f t="shared" si="1"/>
        <v>#VALUE!</v>
      </c>
      <c r="C519" s="2" t="str">
        <f>IFERROR(__xludf.DUMMYFUNCTION("SPLIT(B519,"" "")"),"#VALUE!")</f>
        <v>#VALUE!</v>
      </c>
      <c r="E519" s="2" t="str">
        <f t="shared" si="2"/>
        <v>$ cd ..</v>
      </c>
      <c r="F519" s="2" t="str">
        <f>IFERROR(__xludf.DUMMYFUNCTION("SPLIT(E519,"" "")"),"$")</f>
        <v>$</v>
      </c>
      <c r="G519" s="2" t="str">
        <f>IFERROR(__xludf.DUMMYFUNCTION("""COMPUTED_VALUE"""),"cd")</f>
        <v>cd</v>
      </c>
      <c r="H519" s="2" t="str">
        <f>IFERROR(__xludf.DUMMYFUNCTION("""COMPUTED_VALUE"""),"..")</f>
        <v>..</v>
      </c>
      <c r="I519" s="2" t="str">
        <f t="shared" si="3"/>
        <v>$ cd ..</v>
      </c>
      <c r="J519" s="2" t="str">
        <f>IFERROR(__xludf.DUMMYFUNCTION("SPLIT(I519,"" "")"),"$")</f>
        <v>$</v>
      </c>
      <c r="K519" s="2" t="str">
        <f>IFERROR(__xludf.DUMMYFUNCTION("""COMPUTED_VALUE"""),"cd")</f>
        <v>cd</v>
      </c>
      <c r="L519" s="2" t="str">
        <f>IFERROR(__xludf.DUMMYFUNCTION("""COMPUTED_VALUE"""),"..")</f>
        <v>..</v>
      </c>
      <c r="M519" s="2" t="b">
        <f t="shared" si="4"/>
        <v>0</v>
      </c>
      <c r="N519" s="2" t="b">
        <f>IFERROR(__xludf.DUMMYFUNCTION("IF(AND(REGEXMATCH($G$4, ""cd""),M519),N518+J519)"),FALSE)</f>
        <v>0</v>
      </c>
      <c r="O519" s="2" t="str">
        <f t="shared" si="5"/>
        <v>#N/A</v>
      </c>
    </row>
    <row r="520">
      <c r="A520" s="1" t="s">
        <v>17</v>
      </c>
      <c r="B520" s="2" t="str">
        <f t="shared" si="1"/>
        <v>#VALUE!</v>
      </c>
      <c r="C520" s="2" t="str">
        <f>IFERROR(__xludf.DUMMYFUNCTION("SPLIT(B520,"" "")"),"#VALUE!")</f>
        <v>#VALUE!</v>
      </c>
      <c r="E520" s="2" t="str">
        <f t="shared" si="2"/>
        <v>$ cd ..</v>
      </c>
      <c r="F520" s="2" t="str">
        <f>IFERROR(__xludf.DUMMYFUNCTION("SPLIT(E520,"" "")"),"$")</f>
        <v>$</v>
      </c>
      <c r="G520" s="2" t="str">
        <f>IFERROR(__xludf.DUMMYFUNCTION("""COMPUTED_VALUE"""),"cd")</f>
        <v>cd</v>
      </c>
      <c r="H520" s="2" t="str">
        <f>IFERROR(__xludf.DUMMYFUNCTION("""COMPUTED_VALUE"""),"..")</f>
        <v>..</v>
      </c>
      <c r="I520" s="2" t="str">
        <f t="shared" si="3"/>
        <v>$ cd ..</v>
      </c>
      <c r="J520" s="2" t="str">
        <f>IFERROR(__xludf.DUMMYFUNCTION("SPLIT(I520,"" "")"),"$")</f>
        <v>$</v>
      </c>
      <c r="K520" s="2" t="str">
        <f>IFERROR(__xludf.DUMMYFUNCTION("""COMPUTED_VALUE"""),"cd")</f>
        <v>cd</v>
      </c>
      <c r="L520" s="2" t="str">
        <f>IFERROR(__xludf.DUMMYFUNCTION("""COMPUTED_VALUE"""),"..")</f>
        <v>..</v>
      </c>
      <c r="M520" s="2" t="b">
        <f t="shared" si="4"/>
        <v>0</v>
      </c>
      <c r="N520" s="2" t="b">
        <f>IFERROR(__xludf.DUMMYFUNCTION("IF(AND(REGEXMATCH($G$4, ""cd""),M520),N519+J520)"),FALSE)</f>
        <v>0</v>
      </c>
      <c r="O520" s="2" t="str">
        <f t="shared" si="5"/>
        <v>#N/A</v>
      </c>
    </row>
    <row r="521">
      <c r="A521" s="1" t="s">
        <v>311</v>
      </c>
      <c r="B521" s="2" t="str">
        <f t="shared" si="1"/>
        <v>#VALUE!</v>
      </c>
      <c r="C521" s="2" t="str">
        <f>IFERROR(__xludf.DUMMYFUNCTION("SPLIT(B521,"" "")"),"#VALUE!")</f>
        <v>#VALUE!</v>
      </c>
      <c r="E521" s="2" t="str">
        <f t="shared" si="2"/>
        <v>$ cd zggqfj</v>
      </c>
      <c r="F521" s="2" t="str">
        <f>IFERROR(__xludf.DUMMYFUNCTION("SPLIT(E521,"" "")"),"$")</f>
        <v>$</v>
      </c>
      <c r="G521" s="2" t="str">
        <f>IFERROR(__xludf.DUMMYFUNCTION("""COMPUTED_VALUE"""),"cd")</f>
        <v>cd</v>
      </c>
      <c r="H521" s="2" t="str">
        <f>IFERROR(__xludf.DUMMYFUNCTION("""COMPUTED_VALUE"""),"zggqfj")</f>
        <v>zggqfj</v>
      </c>
      <c r="I521" s="2" t="str">
        <f t="shared" si="3"/>
        <v>#VALUE!</v>
      </c>
      <c r="J521" s="2" t="str">
        <f>IFERROR(__xludf.DUMMYFUNCTION("SPLIT(I521,"" "")"),"#VALUE!")</f>
        <v>#VALUE!</v>
      </c>
      <c r="M521" s="2" t="b">
        <f t="shared" si="4"/>
        <v>0</v>
      </c>
      <c r="N521" s="2" t="b">
        <f>IFERROR(__xludf.DUMMYFUNCTION("IF(AND(REGEXMATCH($G$4, ""cd""),M521),N520+J521)"),FALSE)</f>
        <v>0</v>
      </c>
      <c r="O521" s="2" t="str">
        <f t="shared" si="5"/>
        <v>#N/A</v>
      </c>
    </row>
    <row r="522">
      <c r="A522" s="1" t="s">
        <v>2</v>
      </c>
      <c r="B522" s="2" t="str">
        <f t="shared" si="1"/>
        <v>#VALUE!</v>
      </c>
      <c r="C522" s="2" t="str">
        <f>IFERROR(__xludf.DUMMYFUNCTION("SPLIT(B522,"" "")"),"#VALUE!")</f>
        <v>#VALUE!</v>
      </c>
      <c r="E522" s="2" t="str">
        <f t="shared" si="2"/>
        <v>#VALUE!</v>
      </c>
      <c r="F522" s="2" t="str">
        <f>IFERROR(__xludf.DUMMYFUNCTION("SPLIT(E522,"" "")"),"#VALUE!")</f>
        <v>#VALUE!</v>
      </c>
      <c r="I522" s="2" t="str">
        <f t="shared" si="3"/>
        <v>#VALUE!</v>
      </c>
      <c r="J522" s="2" t="str">
        <f>IFERROR(__xludf.DUMMYFUNCTION("SPLIT(I522,"" "")"),"#VALUE!")</f>
        <v>#VALUE!</v>
      </c>
      <c r="M522" s="2" t="b">
        <f t="shared" si="4"/>
        <v>0</v>
      </c>
      <c r="N522" s="2" t="b">
        <f>IFERROR(__xludf.DUMMYFUNCTION("IF(AND(REGEXMATCH($G$4, ""cd""),M522),N521+J522)"),FALSE)</f>
        <v>0</v>
      </c>
      <c r="O522" s="2" t="str">
        <f t="shared" si="5"/>
        <v>#N/A</v>
      </c>
    </row>
    <row r="523">
      <c r="A523" s="1" t="s">
        <v>312</v>
      </c>
      <c r="B523" s="2" t="str">
        <f t="shared" si="1"/>
        <v>dir gpnfpv</v>
      </c>
      <c r="C523" s="2" t="str">
        <f>IFERROR(__xludf.DUMMYFUNCTION("SPLIT(B523,"" "")"),"dir")</f>
        <v>dir</v>
      </c>
      <c r="D523" s="2" t="str">
        <f>IFERROR(__xludf.DUMMYFUNCTION("""COMPUTED_VALUE"""),"gpnfpv")</f>
        <v>gpnfpv</v>
      </c>
      <c r="E523" s="2" t="str">
        <f t="shared" si="2"/>
        <v>#VALUE!</v>
      </c>
      <c r="F523" s="2" t="str">
        <f>IFERROR(__xludf.DUMMYFUNCTION("SPLIT(E523,"" "")"),"#VALUE!")</f>
        <v>#VALUE!</v>
      </c>
      <c r="I523" s="2" t="str">
        <f t="shared" si="3"/>
        <v>#VALUE!</v>
      </c>
      <c r="J523" s="2" t="str">
        <f>IFERROR(__xludf.DUMMYFUNCTION("SPLIT(I523,"" "")"),"#VALUE!")</f>
        <v>#VALUE!</v>
      </c>
      <c r="M523" s="2" t="b">
        <f t="shared" si="4"/>
        <v>0</v>
      </c>
      <c r="N523" s="2" t="b">
        <f>IFERROR(__xludf.DUMMYFUNCTION("IF(AND(REGEXMATCH($G$4, ""cd""),M523),N522+J523)"),FALSE)</f>
        <v>0</v>
      </c>
      <c r="O523" s="2" t="str">
        <f t="shared" si="5"/>
        <v>#N/A</v>
      </c>
    </row>
    <row r="524">
      <c r="A524" s="1" t="s">
        <v>313</v>
      </c>
      <c r="B524" s="2" t="str">
        <f t="shared" si="1"/>
        <v>dir gzfsnbv</v>
      </c>
      <c r="C524" s="2" t="str">
        <f>IFERROR(__xludf.DUMMYFUNCTION("SPLIT(B524,"" "")"),"dir")</f>
        <v>dir</v>
      </c>
      <c r="D524" s="2" t="str">
        <f>IFERROR(__xludf.DUMMYFUNCTION("""COMPUTED_VALUE"""),"gzfsnbv")</f>
        <v>gzfsnbv</v>
      </c>
      <c r="E524" s="2" t="str">
        <f t="shared" si="2"/>
        <v>#VALUE!</v>
      </c>
      <c r="F524" s="2" t="str">
        <f>IFERROR(__xludf.DUMMYFUNCTION("SPLIT(E524,"" "")"),"#VALUE!")</f>
        <v>#VALUE!</v>
      </c>
      <c r="I524" s="2" t="str">
        <f t="shared" si="3"/>
        <v>#VALUE!</v>
      </c>
      <c r="J524" s="2" t="str">
        <f>IFERROR(__xludf.DUMMYFUNCTION("SPLIT(I524,"" "")"),"#VALUE!")</f>
        <v>#VALUE!</v>
      </c>
      <c r="M524" s="2" t="b">
        <f t="shared" si="4"/>
        <v>0</v>
      </c>
      <c r="N524" s="2" t="b">
        <f>IFERROR(__xludf.DUMMYFUNCTION("IF(AND(REGEXMATCH($G$4, ""cd""),M524),N523+J524)"),FALSE)</f>
        <v>0</v>
      </c>
      <c r="O524" s="2" t="str">
        <f t="shared" si="5"/>
        <v>#N/A</v>
      </c>
    </row>
    <row r="525">
      <c r="A525" s="1" t="s">
        <v>314</v>
      </c>
      <c r="B525" s="2" t="str">
        <f t="shared" si="1"/>
        <v>#VALUE!</v>
      </c>
      <c r="C525" s="2" t="str">
        <f>IFERROR(__xludf.DUMMYFUNCTION("SPLIT(B525,"" "")"),"#VALUE!")</f>
        <v>#VALUE!</v>
      </c>
      <c r="E525" s="2" t="str">
        <f t="shared" si="2"/>
        <v>#VALUE!</v>
      </c>
      <c r="F525" s="2" t="str">
        <f>IFERROR(__xludf.DUMMYFUNCTION("SPLIT(E525,"" "")"),"#VALUE!")</f>
        <v>#VALUE!</v>
      </c>
      <c r="I525" s="2" t="str">
        <f t="shared" si="3"/>
        <v>#VALUE!</v>
      </c>
      <c r="J525" s="2" t="str">
        <f>IFERROR(__xludf.DUMMYFUNCTION("SPLIT(I525,"" "")"),"#VALUE!")</f>
        <v>#VALUE!</v>
      </c>
      <c r="M525" s="2" t="b">
        <f t="shared" si="4"/>
        <v>0</v>
      </c>
      <c r="N525" s="2" t="b">
        <f>IFERROR(__xludf.DUMMYFUNCTION("IF(AND(REGEXMATCH($G$4, ""cd""),M525),N524+J525)"),FALSE)</f>
        <v>0</v>
      </c>
      <c r="O525" s="2" t="str">
        <f t="shared" si="5"/>
        <v>#N/A</v>
      </c>
    </row>
    <row r="526">
      <c r="A526" s="1" t="s">
        <v>315</v>
      </c>
      <c r="B526" s="2" t="str">
        <f t="shared" si="1"/>
        <v>dir msrz</v>
      </c>
      <c r="C526" s="2" t="str">
        <f>IFERROR(__xludf.DUMMYFUNCTION("SPLIT(B526,"" "")"),"dir")</f>
        <v>dir</v>
      </c>
      <c r="D526" s="2" t="str">
        <f>IFERROR(__xludf.DUMMYFUNCTION("""COMPUTED_VALUE"""),"msrz")</f>
        <v>msrz</v>
      </c>
      <c r="E526" s="2" t="str">
        <f t="shared" si="2"/>
        <v>#VALUE!</v>
      </c>
      <c r="F526" s="2" t="str">
        <f>IFERROR(__xludf.DUMMYFUNCTION("SPLIT(E526,"" "")"),"#VALUE!")</f>
        <v>#VALUE!</v>
      </c>
      <c r="I526" s="2" t="str">
        <f t="shared" si="3"/>
        <v>#VALUE!</v>
      </c>
      <c r="J526" s="2" t="str">
        <f>IFERROR(__xludf.DUMMYFUNCTION("SPLIT(I526,"" "")"),"#VALUE!")</f>
        <v>#VALUE!</v>
      </c>
      <c r="M526" s="2" t="b">
        <f t="shared" si="4"/>
        <v>0</v>
      </c>
      <c r="N526" s="2" t="b">
        <f>IFERROR(__xludf.DUMMYFUNCTION("IF(AND(REGEXMATCH($G$4, ""cd""),M526),N525+J526)"),FALSE)</f>
        <v>0</v>
      </c>
      <c r="O526" s="2" t="str">
        <f t="shared" si="5"/>
        <v>#N/A</v>
      </c>
    </row>
    <row r="527">
      <c r="A527" s="1" t="s">
        <v>316</v>
      </c>
      <c r="B527" s="2" t="str">
        <f t="shared" si="1"/>
        <v>#VALUE!</v>
      </c>
      <c r="C527" s="2" t="str">
        <f>IFERROR(__xludf.DUMMYFUNCTION("SPLIT(B527,"" "")"),"#VALUE!")</f>
        <v>#VALUE!</v>
      </c>
      <c r="E527" s="2" t="str">
        <f t="shared" si="2"/>
        <v>$ cd gpnfpv</v>
      </c>
      <c r="F527" s="2" t="str">
        <f>IFERROR(__xludf.DUMMYFUNCTION("SPLIT(E527,"" "")"),"$")</f>
        <v>$</v>
      </c>
      <c r="G527" s="2" t="str">
        <f>IFERROR(__xludf.DUMMYFUNCTION("""COMPUTED_VALUE"""),"cd")</f>
        <v>cd</v>
      </c>
      <c r="H527" s="2" t="str">
        <f>IFERROR(__xludf.DUMMYFUNCTION("""COMPUTED_VALUE"""),"gpnfpv")</f>
        <v>gpnfpv</v>
      </c>
      <c r="I527" s="2" t="str">
        <f t="shared" si="3"/>
        <v>#VALUE!</v>
      </c>
      <c r="J527" s="2" t="str">
        <f>IFERROR(__xludf.DUMMYFUNCTION("SPLIT(I527,"" "")"),"#VALUE!")</f>
        <v>#VALUE!</v>
      </c>
      <c r="M527" s="2" t="b">
        <f t="shared" si="4"/>
        <v>0</v>
      </c>
      <c r="N527" s="2" t="b">
        <f>IFERROR(__xludf.DUMMYFUNCTION("IF(AND(REGEXMATCH($G$4, ""cd""),M527),N526+J527)"),FALSE)</f>
        <v>0</v>
      </c>
      <c r="O527" s="2" t="str">
        <f t="shared" si="5"/>
        <v>#N/A</v>
      </c>
    </row>
    <row r="528">
      <c r="A528" s="1" t="s">
        <v>2</v>
      </c>
      <c r="B528" s="2" t="str">
        <f t="shared" si="1"/>
        <v>#VALUE!</v>
      </c>
      <c r="C528" s="2" t="str">
        <f>IFERROR(__xludf.DUMMYFUNCTION("SPLIT(B528,"" "")"),"#VALUE!")</f>
        <v>#VALUE!</v>
      </c>
      <c r="E528" s="2" t="str">
        <f t="shared" si="2"/>
        <v>#VALUE!</v>
      </c>
      <c r="F528" s="2" t="str">
        <f>IFERROR(__xludf.DUMMYFUNCTION("SPLIT(E528,"" "")"),"#VALUE!")</f>
        <v>#VALUE!</v>
      </c>
      <c r="I528" s="2" t="str">
        <f t="shared" si="3"/>
        <v>#VALUE!</v>
      </c>
      <c r="J528" s="2" t="str">
        <f>IFERROR(__xludf.DUMMYFUNCTION("SPLIT(I528,"" "")"),"#VALUE!")</f>
        <v>#VALUE!</v>
      </c>
      <c r="M528" s="2" t="b">
        <f t="shared" si="4"/>
        <v>0</v>
      </c>
      <c r="N528" s="2" t="b">
        <f>IFERROR(__xludf.DUMMYFUNCTION("IF(AND(REGEXMATCH($G$4, ""cd""),M528),N527+J528)"),FALSE)</f>
        <v>0</v>
      </c>
      <c r="O528" s="2" t="str">
        <f t="shared" si="5"/>
        <v>#N/A</v>
      </c>
    </row>
    <row r="529">
      <c r="A529" s="1" t="s">
        <v>50</v>
      </c>
      <c r="B529" s="2" t="str">
        <f t="shared" si="1"/>
        <v>dir hlvpfw</v>
      </c>
      <c r="C529" s="2" t="str">
        <f>IFERROR(__xludf.DUMMYFUNCTION("SPLIT(B529,"" "")"),"dir")</f>
        <v>dir</v>
      </c>
      <c r="D529" s="2" t="str">
        <f>IFERROR(__xludf.DUMMYFUNCTION("""COMPUTED_VALUE"""),"hlvpfw")</f>
        <v>hlvpfw</v>
      </c>
      <c r="E529" s="2" t="str">
        <f t="shared" si="2"/>
        <v>#VALUE!</v>
      </c>
      <c r="F529" s="2" t="str">
        <f>IFERROR(__xludf.DUMMYFUNCTION("SPLIT(E529,"" "")"),"#VALUE!")</f>
        <v>#VALUE!</v>
      </c>
      <c r="I529" s="2" t="str">
        <f t="shared" si="3"/>
        <v>#VALUE!</v>
      </c>
      <c r="J529" s="2" t="str">
        <f>IFERROR(__xludf.DUMMYFUNCTION("SPLIT(I529,"" "")"),"#VALUE!")</f>
        <v>#VALUE!</v>
      </c>
      <c r="M529" s="2" t="b">
        <f t="shared" si="4"/>
        <v>0</v>
      </c>
      <c r="N529" s="2" t="b">
        <f>IFERROR(__xludf.DUMMYFUNCTION("IF(AND(REGEXMATCH($G$4, ""cd""),M529),N528+J529)"),FALSE)</f>
        <v>0</v>
      </c>
      <c r="O529" s="2" t="str">
        <f t="shared" si="5"/>
        <v>#N/A</v>
      </c>
    </row>
    <row r="530">
      <c r="A530" s="1" t="s">
        <v>52</v>
      </c>
      <c r="B530" s="2" t="str">
        <f t="shared" si="1"/>
        <v>#VALUE!</v>
      </c>
      <c r="C530" s="2" t="str">
        <f>IFERROR(__xludf.DUMMYFUNCTION("SPLIT(B530,"" "")"),"#VALUE!")</f>
        <v>#VALUE!</v>
      </c>
      <c r="E530" s="2" t="str">
        <f t="shared" si="2"/>
        <v>$ cd hlvpfw</v>
      </c>
      <c r="F530" s="2" t="str">
        <f>IFERROR(__xludf.DUMMYFUNCTION("SPLIT(E530,"" "")"),"$")</f>
        <v>$</v>
      </c>
      <c r="G530" s="2" t="str">
        <f>IFERROR(__xludf.DUMMYFUNCTION("""COMPUTED_VALUE"""),"cd")</f>
        <v>cd</v>
      </c>
      <c r="H530" s="2" t="str">
        <f>IFERROR(__xludf.DUMMYFUNCTION("""COMPUTED_VALUE"""),"hlvpfw")</f>
        <v>hlvpfw</v>
      </c>
      <c r="I530" s="2" t="str">
        <f t="shared" si="3"/>
        <v>#VALUE!</v>
      </c>
      <c r="J530" s="2" t="str">
        <f>IFERROR(__xludf.DUMMYFUNCTION("SPLIT(I530,"" "")"),"#VALUE!")</f>
        <v>#VALUE!</v>
      </c>
      <c r="M530" s="2" t="b">
        <f t="shared" si="4"/>
        <v>0</v>
      </c>
      <c r="N530" s="2" t="b">
        <f>IFERROR(__xludf.DUMMYFUNCTION("IF(AND(REGEXMATCH($G$4, ""cd""),M530),N529+J530)"),FALSE)</f>
        <v>0</v>
      </c>
      <c r="O530" s="2" t="str">
        <f t="shared" si="5"/>
        <v>#N/A</v>
      </c>
    </row>
    <row r="531">
      <c r="A531" s="1" t="s">
        <v>2</v>
      </c>
      <c r="B531" s="2" t="str">
        <f t="shared" si="1"/>
        <v>#VALUE!</v>
      </c>
      <c r="C531" s="2" t="str">
        <f>IFERROR(__xludf.DUMMYFUNCTION("SPLIT(B531,"" "")"),"#VALUE!")</f>
        <v>#VALUE!</v>
      </c>
      <c r="E531" s="2" t="str">
        <f t="shared" si="2"/>
        <v>#VALUE!</v>
      </c>
      <c r="F531" s="2" t="str">
        <f>IFERROR(__xludf.DUMMYFUNCTION("SPLIT(E531,"" "")"),"#VALUE!")</f>
        <v>#VALUE!</v>
      </c>
      <c r="I531" s="2" t="str">
        <f t="shared" si="3"/>
        <v>#VALUE!</v>
      </c>
      <c r="J531" s="2" t="str">
        <f>IFERROR(__xludf.DUMMYFUNCTION("SPLIT(I531,"" "")"),"#VALUE!")</f>
        <v>#VALUE!</v>
      </c>
      <c r="M531" s="2" t="b">
        <f t="shared" si="4"/>
        <v>0</v>
      </c>
      <c r="N531" s="2" t="b">
        <f>IFERROR(__xludf.DUMMYFUNCTION("IF(AND(REGEXMATCH($G$4, ""cd""),M531),N530+J531)"),FALSE)</f>
        <v>0</v>
      </c>
      <c r="O531" s="2" t="str">
        <f t="shared" si="5"/>
        <v>#N/A</v>
      </c>
    </row>
    <row r="532">
      <c r="A532" s="1" t="s">
        <v>317</v>
      </c>
      <c r="B532" s="2" t="str">
        <f t="shared" si="1"/>
        <v>#VALUE!</v>
      </c>
      <c r="C532" s="2" t="str">
        <f>IFERROR(__xludf.DUMMYFUNCTION("SPLIT(B532,"" "")"),"#VALUE!")</f>
        <v>#VALUE!</v>
      </c>
      <c r="E532" s="2" t="str">
        <f t="shared" si="2"/>
        <v>#VALUE!</v>
      </c>
      <c r="F532" s="2" t="str">
        <f>IFERROR(__xludf.DUMMYFUNCTION("SPLIT(E532,"" "")"),"#VALUE!")</f>
        <v>#VALUE!</v>
      </c>
      <c r="I532" s="2" t="str">
        <f t="shared" si="3"/>
        <v>#VALUE!</v>
      </c>
      <c r="J532" s="2" t="str">
        <f>IFERROR(__xludf.DUMMYFUNCTION("SPLIT(I532,"" "")"),"#VALUE!")</f>
        <v>#VALUE!</v>
      </c>
      <c r="M532" s="2" t="b">
        <f t="shared" si="4"/>
        <v>0</v>
      </c>
      <c r="N532" s="2" t="b">
        <f>IFERROR(__xludf.DUMMYFUNCTION("IF(AND(REGEXMATCH($G$4, ""cd""),M532),N531+J532)"),FALSE)</f>
        <v>0</v>
      </c>
      <c r="O532" s="2" t="str">
        <f t="shared" si="5"/>
        <v>#N/A</v>
      </c>
    </row>
    <row r="533">
      <c r="A533" s="1" t="s">
        <v>318</v>
      </c>
      <c r="B533" s="2" t="str">
        <f t="shared" si="1"/>
        <v>#VALUE!</v>
      </c>
      <c r="C533" s="2" t="str">
        <f>IFERROR(__xludf.DUMMYFUNCTION("SPLIT(B533,"" "")"),"#VALUE!")</f>
        <v>#VALUE!</v>
      </c>
      <c r="E533" s="2" t="str">
        <f t="shared" si="2"/>
        <v>#VALUE!</v>
      </c>
      <c r="F533" s="2" t="str">
        <f>IFERROR(__xludf.DUMMYFUNCTION("SPLIT(E533,"" "")"),"#VALUE!")</f>
        <v>#VALUE!</v>
      </c>
      <c r="I533" s="2" t="str">
        <f t="shared" si="3"/>
        <v>41444 mzsfcvgv.qpp</v>
      </c>
      <c r="J533" s="2">
        <f>IFERROR(__xludf.DUMMYFUNCTION("SPLIT(I533,"" "")"),41444.0)</f>
        <v>41444</v>
      </c>
      <c r="K533" s="2" t="str">
        <f>IFERROR(__xludf.DUMMYFUNCTION("""COMPUTED_VALUE"""),"mzsfcvgv.qpp")</f>
        <v>mzsfcvgv.qpp</v>
      </c>
      <c r="M533" s="2" t="b">
        <f t="shared" si="4"/>
        <v>1</v>
      </c>
      <c r="N533" s="2">
        <f>IFERROR(__xludf.DUMMYFUNCTION("IF(AND(REGEXMATCH($G$4, ""cd""),M533),N532+J533)"),41444.0)</f>
        <v>41444</v>
      </c>
      <c r="O533" s="2" t="str">
        <f t="shared" si="5"/>
        <v>#N/A</v>
      </c>
    </row>
    <row r="534">
      <c r="A534" s="1" t="s">
        <v>319</v>
      </c>
      <c r="B534" s="2" t="str">
        <f t="shared" si="1"/>
        <v>#VALUE!</v>
      </c>
      <c r="C534" s="2" t="str">
        <f>IFERROR(__xludf.DUMMYFUNCTION("SPLIT(B534,"" "")"),"#VALUE!")</f>
        <v>#VALUE!</v>
      </c>
      <c r="E534" s="2" t="str">
        <f t="shared" si="2"/>
        <v>#VALUE!</v>
      </c>
      <c r="F534" s="2" t="str">
        <f>IFERROR(__xludf.DUMMYFUNCTION("SPLIT(E534,"" "")"),"#VALUE!")</f>
        <v>#VALUE!</v>
      </c>
      <c r="I534" s="2" t="str">
        <f t="shared" si="3"/>
        <v>#VALUE!</v>
      </c>
      <c r="J534" s="2" t="str">
        <f>IFERROR(__xludf.DUMMYFUNCTION("SPLIT(I534,"" "")"),"#VALUE!")</f>
        <v>#VALUE!</v>
      </c>
      <c r="M534" s="2" t="b">
        <f t="shared" si="4"/>
        <v>0</v>
      </c>
      <c r="N534" s="2" t="b">
        <f>IFERROR(__xludf.DUMMYFUNCTION("IF(AND(REGEXMATCH($G$4, ""cd""),M534),N533+J534)"),FALSE)</f>
        <v>0</v>
      </c>
      <c r="O534" s="2" t="str">
        <f t="shared" si="5"/>
        <v>#N/A</v>
      </c>
    </row>
    <row r="535">
      <c r="A535" s="1" t="s">
        <v>17</v>
      </c>
      <c r="B535" s="2" t="str">
        <f t="shared" si="1"/>
        <v>#VALUE!</v>
      </c>
      <c r="C535" s="2" t="str">
        <f>IFERROR(__xludf.DUMMYFUNCTION("SPLIT(B535,"" "")"),"#VALUE!")</f>
        <v>#VALUE!</v>
      </c>
      <c r="E535" s="2" t="str">
        <f t="shared" si="2"/>
        <v>$ cd ..</v>
      </c>
      <c r="F535" s="2" t="str">
        <f>IFERROR(__xludf.DUMMYFUNCTION("SPLIT(E535,"" "")"),"$")</f>
        <v>$</v>
      </c>
      <c r="G535" s="2" t="str">
        <f>IFERROR(__xludf.DUMMYFUNCTION("""COMPUTED_VALUE"""),"cd")</f>
        <v>cd</v>
      </c>
      <c r="H535" s="2" t="str">
        <f>IFERROR(__xludf.DUMMYFUNCTION("""COMPUTED_VALUE"""),"..")</f>
        <v>..</v>
      </c>
      <c r="I535" s="2" t="str">
        <f t="shared" si="3"/>
        <v>$ cd ..</v>
      </c>
      <c r="J535" s="2" t="str">
        <f>IFERROR(__xludf.DUMMYFUNCTION("SPLIT(I535,"" "")"),"$")</f>
        <v>$</v>
      </c>
      <c r="K535" s="2" t="str">
        <f>IFERROR(__xludf.DUMMYFUNCTION("""COMPUTED_VALUE"""),"cd")</f>
        <v>cd</v>
      </c>
      <c r="L535" s="2" t="str">
        <f>IFERROR(__xludf.DUMMYFUNCTION("""COMPUTED_VALUE"""),"..")</f>
        <v>..</v>
      </c>
      <c r="M535" s="2" t="b">
        <f t="shared" si="4"/>
        <v>0</v>
      </c>
      <c r="N535" s="2" t="b">
        <f>IFERROR(__xludf.DUMMYFUNCTION("IF(AND(REGEXMATCH($G$4, ""cd""),M535),N534+J535)"),FALSE)</f>
        <v>0</v>
      </c>
      <c r="O535" s="2" t="str">
        <f t="shared" si="5"/>
        <v>#N/A</v>
      </c>
    </row>
    <row r="536">
      <c r="A536" s="1" t="s">
        <v>17</v>
      </c>
      <c r="B536" s="2" t="str">
        <f t="shared" si="1"/>
        <v>#VALUE!</v>
      </c>
      <c r="C536" s="2" t="str">
        <f>IFERROR(__xludf.DUMMYFUNCTION("SPLIT(B536,"" "")"),"#VALUE!")</f>
        <v>#VALUE!</v>
      </c>
      <c r="E536" s="2" t="str">
        <f t="shared" si="2"/>
        <v>$ cd ..</v>
      </c>
      <c r="F536" s="2" t="str">
        <f>IFERROR(__xludf.DUMMYFUNCTION("SPLIT(E536,"" "")"),"$")</f>
        <v>$</v>
      </c>
      <c r="G536" s="2" t="str">
        <f>IFERROR(__xludf.DUMMYFUNCTION("""COMPUTED_VALUE"""),"cd")</f>
        <v>cd</v>
      </c>
      <c r="H536" s="2" t="str">
        <f>IFERROR(__xludf.DUMMYFUNCTION("""COMPUTED_VALUE"""),"..")</f>
        <v>..</v>
      </c>
      <c r="I536" s="2" t="str">
        <f t="shared" si="3"/>
        <v>$ cd ..</v>
      </c>
      <c r="J536" s="2" t="str">
        <f>IFERROR(__xludf.DUMMYFUNCTION("SPLIT(I536,"" "")"),"$")</f>
        <v>$</v>
      </c>
      <c r="K536" s="2" t="str">
        <f>IFERROR(__xludf.DUMMYFUNCTION("""COMPUTED_VALUE"""),"cd")</f>
        <v>cd</v>
      </c>
      <c r="L536" s="2" t="str">
        <f>IFERROR(__xludf.DUMMYFUNCTION("""COMPUTED_VALUE"""),"..")</f>
        <v>..</v>
      </c>
      <c r="M536" s="2" t="b">
        <f t="shared" si="4"/>
        <v>0</v>
      </c>
      <c r="N536" s="2" t="b">
        <f>IFERROR(__xludf.DUMMYFUNCTION("IF(AND(REGEXMATCH($G$4, ""cd""),M536),N535+J536)"),FALSE)</f>
        <v>0</v>
      </c>
      <c r="O536" s="2" t="str">
        <f t="shared" si="5"/>
        <v>#N/A</v>
      </c>
    </row>
    <row r="537">
      <c r="A537" s="1" t="s">
        <v>320</v>
      </c>
      <c r="B537" s="2" t="str">
        <f t="shared" si="1"/>
        <v>#VALUE!</v>
      </c>
      <c r="C537" s="2" t="str">
        <f>IFERROR(__xludf.DUMMYFUNCTION("SPLIT(B537,"" "")"),"#VALUE!")</f>
        <v>#VALUE!</v>
      </c>
      <c r="E537" s="2" t="str">
        <f t="shared" si="2"/>
        <v>$ cd gzfsnbv</v>
      </c>
      <c r="F537" s="2" t="str">
        <f>IFERROR(__xludf.DUMMYFUNCTION("SPLIT(E537,"" "")"),"$")</f>
        <v>$</v>
      </c>
      <c r="G537" s="2" t="str">
        <f>IFERROR(__xludf.DUMMYFUNCTION("""COMPUTED_VALUE"""),"cd")</f>
        <v>cd</v>
      </c>
      <c r="H537" s="2" t="str">
        <f>IFERROR(__xludf.DUMMYFUNCTION("""COMPUTED_VALUE"""),"gzfsnbv")</f>
        <v>gzfsnbv</v>
      </c>
      <c r="I537" s="2" t="str">
        <f t="shared" si="3"/>
        <v>#VALUE!</v>
      </c>
      <c r="J537" s="2" t="str">
        <f>IFERROR(__xludf.DUMMYFUNCTION("SPLIT(I537,"" "")"),"#VALUE!")</f>
        <v>#VALUE!</v>
      </c>
      <c r="M537" s="2" t="b">
        <f t="shared" si="4"/>
        <v>0</v>
      </c>
      <c r="N537" s="2" t="b">
        <f>IFERROR(__xludf.DUMMYFUNCTION("IF(AND(REGEXMATCH($G$4, ""cd""),M537),N536+J537)"),FALSE)</f>
        <v>0</v>
      </c>
      <c r="O537" s="2" t="str">
        <f t="shared" si="5"/>
        <v>#N/A</v>
      </c>
    </row>
    <row r="538">
      <c r="A538" s="1" t="s">
        <v>2</v>
      </c>
      <c r="B538" s="2" t="str">
        <f t="shared" si="1"/>
        <v>#VALUE!</v>
      </c>
      <c r="C538" s="2" t="str">
        <f>IFERROR(__xludf.DUMMYFUNCTION("SPLIT(B538,"" "")"),"#VALUE!")</f>
        <v>#VALUE!</v>
      </c>
      <c r="E538" s="2" t="str">
        <f t="shared" si="2"/>
        <v>#VALUE!</v>
      </c>
      <c r="F538" s="2" t="str">
        <f>IFERROR(__xludf.DUMMYFUNCTION("SPLIT(E538,"" "")"),"#VALUE!")</f>
        <v>#VALUE!</v>
      </c>
      <c r="I538" s="2" t="str">
        <f t="shared" si="3"/>
        <v>#VALUE!</v>
      </c>
      <c r="J538" s="2" t="str">
        <f>IFERROR(__xludf.DUMMYFUNCTION("SPLIT(I538,"" "")"),"#VALUE!")</f>
        <v>#VALUE!</v>
      </c>
      <c r="M538" s="2" t="b">
        <f t="shared" si="4"/>
        <v>0</v>
      </c>
      <c r="N538" s="2" t="b">
        <f>IFERROR(__xludf.DUMMYFUNCTION("IF(AND(REGEXMATCH($G$4, ""cd""),M538),N537+J538)"),FALSE)</f>
        <v>0</v>
      </c>
      <c r="O538" s="2" t="str">
        <f t="shared" si="5"/>
        <v>#N/A</v>
      </c>
    </row>
    <row r="539">
      <c r="A539" s="1" t="s">
        <v>321</v>
      </c>
      <c r="B539" s="2" t="str">
        <f t="shared" si="1"/>
        <v>#VALUE!</v>
      </c>
      <c r="C539" s="2" t="str">
        <f>IFERROR(__xludf.DUMMYFUNCTION("SPLIT(B539,"" "")"),"#VALUE!")</f>
        <v>#VALUE!</v>
      </c>
      <c r="E539" s="2" t="str">
        <f t="shared" si="2"/>
        <v>#VALUE!</v>
      </c>
      <c r="F539" s="2" t="str">
        <f>IFERROR(__xludf.DUMMYFUNCTION("SPLIT(E539,"" "")"),"#VALUE!")</f>
        <v>#VALUE!</v>
      </c>
      <c r="I539" s="2" t="str">
        <f t="shared" si="3"/>
        <v>321796 jnwr.ghb</v>
      </c>
      <c r="J539" s="2">
        <f>IFERROR(__xludf.DUMMYFUNCTION("SPLIT(I539,"" "")"),321796.0)</f>
        <v>321796</v>
      </c>
      <c r="K539" s="2" t="str">
        <f>IFERROR(__xludf.DUMMYFUNCTION("""COMPUTED_VALUE"""),"jnwr.ghb")</f>
        <v>jnwr.ghb</v>
      </c>
      <c r="M539" s="2" t="b">
        <f t="shared" si="4"/>
        <v>1</v>
      </c>
      <c r="N539" s="2">
        <f>IFERROR(__xludf.DUMMYFUNCTION("IF(AND(REGEXMATCH($G$4, ""cd""),M539),N538+J539)"),321796.0)</f>
        <v>321796</v>
      </c>
      <c r="O539" s="2" t="str">
        <f t="shared" si="5"/>
        <v>#N/A</v>
      </c>
    </row>
    <row r="540">
      <c r="A540" s="1" t="s">
        <v>322</v>
      </c>
      <c r="B540" s="2" t="str">
        <f t="shared" si="1"/>
        <v>dir sdgwjtf</v>
      </c>
      <c r="C540" s="2" t="str">
        <f>IFERROR(__xludf.DUMMYFUNCTION("SPLIT(B540,"" "")"),"dir")</f>
        <v>dir</v>
      </c>
      <c r="D540" s="2" t="str">
        <f>IFERROR(__xludf.DUMMYFUNCTION("""COMPUTED_VALUE"""),"sdgwjtf")</f>
        <v>sdgwjtf</v>
      </c>
      <c r="E540" s="2" t="str">
        <f t="shared" si="2"/>
        <v>#VALUE!</v>
      </c>
      <c r="F540" s="2" t="str">
        <f>IFERROR(__xludf.DUMMYFUNCTION("SPLIT(E540,"" "")"),"#VALUE!")</f>
        <v>#VALUE!</v>
      </c>
      <c r="I540" s="2" t="str">
        <f t="shared" si="3"/>
        <v>#VALUE!</v>
      </c>
      <c r="J540" s="2" t="str">
        <f>IFERROR(__xludf.DUMMYFUNCTION("SPLIT(I540,"" "")"),"#VALUE!")</f>
        <v>#VALUE!</v>
      </c>
      <c r="M540" s="2" t="b">
        <f t="shared" si="4"/>
        <v>0</v>
      </c>
      <c r="N540" s="2" t="b">
        <f>IFERROR(__xludf.DUMMYFUNCTION("IF(AND(REGEXMATCH($G$4, ""cd""),M540),N539+J540)"),FALSE)</f>
        <v>0</v>
      </c>
      <c r="O540" s="2" t="str">
        <f t="shared" si="5"/>
        <v>#N/A</v>
      </c>
    </row>
    <row r="541">
      <c r="A541" s="1" t="s">
        <v>323</v>
      </c>
      <c r="B541" s="2" t="str">
        <f t="shared" si="1"/>
        <v>#VALUE!</v>
      </c>
      <c r="C541" s="2" t="str">
        <f>IFERROR(__xludf.DUMMYFUNCTION("SPLIT(B541,"" "")"),"#VALUE!")</f>
        <v>#VALUE!</v>
      </c>
      <c r="E541" s="2" t="str">
        <f t="shared" si="2"/>
        <v>$ cd sdgwjtf</v>
      </c>
      <c r="F541" s="2" t="str">
        <f>IFERROR(__xludf.DUMMYFUNCTION("SPLIT(E541,"" "")"),"$")</f>
        <v>$</v>
      </c>
      <c r="G541" s="2" t="str">
        <f>IFERROR(__xludf.DUMMYFUNCTION("""COMPUTED_VALUE"""),"cd")</f>
        <v>cd</v>
      </c>
      <c r="H541" s="2" t="str">
        <f>IFERROR(__xludf.DUMMYFUNCTION("""COMPUTED_VALUE"""),"sdgwjtf")</f>
        <v>sdgwjtf</v>
      </c>
      <c r="I541" s="2" t="str">
        <f t="shared" si="3"/>
        <v>#VALUE!</v>
      </c>
      <c r="J541" s="2" t="str">
        <f>IFERROR(__xludf.DUMMYFUNCTION("SPLIT(I541,"" "")"),"#VALUE!")</f>
        <v>#VALUE!</v>
      </c>
      <c r="M541" s="2" t="b">
        <f t="shared" si="4"/>
        <v>0</v>
      </c>
      <c r="N541" s="2" t="b">
        <f>IFERROR(__xludf.DUMMYFUNCTION("IF(AND(REGEXMATCH($G$4, ""cd""),M541),N540+J541)"),FALSE)</f>
        <v>0</v>
      </c>
      <c r="O541" s="2" t="str">
        <f t="shared" si="5"/>
        <v>#N/A</v>
      </c>
    </row>
    <row r="542">
      <c r="A542" s="1" t="s">
        <v>2</v>
      </c>
      <c r="B542" s="2" t="str">
        <f t="shared" si="1"/>
        <v>#VALUE!</v>
      </c>
      <c r="C542" s="2" t="str">
        <f>IFERROR(__xludf.DUMMYFUNCTION("SPLIT(B542,"" "")"),"#VALUE!")</f>
        <v>#VALUE!</v>
      </c>
      <c r="E542" s="2" t="str">
        <f t="shared" si="2"/>
        <v>#VALUE!</v>
      </c>
      <c r="F542" s="2" t="str">
        <f>IFERROR(__xludf.DUMMYFUNCTION("SPLIT(E542,"" "")"),"#VALUE!")</f>
        <v>#VALUE!</v>
      </c>
      <c r="I542" s="2" t="str">
        <f t="shared" si="3"/>
        <v>#VALUE!</v>
      </c>
      <c r="J542" s="2" t="str">
        <f>IFERROR(__xludf.DUMMYFUNCTION("SPLIT(I542,"" "")"),"#VALUE!")</f>
        <v>#VALUE!</v>
      </c>
      <c r="M542" s="2" t="b">
        <f t="shared" si="4"/>
        <v>0</v>
      </c>
      <c r="N542" s="2" t="b">
        <f>IFERROR(__xludf.DUMMYFUNCTION("IF(AND(REGEXMATCH($G$4, ""cd""),M542),N541+J542)"),FALSE)</f>
        <v>0</v>
      </c>
      <c r="O542" s="2" t="str">
        <f t="shared" si="5"/>
        <v>#N/A</v>
      </c>
    </row>
    <row r="543">
      <c r="A543" s="1" t="s">
        <v>324</v>
      </c>
      <c r="B543" s="2" t="str">
        <f t="shared" si="1"/>
        <v>#VALUE!</v>
      </c>
      <c r="C543" s="2" t="str">
        <f>IFERROR(__xludf.DUMMYFUNCTION("SPLIT(B543,"" "")"),"#VALUE!")</f>
        <v>#VALUE!</v>
      </c>
      <c r="E543" s="2" t="str">
        <f t="shared" si="2"/>
        <v>#VALUE!</v>
      </c>
      <c r="F543" s="2" t="str">
        <f>IFERROR(__xludf.DUMMYFUNCTION("SPLIT(E543,"" "")"),"#VALUE!")</f>
        <v>#VALUE!</v>
      </c>
      <c r="I543" s="2" t="str">
        <f t="shared" si="3"/>
        <v>127216 mzsfcvgv.qlv</v>
      </c>
      <c r="J543" s="2">
        <f>IFERROR(__xludf.DUMMYFUNCTION("SPLIT(I543,"" "")"),127216.0)</f>
        <v>127216</v>
      </c>
      <c r="K543" s="2" t="str">
        <f>IFERROR(__xludf.DUMMYFUNCTION("""COMPUTED_VALUE"""),"mzsfcvgv.qlv")</f>
        <v>mzsfcvgv.qlv</v>
      </c>
      <c r="M543" s="2" t="b">
        <f t="shared" si="4"/>
        <v>1</v>
      </c>
      <c r="N543" s="2">
        <f>IFERROR(__xludf.DUMMYFUNCTION("IF(AND(REGEXMATCH($G$4, ""cd""),M543),N542+J543)"),127216.0)</f>
        <v>127216</v>
      </c>
      <c r="O543" s="2" t="str">
        <f t="shared" si="5"/>
        <v>#N/A</v>
      </c>
    </row>
    <row r="544">
      <c r="A544" s="1" t="s">
        <v>17</v>
      </c>
      <c r="B544" s="2" t="str">
        <f t="shared" si="1"/>
        <v>#VALUE!</v>
      </c>
      <c r="C544" s="2" t="str">
        <f>IFERROR(__xludf.DUMMYFUNCTION("SPLIT(B544,"" "")"),"#VALUE!")</f>
        <v>#VALUE!</v>
      </c>
      <c r="E544" s="2" t="str">
        <f t="shared" si="2"/>
        <v>$ cd ..</v>
      </c>
      <c r="F544" s="2" t="str">
        <f>IFERROR(__xludf.DUMMYFUNCTION("SPLIT(E544,"" "")"),"$")</f>
        <v>$</v>
      </c>
      <c r="G544" s="2" t="str">
        <f>IFERROR(__xludf.DUMMYFUNCTION("""COMPUTED_VALUE"""),"cd")</f>
        <v>cd</v>
      </c>
      <c r="H544" s="2" t="str">
        <f>IFERROR(__xludf.DUMMYFUNCTION("""COMPUTED_VALUE"""),"..")</f>
        <v>..</v>
      </c>
      <c r="I544" s="2" t="str">
        <f t="shared" si="3"/>
        <v>$ cd ..</v>
      </c>
      <c r="J544" s="2" t="str">
        <f>IFERROR(__xludf.DUMMYFUNCTION("SPLIT(I544,"" "")"),"$")</f>
        <v>$</v>
      </c>
      <c r="K544" s="2" t="str">
        <f>IFERROR(__xludf.DUMMYFUNCTION("""COMPUTED_VALUE"""),"cd")</f>
        <v>cd</v>
      </c>
      <c r="L544" s="2" t="str">
        <f>IFERROR(__xludf.DUMMYFUNCTION("""COMPUTED_VALUE"""),"..")</f>
        <v>..</v>
      </c>
      <c r="M544" s="2" t="b">
        <f t="shared" si="4"/>
        <v>0</v>
      </c>
      <c r="N544" s="2" t="b">
        <f>IFERROR(__xludf.DUMMYFUNCTION("IF(AND(REGEXMATCH($G$4, ""cd""),M544),N543+J544)"),FALSE)</f>
        <v>0</v>
      </c>
      <c r="O544" s="2" t="str">
        <f t="shared" si="5"/>
        <v>#N/A</v>
      </c>
    </row>
    <row r="545">
      <c r="A545" s="1" t="s">
        <v>17</v>
      </c>
      <c r="B545" s="2" t="str">
        <f t="shared" si="1"/>
        <v>#VALUE!</v>
      </c>
      <c r="C545" s="2" t="str">
        <f>IFERROR(__xludf.DUMMYFUNCTION("SPLIT(B545,"" "")"),"#VALUE!")</f>
        <v>#VALUE!</v>
      </c>
      <c r="E545" s="2" t="str">
        <f t="shared" si="2"/>
        <v>$ cd ..</v>
      </c>
      <c r="F545" s="2" t="str">
        <f>IFERROR(__xludf.DUMMYFUNCTION("SPLIT(E545,"" "")"),"$")</f>
        <v>$</v>
      </c>
      <c r="G545" s="2" t="str">
        <f>IFERROR(__xludf.DUMMYFUNCTION("""COMPUTED_VALUE"""),"cd")</f>
        <v>cd</v>
      </c>
      <c r="H545" s="2" t="str">
        <f>IFERROR(__xludf.DUMMYFUNCTION("""COMPUTED_VALUE"""),"..")</f>
        <v>..</v>
      </c>
      <c r="I545" s="2" t="str">
        <f t="shared" si="3"/>
        <v>$ cd ..</v>
      </c>
      <c r="J545" s="2" t="str">
        <f>IFERROR(__xludf.DUMMYFUNCTION("SPLIT(I545,"" "")"),"$")</f>
        <v>$</v>
      </c>
      <c r="K545" s="2" t="str">
        <f>IFERROR(__xludf.DUMMYFUNCTION("""COMPUTED_VALUE"""),"cd")</f>
        <v>cd</v>
      </c>
      <c r="L545" s="2" t="str">
        <f>IFERROR(__xludf.DUMMYFUNCTION("""COMPUTED_VALUE"""),"..")</f>
        <v>..</v>
      </c>
      <c r="M545" s="2" t="b">
        <f t="shared" si="4"/>
        <v>0</v>
      </c>
      <c r="N545" s="2" t="b">
        <f>IFERROR(__xludf.DUMMYFUNCTION("IF(AND(REGEXMATCH($G$4, ""cd""),M545),N544+J545)"),FALSE)</f>
        <v>0</v>
      </c>
      <c r="O545" s="2" t="str">
        <f t="shared" si="5"/>
        <v>#N/A</v>
      </c>
    </row>
    <row r="546">
      <c r="A546" s="1" t="s">
        <v>325</v>
      </c>
      <c r="B546" s="2" t="str">
        <f t="shared" si="1"/>
        <v>#VALUE!</v>
      </c>
      <c r="C546" s="2" t="str">
        <f>IFERROR(__xludf.DUMMYFUNCTION("SPLIT(B546,"" "")"),"#VALUE!")</f>
        <v>#VALUE!</v>
      </c>
      <c r="E546" s="2" t="str">
        <f t="shared" si="2"/>
        <v>$ cd msrz</v>
      </c>
      <c r="F546" s="2" t="str">
        <f>IFERROR(__xludf.DUMMYFUNCTION("SPLIT(E546,"" "")"),"$")</f>
        <v>$</v>
      </c>
      <c r="G546" s="2" t="str">
        <f>IFERROR(__xludf.DUMMYFUNCTION("""COMPUTED_VALUE"""),"cd")</f>
        <v>cd</v>
      </c>
      <c r="H546" s="2" t="str">
        <f>IFERROR(__xludf.DUMMYFUNCTION("""COMPUTED_VALUE"""),"msrz")</f>
        <v>msrz</v>
      </c>
      <c r="I546" s="2" t="str">
        <f t="shared" si="3"/>
        <v>#VALUE!</v>
      </c>
      <c r="J546" s="2" t="str">
        <f>IFERROR(__xludf.DUMMYFUNCTION("SPLIT(I546,"" "")"),"#VALUE!")</f>
        <v>#VALUE!</v>
      </c>
      <c r="M546" s="2" t="b">
        <f t="shared" si="4"/>
        <v>0</v>
      </c>
      <c r="N546" s="2" t="b">
        <f>IFERROR(__xludf.DUMMYFUNCTION("IF(AND(REGEXMATCH($G$4, ""cd""),M546),N545+J546)"),FALSE)</f>
        <v>0</v>
      </c>
      <c r="O546" s="2" t="str">
        <f t="shared" si="5"/>
        <v>#N/A</v>
      </c>
    </row>
    <row r="547">
      <c r="A547" s="1" t="s">
        <v>2</v>
      </c>
      <c r="B547" s="2" t="str">
        <f t="shared" si="1"/>
        <v>#VALUE!</v>
      </c>
      <c r="C547" s="2" t="str">
        <f>IFERROR(__xludf.DUMMYFUNCTION("SPLIT(B547,"" "")"),"#VALUE!")</f>
        <v>#VALUE!</v>
      </c>
      <c r="E547" s="2" t="str">
        <f t="shared" si="2"/>
        <v>#VALUE!</v>
      </c>
      <c r="F547" s="2" t="str">
        <f>IFERROR(__xludf.DUMMYFUNCTION("SPLIT(E547,"" "")"),"#VALUE!")</f>
        <v>#VALUE!</v>
      </c>
      <c r="I547" s="2" t="str">
        <f t="shared" si="3"/>
        <v>#VALUE!</v>
      </c>
      <c r="J547" s="2" t="str">
        <f>IFERROR(__xludf.DUMMYFUNCTION("SPLIT(I547,"" "")"),"#VALUE!")</f>
        <v>#VALUE!</v>
      </c>
      <c r="M547" s="2" t="b">
        <f t="shared" si="4"/>
        <v>0</v>
      </c>
      <c r="N547" s="2" t="b">
        <f>IFERROR(__xludf.DUMMYFUNCTION("IF(AND(REGEXMATCH($G$4, ""cd""),M547),N546+J547)"),FALSE)</f>
        <v>0</v>
      </c>
      <c r="O547" s="2" t="str">
        <f t="shared" si="5"/>
        <v>#N/A</v>
      </c>
    </row>
    <row r="548">
      <c r="A548" s="1" t="s">
        <v>326</v>
      </c>
      <c r="B548" s="2" t="str">
        <f t="shared" si="1"/>
        <v>dir fzl</v>
      </c>
      <c r="C548" s="2" t="str">
        <f>IFERROR(__xludf.DUMMYFUNCTION("SPLIT(B548,"" "")"),"dir")</f>
        <v>dir</v>
      </c>
      <c r="D548" s="2" t="str">
        <f>IFERROR(__xludf.DUMMYFUNCTION("""COMPUTED_VALUE"""),"fzl")</f>
        <v>fzl</v>
      </c>
      <c r="E548" s="2" t="str">
        <f t="shared" si="2"/>
        <v>#VALUE!</v>
      </c>
      <c r="F548" s="2" t="str">
        <f>IFERROR(__xludf.DUMMYFUNCTION("SPLIT(E548,"" "")"),"#VALUE!")</f>
        <v>#VALUE!</v>
      </c>
      <c r="I548" s="2" t="str">
        <f t="shared" si="3"/>
        <v>#VALUE!</v>
      </c>
      <c r="J548" s="2" t="str">
        <f>IFERROR(__xludf.DUMMYFUNCTION("SPLIT(I548,"" "")"),"#VALUE!")</f>
        <v>#VALUE!</v>
      </c>
      <c r="M548" s="2" t="b">
        <f t="shared" si="4"/>
        <v>0</v>
      </c>
      <c r="N548" s="2" t="b">
        <f>IFERROR(__xludf.DUMMYFUNCTION("IF(AND(REGEXMATCH($G$4, ""cd""),M548),N547+J548)"),FALSE)</f>
        <v>0</v>
      </c>
      <c r="O548" s="2" t="str">
        <f t="shared" si="5"/>
        <v>#N/A</v>
      </c>
    </row>
    <row r="549">
      <c r="A549" s="1" t="s">
        <v>327</v>
      </c>
      <c r="B549" s="2" t="str">
        <f t="shared" si="1"/>
        <v>#VALUE!</v>
      </c>
      <c r="C549" s="2" t="str">
        <f>IFERROR(__xludf.DUMMYFUNCTION("SPLIT(B549,"" "")"),"#VALUE!")</f>
        <v>#VALUE!</v>
      </c>
      <c r="E549" s="2" t="str">
        <f t="shared" si="2"/>
        <v>#VALUE!</v>
      </c>
      <c r="F549" s="2" t="str">
        <f>IFERROR(__xludf.DUMMYFUNCTION("SPLIT(E549,"" "")"),"#VALUE!")</f>
        <v>#VALUE!</v>
      </c>
      <c r="I549" s="2" t="str">
        <f t="shared" si="3"/>
        <v>32371 jqtgpzw.thg</v>
      </c>
      <c r="J549" s="2">
        <f>IFERROR(__xludf.DUMMYFUNCTION("SPLIT(I549,"" "")"),32371.0)</f>
        <v>32371</v>
      </c>
      <c r="K549" s="2" t="str">
        <f>IFERROR(__xludf.DUMMYFUNCTION("""COMPUTED_VALUE"""),"jqtgpzw.thg")</f>
        <v>jqtgpzw.thg</v>
      </c>
      <c r="M549" s="2" t="b">
        <f t="shared" si="4"/>
        <v>1</v>
      </c>
      <c r="N549" s="2">
        <f>IFERROR(__xludf.DUMMYFUNCTION("IF(AND(REGEXMATCH($G$4, ""cd""),M549),N548+J549)"),32371.0)</f>
        <v>32371</v>
      </c>
      <c r="O549" s="2" t="str">
        <f t="shared" si="5"/>
        <v>#N/A</v>
      </c>
    </row>
    <row r="550">
      <c r="A550" s="1" t="s">
        <v>328</v>
      </c>
      <c r="B550" s="2" t="str">
        <f t="shared" si="1"/>
        <v>#VALUE!</v>
      </c>
      <c r="C550" s="2" t="str">
        <f>IFERROR(__xludf.DUMMYFUNCTION("SPLIT(B550,"" "")"),"#VALUE!")</f>
        <v>#VALUE!</v>
      </c>
      <c r="E550" s="2" t="str">
        <f t="shared" si="2"/>
        <v>#VALUE!</v>
      </c>
      <c r="F550" s="2" t="str">
        <f>IFERROR(__xludf.DUMMYFUNCTION("SPLIT(E550,"" "")"),"#VALUE!")</f>
        <v>#VALUE!</v>
      </c>
      <c r="I550" s="2" t="str">
        <f t="shared" si="3"/>
        <v>271389 slfdb.bqt</v>
      </c>
      <c r="J550" s="2">
        <f>IFERROR(__xludf.DUMMYFUNCTION("SPLIT(I550,"" "")"),271389.0)</f>
        <v>271389</v>
      </c>
      <c r="K550" s="2" t="str">
        <f>IFERROR(__xludf.DUMMYFUNCTION("""COMPUTED_VALUE"""),"slfdb.bqt")</f>
        <v>slfdb.bqt</v>
      </c>
      <c r="M550" s="2" t="b">
        <f t="shared" si="4"/>
        <v>1</v>
      </c>
      <c r="N550" s="2">
        <f>IFERROR(__xludf.DUMMYFUNCTION("IF(AND(REGEXMATCH($G$4, ""cd""),M550),N549+J550)"),303760.0)</f>
        <v>303760</v>
      </c>
      <c r="O550" s="2" t="str">
        <f t="shared" si="5"/>
        <v>#N/A</v>
      </c>
    </row>
    <row r="551">
      <c r="A551" s="1" t="s">
        <v>329</v>
      </c>
      <c r="B551" s="2" t="str">
        <f t="shared" si="1"/>
        <v>#VALUE!</v>
      </c>
      <c r="C551" s="2" t="str">
        <f>IFERROR(__xludf.DUMMYFUNCTION("SPLIT(B551,"" "")"),"#VALUE!")</f>
        <v>#VALUE!</v>
      </c>
      <c r="E551" s="2" t="str">
        <f t="shared" si="2"/>
        <v>#VALUE!</v>
      </c>
      <c r="F551" s="2" t="str">
        <f>IFERROR(__xludf.DUMMYFUNCTION("SPLIT(E551,"" "")"),"#VALUE!")</f>
        <v>#VALUE!</v>
      </c>
      <c r="I551" s="2" t="str">
        <f t="shared" si="3"/>
        <v>270845 tchtnp.rsw</v>
      </c>
      <c r="J551" s="2">
        <f>IFERROR(__xludf.DUMMYFUNCTION("SPLIT(I551,"" "")"),270845.0)</f>
        <v>270845</v>
      </c>
      <c r="K551" s="2" t="str">
        <f>IFERROR(__xludf.DUMMYFUNCTION("""COMPUTED_VALUE"""),"tchtnp.rsw")</f>
        <v>tchtnp.rsw</v>
      </c>
      <c r="M551" s="2" t="b">
        <f t="shared" si="4"/>
        <v>1</v>
      </c>
      <c r="N551" s="2">
        <f>IFERROR(__xludf.DUMMYFUNCTION("IF(AND(REGEXMATCH($G$4, ""cd""),M551),N550+J551)"),574605.0)</f>
        <v>574605</v>
      </c>
      <c r="O551" s="2" t="str">
        <f t="shared" si="5"/>
        <v>#N/A</v>
      </c>
    </row>
    <row r="552">
      <c r="A552" s="1" t="s">
        <v>330</v>
      </c>
      <c r="B552" s="2" t="str">
        <f t="shared" si="1"/>
        <v>#VALUE!</v>
      </c>
      <c r="C552" s="2" t="str">
        <f>IFERROR(__xludf.DUMMYFUNCTION("SPLIT(B552,"" "")"),"#VALUE!")</f>
        <v>#VALUE!</v>
      </c>
      <c r="E552" s="2" t="str">
        <f t="shared" si="2"/>
        <v>#VALUE!</v>
      </c>
      <c r="F552" s="2" t="str">
        <f>IFERROR(__xludf.DUMMYFUNCTION("SPLIT(E552,"" "")"),"#VALUE!")</f>
        <v>#VALUE!</v>
      </c>
      <c r="I552" s="2" t="str">
        <f t="shared" si="3"/>
        <v>#VALUE!</v>
      </c>
      <c r="J552" s="2" t="str">
        <f>IFERROR(__xludf.DUMMYFUNCTION("SPLIT(I552,"" "")"),"#VALUE!")</f>
        <v>#VALUE!</v>
      </c>
      <c r="M552" s="2" t="b">
        <f t="shared" si="4"/>
        <v>0</v>
      </c>
      <c r="N552" s="2" t="b">
        <f>IFERROR(__xludf.DUMMYFUNCTION("IF(AND(REGEXMATCH($G$4, ""cd""),M552),N551+J552)"),FALSE)</f>
        <v>0</v>
      </c>
      <c r="O552" s="2" t="str">
        <f t="shared" si="5"/>
        <v>#N/A</v>
      </c>
    </row>
    <row r="553">
      <c r="A553" s="1" t="s">
        <v>331</v>
      </c>
      <c r="B553" s="2" t="str">
        <f t="shared" si="1"/>
        <v>#VALUE!</v>
      </c>
      <c r="C553" s="2" t="str">
        <f>IFERROR(__xludf.DUMMYFUNCTION("SPLIT(B553,"" "")"),"#VALUE!")</f>
        <v>#VALUE!</v>
      </c>
      <c r="E553" s="2" t="str">
        <f t="shared" si="2"/>
        <v>$ cd fzl</v>
      </c>
      <c r="F553" s="2" t="str">
        <f>IFERROR(__xludf.DUMMYFUNCTION("SPLIT(E553,"" "")"),"$")</f>
        <v>$</v>
      </c>
      <c r="G553" s="2" t="str">
        <f>IFERROR(__xludf.DUMMYFUNCTION("""COMPUTED_VALUE"""),"cd")</f>
        <v>cd</v>
      </c>
      <c r="H553" s="2" t="str">
        <f>IFERROR(__xludf.DUMMYFUNCTION("""COMPUTED_VALUE"""),"fzl")</f>
        <v>fzl</v>
      </c>
      <c r="I553" s="2" t="str">
        <f t="shared" si="3"/>
        <v>#VALUE!</v>
      </c>
      <c r="J553" s="2" t="str">
        <f>IFERROR(__xludf.DUMMYFUNCTION("SPLIT(I553,"" "")"),"#VALUE!")</f>
        <v>#VALUE!</v>
      </c>
      <c r="M553" s="2" t="b">
        <f t="shared" si="4"/>
        <v>0</v>
      </c>
      <c r="N553" s="2" t="b">
        <f>IFERROR(__xludf.DUMMYFUNCTION("IF(AND(REGEXMATCH($G$4, ""cd""),M553),N552+J553)"),FALSE)</f>
        <v>0</v>
      </c>
      <c r="O553" s="2" t="str">
        <f t="shared" si="5"/>
        <v>#N/A</v>
      </c>
    </row>
    <row r="554">
      <c r="A554" s="1" t="s">
        <v>2</v>
      </c>
      <c r="B554" s="2" t="str">
        <f t="shared" si="1"/>
        <v>#VALUE!</v>
      </c>
      <c r="C554" s="2" t="str">
        <f>IFERROR(__xludf.DUMMYFUNCTION("SPLIT(B554,"" "")"),"#VALUE!")</f>
        <v>#VALUE!</v>
      </c>
      <c r="E554" s="2" t="str">
        <f t="shared" si="2"/>
        <v>#VALUE!</v>
      </c>
      <c r="F554" s="2" t="str">
        <f>IFERROR(__xludf.DUMMYFUNCTION("SPLIT(E554,"" "")"),"#VALUE!")</f>
        <v>#VALUE!</v>
      </c>
      <c r="I554" s="2" t="str">
        <f t="shared" si="3"/>
        <v>#VALUE!</v>
      </c>
      <c r="J554" s="2" t="str">
        <f>IFERROR(__xludf.DUMMYFUNCTION("SPLIT(I554,"" "")"),"#VALUE!")</f>
        <v>#VALUE!</v>
      </c>
      <c r="M554" s="2" t="b">
        <f t="shared" si="4"/>
        <v>0</v>
      </c>
      <c r="N554" s="2" t="b">
        <f>IFERROR(__xludf.DUMMYFUNCTION("IF(AND(REGEXMATCH($G$4, ""cd""),M554),N553+J554)"),FALSE)</f>
        <v>0</v>
      </c>
      <c r="O554" s="2" t="str">
        <f t="shared" si="5"/>
        <v>#N/A</v>
      </c>
    </row>
    <row r="555">
      <c r="A555" s="1" t="s">
        <v>332</v>
      </c>
      <c r="B555" s="2" t="str">
        <f t="shared" si="1"/>
        <v>#VALUE!</v>
      </c>
      <c r="C555" s="2" t="str">
        <f>IFERROR(__xludf.DUMMYFUNCTION("SPLIT(B555,"" "")"),"#VALUE!")</f>
        <v>#VALUE!</v>
      </c>
      <c r="E555" s="2" t="str">
        <f t="shared" si="2"/>
        <v>#VALUE!</v>
      </c>
      <c r="F555" s="2" t="str">
        <f>IFERROR(__xludf.DUMMYFUNCTION("SPLIT(E555,"" "")"),"#VALUE!")</f>
        <v>#VALUE!</v>
      </c>
      <c r="I555" s="2" t="str">
        <f t="shared" si="3"/>
        <v>#VALUE!</v>
      </c>
      <c r="J555" s="2" t="str">
        <f>IFERROR(__xludf.DUMMYFUNCTION("SPLIT(I555,"" "")"),"#VALUE!")</f>
        <v>#VALUE!</v>
      </c>
      <c r="M555" s="2" t="b">
        <f t="shared" si="4"/>
        <v>0</v>
      </c>
      <c r="N555" s="2" t="b">
        <f>IFERROR(__xludf.DUMMYFUNCTION("IF(AND(REGEXMATCH($G$4, ""cd""),M555),N554+J555)"),FALSE)</f>
        <v>0</v>
      </c>
      <c r="O555" s="2" t="str">
        <f t="shared" si="5"/>
        <v>#N/A</v>
      </c>
    </row>
    <row r="556">
      <c r="A556" s="1" t="s">
        <v>17</v>
      </c>
      <c r="B556" s="2" t="str">
        <f t="shared" si="1"/>
        <v>#VALUE!</v>
      </c>
      <c r="C556" s="2" t="str">
        <f>IFERROR(__xludf.DUMMYFUNCTION("SPLIT(B556,"" "")"),"#VALUE!")</f>
        <v>#VALUE!</v>
      </c>
      <c r="E556" s="2" t="str">
        <f t="shared" si="2"/>
        <v>$ cd ..</v>
      </c>
      <c r="F556" s="2" t="str">
        <f>IFERROR(__xludf.DUMMYFUNCTION("SPLIT(E556,"" "")"),"$")</f>
        <v>$</v>
      </c>
      <c r="G556" s="2" t="str">
        <f>IFERROR(__xludf.DUMMYFUNCTION("""COMPUTED_VALUE"""),"cd")</f>
        <v>cd</v>
      </c>
      <c r="H556" s="2" t="str">
        <f>IFERROR(__xludf.DUMMYFUNCTION("""COMPUTED_VALUE"""),"..")</f>
        <v>..</v>
      </c>
      <c r="I556" s="2" t="str">
        <f t="shared" si="3"/>
        <v>$ cd ..</v>
      </c>
      <c r="J556" s="2" t="str">
        <f>IFERROR(__xludf.DUMMYFUNCTION("SPLIT(I556,"" "")"),"$")</f>
        <v>$</v>
      </c>
      <c r="K556" s="2" t="str">
        <f>IFERROR(__xludf.DUMMYFUNCTION("""COMPUTED_VALUE"""),"cd")</f>
        <v>cd</v>
      </c>
      <c r="L556" s="2" t="str">
        <f>IFERROR(__xludf.DUMMYFUNCTION("""COMPUTED_VALUE"""),"..")</f>
        <v>..</v>
      </c>
      <c r="M556" s="2" t="b">
        <f t="shared" si="4"/>
        <v>0</v>
      </c>
      <c r="N556" s="2" t="b">
        <f>IFERROR(__xludf.DUMMYFUNCTION("IF(AND(REGEXMATCH($G$4, ""cd""),M556),N555+J556)"),FALSE)</f>
        <v>0</v>
      </c>
      <c r="O556" s="2" t="str">
        <f t="shared" si="5"/>
        <v>#N/A</v>
      </c>
    </row>
    <row r="557">
      <c r="A557" s="1" t="s">
        <v>17</v>
      </c>
      <c r="B557" s="2" t="str">
        <f t="shared" si="1"/>
        <v>#VALUE!</v>
      </c>
      <c r="C557" s="2" t="str">
        <f>IFERROR(__xludf.DUMMYFUNCTION("SPLIT(B557,"" "")"),"#VALUE!")</f>
        <v>#VALUE!</v>
      </c>
      <c r="E557" s="2" t="str">
        <f t="shared" si="2"/>
        <v>$ cd ..</v>
      </c>
      <c r="F557" s="2" t="str">
        <f>IFERROR(__xludf.DUMMYFUNCTION("SPLIT(E557,"" "")"),"$")</f>
        <v>$</v>
      </c>
      <c r="G557" s="2" t="str">
        <f>IFERROR(__xludf.DUMMYFUNCTION("""COMPUTED_VALUE"""),"cd")</f>
        <v>cd</v>
      </c>
      <c r="H557" s="2" t="str">
        <f>IFERROR(__xludf.DUMMYFUNCTION("""COMPUTED_VALUE"""),"..")</f>
        <v>..</v>
      </c>
      <c r="I557" s="2" t="str">
        <f t="shared" si="3"/>
        <v>$ cd ..</v>
      </c>
      <c r="J557" s="2" t="str">
        <f>IFERROR(__xludf.DUMMYFUNCTION("SPLIT(I557,"" "")"),"$")</f>
        <v>$</v>
      </c>
      <c r="K557" s="2" t="str">
        <f>IFERROR(__xludf.DUMMYFUNCTION("""COMPUTED_VALUE"""),"cd")</f>
        <v>cd</v>
      </c>
      <c r="L557" s="2" t="str">
        <f>IFERROR(__xludf.DUMMYFUNCTION("""COMPUTED_VALUE"""),"..")</f>
        <v>..</v>
      </c>
      <c r="M557" s="2" t="b">
        <f t="shared" si="4"/>
        <v>0</v>
      </c>
      <c r="N557" s="2" t="b">
        <f>IFERROR(__xludf.DUMMYFUNCTION("IF(AND(REGEXMATCH($G$4, ""cd""),M557),N556+J557)"),FALSE)</f>
        <v>0</v>
      </c>
      <c r="O557" s="2" t="str">
        <f t="shared" si="5"/>
        <v>#N/A</v>
      </c>
    </row>
    <row r="558">
      <c r="A558" s="1" t="s">
        <v>17</v>
      </c>
      <c r="B558" s="2" t="str">
        <f t="shared" si="1"/>
        <v>#VALUE!</v>
      </c>
      <c r="C558" s="2" t="str">
        <f>IFERROR(__xludf.DUMMYFUNCTION("SPLIT(B558,"" "")"),"#VALUE!")</f>
        <v>#VALUE!</v>
      </c>
      <c r="E558" s="2" t="str">
        <f t="shared" si="2"/>
        <v>$ cd ..</v>
      </c>
      <c r="F558" s="2" t="str">
        <f>IFERROR(__xludf.DUMMYFUNCTION("SPLIT(E558,"" "")"),"$")</f>
        <v>$</v>
      </c>
      <c r="G558" s="2" t="str">
        <f>IFERROR(__xludf.DUMMYFUNCTION("""COMPUTED_VALUE"""),"cd")</f>
        <v>cd</v>
      </c>
      <c r="H558" s="2" t="str">
        <f>IFERROR(__xludf.DUMMYFUNCTION("""COMPUTED_VALUE"""),"..")</f>
        <v>..</v>
      </c>
      <c r="I558" s="2" t="str">
        <f t="shared" si="3"/>
        <v>$ cd ..</v>
      </c>
      <c r="J558" s="2" t="str">
        <f>IFERROR(__xludf.DUMMYFUNCTION("SPLIT(I558,"" "")"),"$")</f>
        <v>$</v>
      </c>
      <c r="K558" s="2" t="str">
        <f>IFERROR(__xludf.DUMMYFUNCTION("""COMPUTED_VALUE"""),"cd")</f>
        <v>cd</v>
      </c>
      <c r="L558" s="2" t="str">
        <f>IFERROR(__xludf.DUMMYFUNCTION("""COMPUTED_VALUE"""),"..")</f>
        <v>..</v>
      </c>
      <c r="M558" s="2" t="b">
        <f t="shared" si="4"/>
        <v>0</v>
      </c>
      <c r="N558" s="2" t="b">
        <f>IFERROR(__xludf.DUMMYFUNCTION("IF(AND(REGEXMATCH($G$4, ""cd""),M558),N557+J558)"),FALSE)</f>
        <v>0</v>
      </c>
      <c r="O558" s="2" t="str">
        <f t="shared" si="5"/>
        <v>#N/A</v>
      </c>
    </row>
    <row r="559">
      <c r="A559" s="1" t="s">
        <v>17</v>
      </c>
      <c r="B559" s="2" t="str">
        <f t="shared" si="1"/>
        <v>#VALUE!</v>
      </c>
      <c r="C559" s="2" t="str">
        <f>IFERROR(__xludf.DUMMYFUNCTION("SPLIT(B559,"" "")"),"#VALUE!")</f>
        <v>#VALUE!</v>
      </c>
      <c r="E559" s="2" t="str">
        <f t="shared" si="2"/>
        <v>$ cd ..</v>
      </c>
      <c r="F559" s="2" t="str">
        <f>IFERROR(__xludf.DUMMYFUNCTION("SPLIT(E559,"" "")"),"$")</f>
        <v>$</v>
      </c>
      <c r="G559" s="2" t="str">
        <f>IFERROR(__xludf.DUMMYFUNCTION("""COMPUTED_VALUE"""),"cd")</f>
        <v>cd</v>
      </c>
      <c r="H559" s="2" t="str">
        <f>IFERROR(__xludf.DUMMYFUNCTION("""COMPUTED_VALUE"""),"..")</f>
        <v>..</v>
      </c>
      <c r="I559" s="2" t="str">
        <f t="shared" si="3"/>
        <v>$ cd ..</v>
      </c>
      <c r="J559" s="2" t="str">
        <f>IFERROR(__xludf.DUMMYFUNCTION("SPLIT(I559,"" "")"),"$")</f>
        <v>$</v>
      </c>
      <c r="K559" s="2" t="str">
        <f>IFERROR(__xludf.DUMMYFUNCTION("""COMPUTED_VALUE"""),"cd")</f>
        <v>cd</v>
      </c>
      <c r="L559" s="2" t="str">
        <f>IFERROR(__xludf.DUMMYFUNCTION("""COMPUTED_VALUE"""),"..")</f>
        <v>..</v>
      </c>
      <c r="M559" s="2" t="b">
        <f t="shared" si="4"/>
        <v>0</v>
      </c>
      <c r="N559" s="2" t="b">
        <f>IFERROR(__xludf.DUMMYFUNCTION("IF(AND(REGEXMATCH($G$4, ""cd""),M559),N558+J559)"),FALSE)</f>
        <v>0</v>
      </c>
      <c r="O559" s="2" t="str">
        <f t="shared" si="5"/>
        <v>#N/A</v>
      </c>
    </row>
    <row r="560">
      <c r="A560" s="1" t="s">
        <v>17</v>
      </c>
      <c r="B560" s="2" t="str">
        <f t="shared" si="1"/>
        <v>#VALUE!</v>
      </c>
      <c r="C560" s="2" t="str">
        <f>IFERROR(__xludf.DUMMYFUNCTION("SPLIT(B560,"" "")"),"#VALUE!")</f>
        <v>#VALUE!</v>
      </c>
      <c r="E560" s="2" t="str">
        <f t="shared" si="2"/>
        <v>$ cd ..</v>
      </c>
      <c r="F560" s="2" t="str">
        <f>IFERROR(__xludf.DUMMYFUNCTION("SPLIT(E560,"" "")"),"$")</f>
        <v>$</v>
      </c>
      <c r="G560" s="2" t="str">
        <f>IFERROR(__xludf.DUMMYFUNCTION("""COMPUTED_VALUE"""),"cd")</f>
        <v>cd</v>
      </c>
      <c r="H560" s="2" t="str">
        <f>IFERROR(__xludf.DUMMYFUNCTION("""COMPUTED_VALUE"""),"..")</f>
        <v>..</v>
      </c>
      <c r="I560" s="2" t="str">
        <f t="shared" si="3"/>
        <v>$ cd ..</v>
      </c>
      <c r="J560" s="2" t="str">
        <f>IFERROR(__xludf.DUMMYFUNCTION("SPLIT(I560,"" "")"),"$")</f>
        <v>$</v>
      </c>
      <c r="K560" s="2" t="str">
        <f>IFERROR(__xludf.DUMMYFUNCTION("""COMPUTED_VALUE"""),"cd")</f>
        <v>cd</v>
      </c>
      <c r="L560" s="2" t="str">
        <f>IFERROR(__xludf.DUMMYFUNCTION("""COMPUTED_VALUE"""),"..")</f>
        <v>..</v>
      </c>
      <c r="M560" s="2" t="b">
        <f t="shared" si="4"/>
        <v>0</v>
      </c>
      <c r="N560" s="2" t="b">
        <f>IFERROR(__xludf.DUMMYFUNCTION("IF(AND(REGEXMATCH($G$4, ""cd""),M560),N559+J560)"),FALSE)</f>
        <v>0</v>
      </c>
      <c r="O560" s="2" t="str">
        <f t="shared" si="5"/>
        <v>#N/A</v>
      </c>
    </row>
    <row r="561">
      <c r="A561" s="1" t="s">
        <v>333</v>
      </c>
      <c r="B561" s="2" t="str">
        <f t="shared" si="1"/>
        <v>#VALUE!</v>
      </c>
      <c r="C561" s="2" t="str">
        <f>IFERROR(__xludf.DUMMYFUNCTION("SPLIT(B561,"" "")"),"#VALUE!")</f>
        <v>#VALUE!</v>
      </c>
      <c r="E561" s="2" t="str">
        <f t="shared" si="2"/>
        <v>$ cd nzgprvw</v>
      </c>
      <c r="F561" s="2" t="str">
        <f>IFERROR(__xludf.DUMMYFUNCTION("SPLIT(E561,"" "")"),"$")</f>
        <v>$</v>
      </c>
      <c r="G561" s="2" t="str">
        <f>IFERROR(__xludf.DUMMYFUNCTION("""COMPUTED_VALUE"""),"cd")</f>
        <v>cd</v>
      </c>
      <c r="H561" s="2" t="str">
        <f>IFERROR(__xludf.DUMMYFUNCTION("""COMPUTED_VALUE"""),"nzgprvw")</f>
        <v>nzgprvw</v>
      </c>
      <c r="I561" s="2" t="str">
        <f t="shared" si="3"/>
        <v>#VALUE!</v>
      </c>
      <c r="J561" s="2" t="str">
        <f>IFERROR(__xludf.DUMMYFUNCTION("SPLIT(I561,"" "")"),"#VALUE!")</f>
        <v>#VALUE!</v>
      </c>
      <c r="M561" s="2" t="b">
        <f t="shared" si="4"/>
        <v>0</v>
      </c>
      <c r="N561" s="2" t="b">
        <f>IFERROR(__xludf.DUMMYFUNCTION("IF(AND(REGEXMATCH($G$4, ""cd""),M561),N560+J561)"),FALSE)</f>
        <v>0</v>
      </c>
      <c r="O561" s="2" t="str">
        <f t="shared" si="5"/>
        <v>#N/A</v>
      </c>
    </row>
    <row r="562">
      <c r="A562" s="1" t="s">
        <v>2</v>
      </c>
      <c r="B562" s="2" t="str">
        <f t="shared" si="1"/>
        <v>#VALUE!</v>
      </c>
      <c r="C562" s="2" t="str">
        <f>IFERROR(__xludf.DUMMYFUNCTION("SPLIT(B562,"" "")"),"#VALUE!")</f>
        <v>#VALUE!</v>
      </c>
      <c r="E562" s="2" t="str">
        <f t="shared" si="2"/>
        <v>#VALUE!</v>
      </c>
      <c r="F562" s="2" t="str">
        <f>IFERROR(__xludf.DUMMYFUNCTION("SPLIT(E562,"" "")"),"#VALUE!")</f>
        <v>#VALUE!</v>
      </c>
      <c r="I562" s="2" t="str">
        <f t="shared" si="3"/>
        <v>#VALUE!</v>
      </c>
      <c r="J562" s="2" t="str">
        <f>IFERROR(__xludf.DUMMYFUNCTION("SPLIT(I562,"" "")"),"#VALUE!")</f>
        <v>#VALUE!</v>
      </c>
      <c r="M562" s="2" t="b">
        <f t="shared" si="4"/>
        <v>0</v>
      </c>
      <c r="N562" s="2" t="b">
        <f>IFERROR(__xludf.DUMMYFUNCTION("IF(AND(REGEXMATCH($G$4, ""cd""),M562),N561+J562)"),FALSE)</f>
        <v>0</v>
      </c>
      <c r="O562" s="2" t="str">
        <f t="shared" si="5"/>
        <v>#N/A</v>
      </c>
    </row>
    <row r="563">
      <c r="A563" s="1" t="s">
        <v>334</v>
      </c>
      <c r="B563" s="2" t="str">
        <f t="shared" si="1"/>
        <v>dir hgfdbf</v>
      </c>
      <c r="C563" s="2" t="str">
        <f>IFERROR(__xludf.DUMMYFUNCTION("SPLIT(B563,"" "")"),"dir")</f>
        <v>dir</v>
      </c>
      <c r="D563" s="2" t="str">
        <f>IFERROR(__xludf.DUMMYFUNCTION("""COMPUTED_VALUE"""),"hgfdbf")</f>
        <v>hgfdbf</v>
      </c>
      <c r="E563" s="2" t="str">
        <f t="shared" si="2"/>
        <v>#VALUE!</v>
      </c>
      <c r="F563" s="2" t="str">
        <f>IFERROR(__xludf.DUMMYFUNCTION("SPLIT(E563,"" "")"),"#VALUE!")</f>
        <v>#VALUE!</v>
      </c>
      <c r="I563" s="2" t="str">
        <f t="shared" si="3"/>
        <v>#VALUE!</v>
      </c>
      <c r="J563" s="2" t="str">
        <f>IFERROR(__xludf.DUMMYFUNCTION("SPLIT(I563,"" "")"),"#VALUE!")</f>
        <v>#VALUE!</v>
      </c>
      <c r="M563" s="2" t="b">
        <f t="shared" si="4"/>
        <v>0</v>
      </c>
      <c r="N563" s="2" t="b">
        <f>IFERROR(__xludf.DUMMYFUNCTION("IF(AND(REGEXMATCH($G$4, ""cd""),M563),N562+J563)"),FALSE)</f>
        <v>0</v>
      </c>
      <c r="O563" s="2" t="str">
        <f t="shared" si="5"/>
        <v>#N/A</v>
      </c>
    </row>
    <row r="564">
      <c r="A564" s="1" t="s">
        <v>335</v>
      </c>
      <c r="B564" s="2" t="str">
        <f t="shared" si="1"/>
        <v>#VALUE!</v>
      </c>
      <c r="C564" s="2" t="str">
        <f>IFERROR(__xludf.DUMMYFUNCTION("SPLIT(B564,"" "")"),"#VALUE!")</f>
        <v>#VALUE!</v>
      </c>
      <c r="E564" s="2" t="str">
        <f t="shared" si="2"/>
        <v>218138 mpq.cdn</v>
      </c>
      <c r="F564" s="2">
        <f>IFERROR(__xludf.DUMMYFUNCTION("SPLIT(E564,"" "")"),218138.0)</f>
        <v>218138</v>
      </c>
      <c r="G564" s="2" t="str">
        <f>IFERROR(__xludf.DUMMYFUNCTION("""COMPUTED_VALUE"""),"mpq.cdn")</f>
        <v>mpq.cdn</v>
      </c>
      <c r="I564" s="2" t="str">
        <f t="shared" si="3"/>
        <v>218138 mpq.cdn</v>
      </c>
      <c r="J564" s="2">
        <f>IFERROR(__xludf.DUMMYFUNCTION("SPLIT(I564,"" "")"),218138.0)</f>
        <v>218138</v>
      </c>
      <c r="K564" s="2" t="str">
        <f>IFERROR(__xludf.DUMMYFUNCTION("""COMPUTED_VALUE"""),"mpq.cdn")</f>
        <v>mpq.cdn</v>
      </c>
      <c r="M564" s="2" t="b">
        <f t="shared" si="4"/>
        <v>1</v>
      </c>
      <c r="N564" s="2">
        <f>IFERROR(__xludf.DUMMYFUNCTION("IF(AND(REGEXMATCH($G$4, ""cd""),M564),N563+J564)"),218138.0)</f>
        <v>218138</v>
      </c>
      <c r="O564" s="2" t="str">
        <f t="shared" si="5"/>
        <v>#N/A</v>
      </c>
    </row>
    <row r="565">
      <c r="A565" s="1" t="s">
        <v>336</v>
      </c>
      <c r="B565" s="2" t="str">
        <f t="shared" si="1"/>
        <v>#VALUE!</v>
      </c>
      <c r="C565" s="2" t="str">
        <f>IFERROR(__xludf.DUMMYFUNCTION("SPLIT(B565,"" "")"),"#VALUE!")</f>
        <v>#VALUE!</v>
      </c>
      <c r="E565" s="2" t="str">
        <f t="shared" si="2"/>
        <v>#VALUE!</v>
      </c>
      <c r="F565" s="2" t="str">
        <f>IFERROR(__xludf.DUMMYFUNCTION("SPLIT(E565,"" "")"),"#VALUE!")</f>
        <v>#VALUE!</v>
      </c>
      <c r="I565" s="2" t="str">
        <f t="shared" si="3"/>
        <v>73419 slfdb.bqt</v>
      </c>
      <c r="J565" s="2">
        <f>IFERROR(__xludf.DUMMYFUNCTION("SPLIT(I565,"" "")"),73419.0)</f>
        <v>73419</v>
      </c>
      <c r="K565" s="2" t="str">
        <f>IFERROR(__xludf.DUMMYFUNCTION("""COMPUTED_VALUE"""),"slfdb.bqt")</f>
        <v>slfdb.bqt</v>
      </c>
      <c r="M565" s="2" t="b">
        <f t="shared" si="4"/>
        <v>1</v>
      </c>
      <c r="N565" s="2">
        <f>IFERROR(__xludf.DUMMYFUNCTION("IF(AND(REGEXMATCH($G$4, ""cd""),M565),N564+J565)"),291557.0)</f>
        <v>291557</v>
      </c>
      <c r="O565" s="2" t="str">
        <f t="shared" si="5"/>
        <v>#N/A</v>
      </c>
    </row>
    <row r="566">
      <c r="A566" s="1" t="s">
        <v>337</v>
      </c>
      <c r="B566" s="2" t="str">
        <f t="shared" si="1"/>
        <v>dir vfztvnjm</v>
      </c>
      <c r="C566" s="2" t="str">
        <f>IFERROR(__xludf.DUMMYFUNCTION("SPLIT(B566,"" "")"),"dir")</f>
        <v>dir</v>
      </c>
      <c r="D566" s="2" t="str">
        <f>IFERROR(__xludf.DUMMYFUNCTION("""COMPUTED_VALUE"""),"vfztvnjm")</f>
        <v>vfztvnjm</v>
      </c>
      <c r="E566" s="2" t="str">
        <f t="shared" si="2"/>
        <v>#VALUE!</v>
      </c>
      <c r="F566" s="2" t="str">
        <f>IFERROR(__xludf.DUMMYFUNCTION("SPLIT(E566,"" "")"),"#VALUE!")</f>
        <v>#VALUE!</v>
      </c>
      <c r="I566" s="2" t="str">
        <f t="shared" si="3"/>
        <v>#VALUE!</v>
      </c>
      <c r="J566" s="2" t="str">
        <f>IFERROR(__xludf.DUMMYFUNCTION("SPLIT(I566,"" "")"),"#VALUE!")</f>
        <v>#VALUE!</v>
      </c>
      <c r="M566" s="2" t="b">
        <f t="shared" si="4"/>
        <v>0</v>
      </c>
      <c r="N566" s="2" t="b">
        <f>IFERROR(__xludf.DUMMYFUNCTION("IF(AND(REGEXMATCH($G$4, ""cd""),M566),N565+J566)"),FALSE)</f>
        <v>0</v>
      </c>
      <c r="O566" s="2" t="str">
        <f t="shared" si="5"/>
        <v>#N/A</v>
      </c>
    </row>
    <row r="567">
      <c r="A567" s="1" t="s">
        <v>338</v>
      </c>
      <c r="B567" s="2" t="str">
        <f t="shared" si="1"/>
        <v>#VALUE!</v>
      </c>
      <c r="C567" s="2" t="str">
        <f>IFERROR(__xludf.DUMMYFUNCTION("SPLIT(B567,"" "")"),"#VALUE!")</f>
        <v>#VALUE!</v>
      </c>
      <c r="E567" s="2" t="str">
        <f t="shared" si="2"/>
        <v>#VALUE!</v>
      </c>
      <c r="F567" s="2" t="str">
        <f>IFERROR(__xludf.DUMMYFUNCTION("SPLIT(E567,"" "")"),"#VALUE!")</f>
        <v>#VALUE!</v>
      </c>
      <c r="I567" s="2" t="str">
        <f t="shared" si="3"/>
        <v>269866 wldptfv.bbb</v>
      </c>
      <c r="J567" s="2">
        <f>IFERROR(__xludf.DUMMYFUNCTION("SPLIT(I567,"" "")"),269866.0)</f>
        <v>269866</v>
      </c>
      <c r="K567" s="2" t="str">
        <f>IFERROR(__xludf.DUMMYFUNCTION("""COMPUTED_VALUE"""),"wldptfv.bbb")</f>
        <v>wldptfv.bbb</v>
      </c>
      <c r="M567" s="2" t="b">
        <f t="shared" si="4"/>
        <v>1</v>
      </c>
      <c r="N567" s="2">
        <f>IFERROR(__xludf.DUMMYFUNCTION("IF(AND(REGEXMATCH($G$4, ""cd""),M567),N566+J567)"),269866.0)</f>
        <v>269866</v>
      </c>
      <c r="O567" s="2" t="str">
        <f t="shared" si="5"/>
        <v>#N/A</v>
      </c>
    </row>
    <row r="568">
      <c r="A568" s="1" t="s">
        <v>339</v>
      </c>
      <c r="B568" s="2" t="str">
        <f t="shared" si="1"/>
        <v>dir zgdsgh</v>
      </c>
      <c r="C568" s="2" t="str">
        <f>IFERROR(__xludf.DUMMYFUNCTION("SPLIT(B568,"" "")"),"dir")</f>
        <v>dir</v>
      </c>
      <c r="D568" s="2" t="str">
        <f>IFERROR(__xludf.DUMMYFUNCTION("""COMPUTED_VALUE"""),"zgdsgh")</f>
        <v>zgdsgh</v>
      </c>
      <c r="E568" s="2" t="str">
        <f t="shared" si="2"/>
        <v>#VALUE!</v>
      </c>
      <c r="F568" s="2" t="str">
        <f>IFERROR(__xludf.DUMMYFUNCTION("SPLIT(E568,"" "")"),"#VALUE!")</f>
        <v>#VALUE!</v>
      </c>
      <c r="I568" s="2" t="str">
        <f t="shared" si="3"/>
        <v>#VALUE!</v>
      </c>
      <c r="J568" s="2" t="str">
        <f>IFERROR(__xludf.DUMMYFUNCTION("SPLIT(I568,"" "")"),"#VALUE!")</f>
        <v>#VALUE!</v>
      </c>
      <c r="M568" s="2" t="b">
        <f t="shared" si="4"/>
        <v>0</v>
      </c>
      <c r="N568" s="2" t="b">
        <f>IFERROR(__xludf.DUMMYFUNCTION("IF(AND(REGEXMATCH($G$4, ""cd""),M568),N567+J568)"),FALSE)</f>
        <v>0</v>
      </c>
      <c r="O568" s="2" t="str">
        <f t="shared" si="5"/>
        <v>#N/A</v>
      </c>
    </row>
    <row r="569">
      <c r="A569" s="1" t="s">
        <v>340</v>
      </c>
      <c r="B569" s="2" t="str">
        <f t="shared" si="1"/>
        <v>#VALUE!</v>
      </c>
      <c r="C569" s="2" t="str">
        <f>IFERROR(__xludf.DUMMYFUNCTION("SPLIT(B569,"" "")"),"#VALUE!")</f>
        <v>#VALUE!</v>
      </c>
      <c r="E569" s="2" t="str">
        <f t="shared" si="2"/>
        <v>$ cd hgfdbf</v>
      </c>
      <c r="F569" s="2" t="str">
        <f>IFERROR(__xludf.DUMMYFUNCTION("SPLIT(E569,"" "")"),"$")</f>
        <v>$</v>
      </c>
      <c r="G569" s="2" t="str">
        <f>IFERROR(__xludf.DUMMYFUNCTION("""COMPUTED_VALUE"""),"cd")</f>
        <v>cd</v>
      </c>
      <c r="H569" s="2" t="str">
        <f>IFERROR(__xludf.DUMMYFUNCTION("""COMPUTED_VALUE"""),"hgfdbf")</f>
        <v>hgfdbf</v>
      </c>
      <c r="I569" s="2" t="str">
        <f t="shared" si="3"/>
        <v>#VALUE!</v>
      </c>
      <c r="J569" s="2" t="str">
        <f>IFERROR(__xludf.DUMMYFUNCTION("SPLIT(I569,"" "")"),"#VALUE!")</f>
        <v>#VALUE!</v>
      </c>
      <c r="M569" s="2" t="b">
        <f t="shared" si="4"/>
        <v>0</v>
      </c>
      <c r="N569" s="2" t="b">
        <f>IFERROR(__xludf.DUMMYFUNCTION("IF(AND(REGEXMATCH($G$4, ""cd""),M569),N568+J569)"),FALSE)</f>
        <v>0</v>
      </c>
      <c r="O569" s="2" t="str">
        <f t="shared" si="5"/>
        <v>#N/A</v>
      </c>
    </row>
    <row r="570">
      <c r="A570" s="1" t="s">
        <v>2</v>
      </c>
      <c r="B570" s="2" t="str">
        <f t="shared" si="1"/>
        <v>#VALUE!</v>
      </c>
      <c r="C570" s="2" t="str">
        <f>IFERROR(__xludf.DUMMYFUNCTION("SPLIT(B570,"" "")"),"#VALUE!")</f>
        <v>#VALUE!</v>
      </c>
      <c r="E570" s="2" t="str">
        <f t="shared" si="2"/>
        <v>#VALUE!</v>
      </c>
      <c r="F570" s="2" t="str">
        <f>IFERROR(__xludf.DUMMYFUNCTION("SPLIT(E570,"" "")"),"#VALUE!")</f>
        <v>#VALUE!</v>
      </c>
      <c r="I570" s="2" t="str">
        <f t="shared" si="3"/>
        <v>#VALUE!</v>
      </c>
      <c r="J570" s="2" t="str">
        <f>IFERROR(__xludf.DUMMYFUNCTION("SPLIT(I570,"" "")"),"#VALUE!")</f>
        <v>#VALUE!</v>
      </c>
      <c r="M570" s="2" t="b">
        <f t="shared" si="4"/>
        <v>0</v>
      </c>
      <c r="N570" s="2" t="b">
        <f>IFERROR(__xludf.DUMMYFUNCTION("IF(AND(REGEXMATCH($G$4, ""cd""),M570),N569+J570)"),FALSE)</f>
        <v>0</v>
      </c>
      <c r="O570" s="2" t="str">
        <f t="shared" si="5"/>
        <v>#N/A</v>
      </c>
    </row>
    <row r="571">
      <c r="A571" s="1" t="s">
        <v>341</v>
      </c>
      <c r="B571" s="2" t="str">
        <f t="shared" si="1"/>
        <v>#VALUE!</v>
      </c>
      <c r="C571" s="2" t="str">
        <f>IFERROR(__xludf.DUMMYFUNCTION("SPLIT(B571,"" "")"),"#VALUE!")</f>
        <v>#VALUE!</v>
      </c>
      <c r="E571" s="2" t="str">
        <f t="shared" si="2"/>
        <v>#VALUE!</v>
      </c>
      <c r="F571" s="2" t="str">
        <f>IFERROR(__xludf.DUMMYFUNCTION("SPLIT(E571,"" "")"),"#VALUE!")</f>
        <v>#VALUE!</v>
      </c>
      <c r="I571" s="2" t="str">
        <f t="shared" si="3"/>
        <v>#VALUE!</v>
      </c>
      <c r="J571" s="2" t="str">
        <f>IFERROR(__xludf.DUMMYFUNCTION("SPLIT(I571,"" "")"),"#VALUE!")</f>
        <v>#VALUE!</v>
      </c>
      <c r="M571" s="2" t="b">
        <f t="shared" si="4"/>
        <v>0</v>
      </c>
      <c r="N571" s="2" t="b">
        <f>IFERROR(__xludf.DUMMYFUNCTION("IF(AND(REGEXMATCH($G$4, ""cd""),M571),N570+J571)"),FALSE)</f>
        <v>0</v>
      </c>
      <c r="O571" s="2" t="str">
        <f t="shared" si="5"/>
        <v>#N/A</v>
      </c>
    </row>
    <row r="572">
      <c r="A572" s="1" t="s">
        <v>342</v>
      </c>
      <c r="B572" s="2" t="str">
        <f t="shared" si="1"/>
        <v>#VALUE!</v>
      </c>
      <c r="C572" s="2" t="str">
        <f>IFERROR(__xludf.DUMMYFUNCTION("SPLIT(B572,"" "")"),"#VALUE!")</f>
        <v>#VALUE!</v>
      </c>
      <c r="E572" s="2" t="str">
        <f t="shared" si="2"/>
        <v>#VALUE!</v>
      </c>
      <c r="F572" s="2" t="str">
        <f>IFERROR(__xludf.DUMMYFUNCTION("SPLIT(E572,"" "")"),"#VALUE!")</f>
        <v>#VALUE!</v>
      </c>
      <c r="I572" s="2" t="str">
        <f t="shared" si="3"/>
        <v>#VALUE!</v>
      </c>
      <c r="J572" s="2" t="str">
        <f>IFERROR(__xludf.DUMMYFUNCTION("SPLIT(I572,"" "")"),"#VALUE!")</f>
        <v>#VALUE!</v>
      </c>
      <c r="M572" s="2" t="b">
        <f t="shared" si="4"/>
        <v>0</v>
      </c>
      <c r="N572" s="2" t="b">
        <f>IFERROR(__xludf.DUMMYFUNCTION("IF(AND(REGEXMATCH($G$4, ""cd""),M572),N571+J572)"),FALSE)</f>
        <v>0</v>
      </c>
      <c r="O572" s="2" t="str">
        <f t="shared" si="5"/>
        <v>#N/A</v>
      </c>
    </row>
    <row r="573">
      <c r="A573" s="1" t="s">
        <v>17</v>
      </c>
      <c r="B573" s="2" t="str">
        <f t="shared" si="1"/>
        <v>#VALUE!</v>
      </c>
      <c r="C573" s="2" t="str">
        <f>IFERROR(__xludf.DUMMYFUNCTION("SPLIT(B573,"" "")"),"#VALUE!")</f>
        <v>#VALUE!</v>
      </c>
      <c r="E573" s="2" t="str">
        <f t="shared" si="2"/>
        <v>$ cd ..</v>
      </c>
      <c r="F573" s="2" t="str">
        <f>IFERROR(__xludf.DUMMYFUNCTION("SPLIT(E573,"" "")"),"$")</f>
        <v>$</v>
      </c>
      <c r="G573" s="2" t="str">
        <f>IFERROR(__xludf.DUMMYFUNCTION("""COMPUTED_VALUE"""),"cd")</f>
        <v>cd</v>
      </c>
      <c r="H573" s="2" t="str">
        <f>IFERROR(__xludf.DUMMYFUNCTION("""COMPUTED_VALUE"""),"..")</f>
        <v>..</v>
      </c>
      <c r="I573" s="2" t="str">
        <f t="shared" si="3"/>
        <v>$ cd ..</v>
      </c>
      <c r="J573" s="2" t="str">
        <f>IFERROR(__xludf.DUMMYFUNCTION("SPLIT(I573,"" "")"),"$")</f>
        <v>$</v>
      </c>
      <c r="K573" s="2" t="str">
        <f>IFERROR(__xludf.DUMMYFUNCTION("""COMPUTED_VALUE"""),"cd")</f>
        <v>cd</v>
      </c>
      <c r="L573" s="2" t="str">
        <f>IFERROR(__xludf.DUMMYFUNCTION("""COMPUTED_VALUE"""),"..")</f>
        <v>..</v>
      </c>
      <c r="M573" s="2" t="b">
        <f t="shared" si="4"/>
        <v>0</v>
      </c>
      <c r="N573" s="2" t="b">
        <f>IFERROR(__xludf.DUMMYFUNCTION("IF(AND(REGEXMATCH($G$4, ""cd""),M573),N572+J573)"),FALSE)</f>
        <v>0</v>
      </c>
      <c r="O573" s="2" t="str">
        <f t="shared" si="5"/>
        <v>#N/A</v>
      </c>
    </row>
    <row r="574">
      <c r="A574" s="1" t="s">
        <v>343</v>
      </c>
      <c r="B574" s="2" t="str">
        <f t="shared" si="1"/>
        <v>#VALUE!</v>
      </c>
      <c r="C574" s="2" t="str">
        <f>IFERROR(__xludf.DUMMYFUNCTION("SPLIT(B574,"" "")"),"#VALUE!")</f>
        <v>#VALUE!</v>
      </c>
      <c r="E574" s="2" t="str">
        <f t="shared" si="2"/>
        <v>$ cd vfztvnjm</v>
      </c>
      <c r="F574" s="2" t="str">
        <f>IFERROR(__xludf.DUMMYFUNCTION("SPLIT(E574,"" "")"),"$")</f>
        <v>$</v>
      </c>
      <c r="G574" s="2" t="str">
        <f>IFERROR(__xludf.DUMMYFUNCTION("""COMPUTED_VALUE"""),"cd")</f>
        <v>cd</v>
      </c>
      <c r="H574" s="2" t="str">
        <f>IFERROR(__xludf.DUMMYFUNCTION("""COMPUTED_VALUE"""),"vfztvnjm")</f>
        <v>vfztvnjm</v>
      </c>
      <c r="I574" s="2" t="str">
        <f t="shared" si="3"/>
        <v>#VALUE!</v>
      </c>
      <c r="J574" s="2" t="str">
        <f>IFERROR(__xludf.DUMMYFUNCTION("SPLIT(I574,"" "")"),"#VALUE!")</f>
        <v>#VALUE!</v>
      </c>
      <c r="M574" s="2" t="b">
        <f t="shared" si="4"/>
        <v>0</v>
      </c>
      <c r="N574" s="2" t="b">
        <f>IFERROR(__xludf.DUMMYFUNCTION("IF(AND(REGEXMATCH($G$4, ""cd""),M574),N573+J574)"),FALSE)</f>
        <v>0</v>
      </c>
      <c r="O574" s="2" t="str">
        <f t="shared" si="5"/>
        <v>#N/A</v>
      </c>
    </row>
    <row r="575">
      <c r="A575" s="1" t="s">
        <v>2</v>
      </c>
      <c r="B575" s="2" t="str">
        <f t="shared" si="1"/>
        <v>#VALUE!</v>
      </c>
      <c r="C575" s="2" t="str">
        <f>IFERROR(__xludf.DUMMYFUNCTION("SPLIT(B575,"" "")"),"#VALUE!")</f>
        <v>#VALUE!</v>
      </c>
      <c r="E575" s="2" t="str">
        <f t="shared" si="2"/>
        <v>#VALUE!</v>
      </c>
      <c r="F575" s="2" t="str">
        <f>IFERROR(__xludf.DUMMYFUNCTION("SPLIT(E575,"" "")"),"#VALUE!")</f>
        <v>#VALUE!</v>
      </c>
      <c r="I575" s="2" t="str">
        <f t="shared" si="3"/>
        <v>#VALUE!</v>
      </c>
      <c r="J575" s="2" t="str">
        <f>IFERROR(__xludf.DUMMYFUNCTION("SPLIT(I575,"" "")"),"#VALUE!")</f>
        <v>#VALUE!</v>
      </c>
      <c r="M575" s="2" t="b">
        <f t="shared" si="4"/>
        <v>0</v>
      </c>
      <c r="N575" s="2" t="b">
        <f>IFERROR(__xludf.DUMMYFUNCTION("IF(AND(REGEXMATCH($G$4, ""cd""),M575),N574+J575)"),FALSE)</f>
        <v>0</v>
      </c>
      <c r="O575" s="2" t="str">
        <f t="shared" si="5"/>
        <v>#N/A</v>
      </c>
    </row>
    <row r="576">
      <c r="A576" s="1" t="s">
        <v>344</v>
      </c>
      <c r="B576" s="2" t="str">
        <f t="shared" si="1"/>
        <v>#VALUE!</v>
      </c>
      <c r="C576" s="2" t="str">
        <f>IFERROR(__xludf.DUMMYFUNCTION("SPLIT(B576,"" "")"),"#VALUE!")</f>
        <v>#VALUE!</v>
      </c>
      <c r="E576" s="2" t="str">
        <f t="shared" si="2"/>
        <v>#VALUE!</v>
      </c>
      <c r="F576" s="2" t="str">
        <f>IFERROR(__xludf.DUMMYFUNCTION("SPLIT(E576,"" "")"),"#VALUE!")</f>
        <v>#VALUE!</v>
      </c>
      <c r="I576" s="2" t="str">
        <f t="shared" si="3"/>
        <v>#VALUE!</v>
      </c>
      <c r="J576" s="2" t="str">
        <f>IFERROR(__xludf.DUMMYFUNCTION("SPLIT(I576,"" "")"),"#VALUE!")</f>
        <v>#VALUE!</v>
      </c>
      <c r="M576" s="2" t="b">
        <f t="shared" si="4"/>
        <v>0</v>
      </c>
      <c r="N576" s="2" t="b">
        <f>IFERROR(__xludf.DUMMYFUNCTION("IF(AND(REGEXMATCH($G$4, ""cd""),M576),N575+J576)"),FALSE)</f>
        <v>0</v>
      </c>
      <c r="O576" s="2" t="str">
        <f t="shared" si="5"/>
        <v>#N/A</v>
      </c>
    </row>
    <row r="577">
      <c r="A577" s="1" t="s">
        <v>345</v>
      </c>
      <c r="B577" s="2" t="str">
        <f t="shared" si="1"/>
        <v>#VALUE!</v>
      </c>
      <c r="C577" s="2" t="str">
        <f>IFERROR(__xludf.DUMMYFUNCTION("SPLIT(B577,"" "")"),"#VALUE!")</f>
        <v>#VALUE!</v>
      </c>
      <c r="E577" s="2" t="str">
        <f t="shared" si="2"/>
        <v>#VALUE!</v>
      </c>
      <c r="F577" s="2" t="str">
        <f>IFERROR(__xludf.DUMMYFUNCTION("SPLIT(E577,"" "")"),"#VALUE!")</f>
        <v>#VALUE!</v>
      </c>
      <c r="I577" s="2" t="str">
        <f t="shared" si="3"/>
        <v>#VALUE!</v>
      </c>
      <c r="J577" s="2" t="str">
        <f>IFERROR(__xludf.DUMMYFUNCTION("SPLIT(I577,"" "")"),"#VALUE!")</f>
        <v>#VALUE!</v>
      </c>
      <c r="M577" s="2" t="b">
        <f t="shared" si="4"/>
        <v>0</v>
      </c>
      <c r="N577" s="2" t="b">
        <f>IFERROR(__xludf.DUMMYFUNCTION("IF(AND(REGEXMATCH($G$4, ""cd""),M577),N576+J577)"),FALSE)</f>
        <v>0</v>
      </c>
      <c r="O577" s="2" t="str">
        <f t="shared" si="5"/>
        <v>#N/A</v>
      </c>
    </row>
    <row r="578">
      <c r="A578" s="1" t="s">
        <v>17</v>
      </c>
      <c r="B578" s="2" t="str">
        <f t="shared" si="1"/>
        <v>#VALUE!</v>
      </c>
      <c r="C578" s="2" t="str">
        <f>IFERROR(__xludf.DUMMYFUNCTION("SPLIT(B578,"" "")"),"#VALUE!")</f>
        <v>#VALUE!</v>
      </c>
      <c r="E578" s="2" t="str">
        <f t="shared" si="2"/>
        <v>$ cd ..</v>
      </c>
      <c r="F578" s="2" t="str">
        <f>IFERROR(__xludf.DUMMYFUNCTION("SPLIT(E578,"" "")"),"$")</f>
        <v>$</v>
      </c>
      <c r="G578" s="2" t="str">
        <f>IFERROR(__xludf.DUMMYFUNCTION("""COMPUTED_VALUE"""),"cd")</f>
        <v>cd</v>
      </c>
      <c r="H578" s="2" t="str">
        <f>IFERROR(__xludf.DUMMYFUNCTION("""COMPUTED_VALUE"""),"..")</f>
        <v>..</v>
      </c>
      <c r="I578" s="2" t="str">
        <f t="shared" si="3"/>
        <v>$ cd ..</v>
      </c>
      <c r="J578" s="2" t="str">
        <f>IFERROR(__xludf.DUMMYFUNCTION("SPLIT(I578,"" "")"),"$")</f>
        <v>$</v>
      </c>
      <c r="K578" s="2" t="str">
        <f>IFERROR(__xludf.DUMMYFUNCTION("""COMPUTED_VALUE"""),"cd")</f>
        <v>cd</v>
      </c>
      <c r="L578" s="2" t="str">
        <f>IFERROR(__xludf.DUMMYFUNCTION("""COMPUTED_VALUE"""),"..")</f>
        <v>..</v>
      </c>
      <c r="M578" s="2" t="b">
        <f t="shared" si="4"/>
        <v>0</v>
      </c>
      <c r="N578" s="2" t="b">
        <f>IFERROR(__xludf.DUMMYFUNCTION("IF(AND(REGEXMATCH($G$4, ""cd""),M578),N577+J578)"),FALSE)</f>
        <v>0</v>
      </c>
      <c r="O578" s="2" t="str">
        <f t="shared" si="5"/>
        <v>#N/A</v>
      </c>
    </row>
    <row r="579">
      <c r="A579" s="1" t="s">
        <v>346</v>
      </c>
      <c r="B579" s="2" t="str">
        <f t="shared" si="1"/>
        <v>#VALUE!</v>
      </c>
      <c r="C579" s="2" t="str">
        <f>IFERROR(__xludf.DUMMYFUNCTION("SPLIT(B579,"" "")"),"#VALUE!")</f>
        <v>#VALUE!</v>
      </c>
      <c r="E579" s="2" t="str">
        <f t="shared" si="2"/>
        <v>$ cd zgdsgh</v>
      </c>
      <c r="F579" s="2" t="str">
        <f>IFERROR(__xludf.DUMMYFUNCTION("SPLIT(E579,"" "")"),"$")</f>
        <v>$</v>
      </c>
      <c r="G579" s="2" t="str">
        <f>IFERROR(__xludf.DUMMYFUNCTION("""COMPUTED_VALUE"""),"cd")</f>
        <v>cd</v>
      </c>
      <c r="H579" s="2" t="str">
        <f>IFERROR(__xludf.DUMMYFUNCTION("""COMPUTED_VALUE"""),"zgdsgh")</f>
        <v>zgdsgh</v>
      </c>
      <c r="I579" s="2" t="str">
        <f t="shared" si="3"/>
        <v>#VALUE!</v>
      </c>
      <c r="J579" s="2" t="str">
        <f>IFERROR(__xludf.DUMMYFUNCTION("SPLIT(I579,"" "")"),"#VALUE!")</f>
        <v>#VALUE!</v>
      </c>
      <c r="M579" s="2" t="b">
        <f t="shared" si="4"/>
        <v>0</v>
      </c>
      <c r="N579" s="2" t="b">
        <f>IFERROR(__xludf.DUMMYFUNCTION("IF(AND(REGEXMATCH($G$4, ""cd""),M579),N578+J579)"),FALSE)</f>
        <v>0</v>
      </c>
      <c r="O579" s="2" t="str">
        <f t="shared" si="5"/>
        <v>#N/A</v>
      </c>
    </row>
    <row r="580">
      <c r="A580" s="1" t="s">
        <v>2</v>
      </c>
      <c r="B580" s="2" t="str">
        <f t="shared" si="1"/>
        <v>#VALUE!</v>
      </c>
      <c r="C580" s="2" t="str">
        <f>IFERROR(__xludf.DUMMYFUNCTION("SPLIT(B580,"" "")"),"#VALUE!")</f>
        <v>#VALUE!</v>
      </c>
      <c r="E580" s="2" t="str">
        <f t="shared" si="2"/>
        <v>#VALUE!</v>
      </c>
      <c r="F580" s="2" t="str">
        <f>IFERROR(__xludf.DUMMYFUNCTION("SPLIT(E580,"" "")"),"#VALUE!")</f>
        <v>#VALUE!</v>
      </c>
      <c r="I580" s="2" t="str">
        <f t="shared" si="3"/>
        <v>#VALUE!</v>
      </c>
      <c r="J580" s="2" t="str">
        <f>IFERROR(__xludf.DUMMYFUNCTION("SPLIT(I580,"" "")"),"#VALUE!")</f>
        <v>#VALUE!</v>
      </c>
      <c r="M580" s="2" t="b">
        <f t="shared" si="4"/>
        <v>0</v>
      </c>
      <c r="N580" s="2" t="b">
        <f>IFERROR(__xludf.DUMMYFUNCTION("IF(AND(REGEXMATCH($G$4, ""cd""),M580),N579+J580)"),FALSE)</f>
        <v>0</v>
      </c>
      <c r="O580" s="2" t="str">
        <f t="shared" si="5"/>
        <v>#N/A</v>
      </c>
    </row>
    <row r="581">
      <c r="A581" s="1" t="s">
        <v>347</v>
      </c>
      <c r="B581" s="2" t="str">
        <f t="shared" si="1"/>
        <v>#VALUE!</v>
      </c>
      <c r="C581" s="2" t="str">
        <f>IFERROR(__xludf.DUMMYFUNCTION("SPLIT(B581,"" "")"),"#VALUE!")</f>
        <v>#VALUE!</v>
      </c>
      <c r="E581" s="2" t="str">
        <f t="shared" si="2"/>
        <v>#VALUE!</v>
      </c>
      <c r="F581" s="2" t="str">
        <f>IFERROR(__xludf.DUMMYFUNCTION("SPLIT(E581,"" "")"),"#VALUE!")</f>
        <v>#VALUE!</v>
      </c>
      <c r="I581" s="2" t="str">
        <f t="shared" si="3"/>
        <v>194820 dhp.tgt</v>
      </c>
      <c r="J581" s="2">
        <f>IFERROR(__xludf.DUMMYFUNCTION("SPLIT(I581,"" "")"),194820.0)</f>
        <v>194820</v>
      </c>
      <c r="K581" s="2" t="str">
        <f>IFERROR(__xludf.DUMMYFUNCTION("""COMPUTED_VALUE"""),"dhp.tgt")</f>
        <v>dhp.tgt</v>
      </c>
      <c r="M581" s="2" t="b">
        <f t="shared" si="4"/>
        <v>1</v>
      </c>
      <c r="N581" s="2">
        <f>IFERROR(__xludf.DUMMYFUNCTION("IF(AND(REGEXMATCH($G$4, ""cd""),M581),N580+J581)"),194820.0)</f>
        <v>194820</v>
      </c>
      <c r="O581" s="2" t="str">
        <f t="shared" si="5"/>
        <v>#N/A</v>
      </c>
    </row>
    <row r="582">
      <c r="A582" s="1" t="s">
        <v>50</v>
      </c>
      <c r="B582" s="2" t="str">
        <f t="shared" si="1"/>
        <v>dir hlvpfw</v>
      </c>
      <c r="C582" s="2" t="str">
        <f>IFERROR(__xludf.DUMMYFUNCTION("SPLIT(B582,"" "")"),"dir")</f>
        <v>dir</v>
      </c>
      <c r="D582" s="2" t="str">
        <f>IFERROR(__xludf.DUMMYFUNCTION("""COMPUTED_VALUE"""),"hlvpfw")</f>
        <v>hlvpfw</v>
      </c>
      <c r="E582" s="2" t="str">
        <f t="shared" si="2"/>
        <v>#VALUE!</v>
      </c>
      <c r="F582" s="2" t="str">
        <f>IFERROR(__xludf.DUMMYFUNCTION("SPLIT(E582,"" "")"),"#VALUE!")</f>
        <v>#VALUE!</v>
      </c>
      <c r="I582" s="2" t="str">
        <f t="shared" si="3"/>
        <v>#VALUE!</v>
      </c>
      <c r="J582" s="2" t="str">
        <f>IFERROR(__xludf.DUMMYFUNCTION("SPLIT(I582,"" "")"),"#VALUE!")</f>
        <v>#VALUE!</v>
      </c>
      <c r="M582" s="2" t="b">
        <f t="shared" si="4"/>
        <v>0</v>
      </c>
      <c r="N582" s="2" t="b">
        <f>IFERROR(__xludf.DUMMYFUNCTION("IF(AND(REGEXMATCH($G$4, ""cd""),M582),N581+J582)"),FALSE)</f>
        <v>0</v>
      </c>
      <c r="O582" s="2" t="str">
        <f t="shared" si="5"/>
        <v>#N/A</v>
      </c>
    </row>
    <row r="583">
      <c r="A583" s="1" t="s">
        <v>348</v>
      </c>
      <c r="B583" s="2" t="str">
        <f t="shared" si="1"/>
        <v>dir sdllphqd</v>
      </c>
      <c r="C583" s="2" t="str">
        <f>IFERROR(__xludf.DUMMYFUNCTION("SPLIT(B583,"" "")"),"dir")</f>
        <v>dir</v>
      </c>
      <c r="D583" s="2" t="str">
        <f>IFERROR(__xludf.DUMMYFUNCTION("""COMPUTED_VALUE"""),"sdllphqd")</f>
        <v>sdllphqd</v>
      </c>
      <c r="E583" s="2" t="str">
        <f t="shared" si="2"/>
        <v>#VALUE!</v>
      </c>
      <c r="F583" s="2" t="str">
        <f>IFERROR(__xludf.DUMMYFUNCTION("SPLIT(E583,"" "")"),"#VALUE!")</f>
        <v>#VALUE!</v>
      </c>
      <c r="I583" s="2" t="str">
        <f t="shared" si="3"/>
        <v>#VALUE!</v>
      </c>
      <c r="J583" s="2" t="str">
        <f>IFERROR(__xludf.DUMMYFUNCTION("SPLIT(I583,"" "")"),"#VALUE!")</f>
        <v>#VALUE!</v>
      </c>
      <c r="M583" s="2" t="b">
        <f t="shared" si="4"/>
        <v>0</v>
      </c>
      <c r="N583" s="2" t="b">
        <f>IFERROR(__xludf.DUMMYFUNCTION("IF(AND(REGEXMATCH($G$4, ""cd""),M583),N582+J583)"),FALSE)</f>
        <v>0</v>
      </c>
      <c r="O583" s="2" t="str">
        <f t="shared" si="5"/>
        <v>#N/A</v>
      </c>
    </row>
    <row r="584">
      <c r="A584" s="1" t="s">
        <v>46</v>
      </c>
      <c r="B584" s="2" t="str">
        <f t="shared" si="1"/>
        <v>dir zcgrgff</v>
      </c>
      <c r="C584" s="2" t="str">
        <f>IFERROR(__xludf.DUMMYFUNCTION("SPLIT(B584,"" "")"),"dir")</f>
        <v>dir</v>
      </c>
      <c r="D584" s="2" t="str">
        <f>IFERROR(__xludf.DUMMYFUNCTION("""COMPUTED_VALUE"""),"zcgrgff")</f>
        <v>zcgrgff</v>
      </c>
      <c r="E584" s="2" t="str">
        <f t="shared" si="2"/>
        <v>#VALUE!</v>
      </c>
      <c r="F584" s="2" t="str">
        <f>IFERROR(__xludf.DUMMYFUNCTION("SPLIT(E584,"" "")"),"#VALUE!")</f>
        <v>#VALUE!</v>
      </c>
      <c r="I584" s="2" t="str">
        <f t="shared" si="3"/>
        <v>#VALUE!</v>
      </c>
      <c r="J584" s="2" t="str">
        <f>IFERROR(__xludf.DUMMYFUNCTION("SPLIT(I584,"" "")"),"#VALUE!")</f>
        <v>#VALUE!</v>
      </c>
      <c r="M584" s="2" t="b">
        <f t="shared" si="4"/>
        <v>0</v>
      </c>
      <c r="N584" s="2" t="b">
        <f>IFERROR(__xludf.DUMMYFUNCTION("IF(AND(REGEXMATCH($G$4, ""cd""),M584),N583+J584)"),FALSE)</f>
        <v>0</v>
      </c>
      <c r="O584" s="2" t="str">
        <f t="shared" si="5"/>
        <v>#N/A</v>
      </c>
    </row>
    <row r="585">
      <c r="A585" s="1" t="s">
        <v>52</v>
      </c>
      <c r="B585" s="2" t="str">
        <f t="shared" si="1"/>
        <v>#VALUE!</v>
      </c>
      <c r="C585" s="2" t="str">
        <f>IFERROR(__xludf.DUMMYFUNCTION("SPLIT(B585,"" "")"),"#VALUE!")</f>
        <v>#VALUE!</v>
      </c>
      <c r="E585" s="2" t="str">
        <f t="shared" si="2"/>
        <v>$ cd hlvpfw</v>
      </c>
      <c r="F585" s="2" t="str">
        <f>IFERROR(__xludf.DUMMYFUNCTION("SPLIT(E585,"" "")"),"$")</f>
        <v>$</v>
      </c>
      <c r="G585" s="2" t="str">
        <f>IFERROR(__xludf.DUMMYFUNCTION("""COMPUTED_VALUE"""),"cd")</f>
        <v>cd</v>
      </c>
      <c r="H585" s="2" t="str">
        <f>IFERROR(__xludf.DUMMYFUNCTION("""COMPUTED_VALUE"""),"hlvpfw")</f>
        <v>hlvpfw</v>
      </c>
      <c r="I585" s="2" t="str">
        <f t="shared" si="3"/>
        <v>#VALUE!</v>
      </c>
      <c r="J585" s="2" t="str">
        <f>IFERROR(__xludf.DUMMYFUNCTION("SPLIT(I585,"" "")"),"#VALUE!")</f>
        <v>#VALUE!</v>
      </c>
      <c r="M585" s="2" t="b">
        <f t="shared" si="4"/>
        <v>0</v>
      </c>
      <c r="N585" s="2" t="b">
        <f>IFERROR(__xludf.DUMMYFUNCTION("IF(AND(REGEXMATCH($G$4, ""cd""),M585),N584+J585)"),FALSE)</f>
        <v>0</v>
      </c>
      <c r="O585" s="2" t="str">
        <f t="shared" si="5"/>
        <v>#N/A</v>
      </c>
    </row>
    <row r="586">
      <c r="A586" s="1" t="s">
        <v>2</v>
      </c>
      <c r="B586" s="2" t="str">
        <f t="shared" si="1"/>
        <v>#VALUE!</v>
      </c>
      <c r="C586" s="2" t="str">
        <f>IFERROR(__xludf.DUMMYFUNCTION("SPLIT(B586,"" "")"),"#VALUE!")</f>
        <v>#VALUE!</v>
      </c>
      <c r="E586" s="2" t="str">
        <f t="shared" si="2"/>
        <v>#VALUE!</v>
      </c>
      <c r="F586" s="2" t="str">
        <f>IFERROR(__xludf.DUMMYFUNCTION("SPLIT(E586,"" "")"),"#VALUE!")</f>
        <v>#VALUE!</v>
      </c>
      <c r="I586" s="2" t="str">
        <f t="shared" si="3"/>
        <v>#VALUE!</v>
      </c>
      <c r="J586" s="2" t="str">
        <f>IFERROR(__xludf.DUMMYFUNCTION("SPLIT(I586,"" "")"),"#VALUE!")</f>
        <v>#VALUE!</v>
      </c>
      <c r="M586" s="2" t="b">
        <f t="shared" si="4"/>
        <v>0</v>
      </c>
      <c r="N586" s="2" t="b">
        <f>IFERROR(__xludf.DUMMYFUNCTION("IF(AND(REGEXMATCH($G$4, ""cd""),M586),N585+J586)"),FALSE)</f>
        <v>0</v>
      </c>
      <c r="O586" s="2" t="str">
        <f t="shared" si="5"/>
        <v>#N/A</v>
      </c>
    </row>
    <row r="587">
      <c r="A587" s="1" t="s">
        <v>349</v>
      </c>
      <c r="B587" s="2" t="str">
        <f t="shared" si="1"/>
        <v>#VALUE!</v>
      </c>
      <c r="C587" s="2" t="str">
        <f>IFERROR(__xludf.DUMMYFUNCTION("SPLIT(B587,"" "")"),"#VALUE!")</f>
        <v>#VALUE!</v>
      </c>
      <c r="E587" s="2" t="str">
        <f t="shared" si="2"/>
        <v>#VALUE!</v>
      </c>
      <c r="F587" s="2" t="str">
        <f>IFERROR(__xludf.DUMMYFUNCTION("SPLIT(E587,"" "")"),"#VALUE!")</f>
        <v>#VALUE!</v>
      </c>
      <c r="I587" s="2" t="str">
        <f t="shared" si="3"/>
        <v>#VALUE!</v>
      </c>
      <c r="J587" s="2" t="str">
        <f>IFERROR(__xludf.DUMMYFUNCTION("SPLIT(I587,"" "")"),"#VALUE!")</f>
        <v>#VALUE!</v>
      </c>
      <c r="M587" s="2" t="b">
        <f t="shared" si="4"/>
        <v>0</v>
      </c>
      <c r="N587" s="2" t="b">
        <f>IFERROR(__xludf.DUMMYFUNCTION("IF(AND(REGEXMATCH($G$4, ""cd""),M587),N586+J587)"),FALSE)</f>
        <v>0</v>
      </c>
      <c r="O587" s="2" t="str">
        <f t="shared" si="5"/>
        <v>#N/A</v>
      </c>
    </row>
    <row r="588">
      <c r="A588" s="1" t="s">
        <v>17</v>
      </c>
      <c r="B588" s="2" t="str">
        <f t="shared" si="1"/>
        <v>#VALUE!</v>
      </c>
      <c r="C588" s="2" t="str">
        <f>IFERROR(__xludf.DUMMYFUNCTION("SPLIT(B588,"" "")"),"#VALUE!")</f>
        <v>#VALUE!</v>
      </c>
      <c r="E588" s="2" t="str">
        <f t="shared" si="2"/>
        <v>$ cd ..</v>
      </c>
      <c r="F588" s="2" t="str">
        <f>IFERROR(__xludf.DUMMYFUNCTION("SPLIT(E588,"" "")"),"$")</f>
        <v>$</v>
      </c>
      <c r="G588" s="2" t="str">
        <f>IFERROR(__xludf.DUMMYFUNCTION("""COMPUTED_VALUE"""),"cd")</f>
        <v>cd</v>
      </c>
      <c r="H588" s="2" t="str">
        <f>IFERROR(__xludf.DUMMYFUNCTION("""COMPUTED_VALUE"""),"..")</f>
        <v>..</v>
      </c>
      <c r="I588" s="2" t="str">
        <f t="shared" si="3"/>
        <v>$ cd ..</v>
      </c>
      <c r="J588" s="2" t="str">
        <f>IFERROR(__xludf.DUMMYFUNCTION("SPLIT(I588,"" "")"),"$")</f>
        <v>$</v>
      </c>
      <c r="K588" s="2" t="str">
        <f>IFERROR(__xludf.DUMMYFUNCTION("""COMPUTED_VALUE"""),"cd")</f>
        <v>cd</v>
      </c>
      <c r="L588" s="2" t="str">
        <f>IFERROR(__xludf.DUMMYFUNCTION("""COMPUTED_VALUE"""),"..")</f>
        <v>..</v>
      </c>
      <c r="M588" s="2" t="b">
        <f t="shared" si="4"/>
        <v>0</v>
      </c>
      <c r="N588" s="2" t="b">
        <f>IFERROR(__xludf.DUMMYFUNCTION("IF(AND(REGEXMATCH($G$4, ""cd""),M588),N587+J588)"),FALSE)</f>
        <v>0</v>
      </c>
      <c r="O588" s="2" t="str">
        <f t="shared" si="5"/>
        <v>#N/A</v>
      </c>
    </row>
    <row r="589">
      <c r="A589" s="1" t="s">
        <v>350</v>
      </c>
      <c r="B589" s="2" t="str">
        <f t="shared" si="1"/>
        <v>#VALUE!</v>
      </c>
      <c r="C589" s="2" t="str">
        <f>IFERROR(__xludf.DUMMYFUNCTION("SPLIT(B589,"" "")"),"#VALUE!")</f>
        <v>#VALUE!</v>
      </c>
      <c r="E589" s="2" t="str">
        <f t="shared" si="2"/>
        <v>$ cd sdllphqd</v>
      </c>
      <c r="F589" s="2" t="str">
        <f>IFERROR(__xludf.DUMMYFUNCTION("SPLIT(E589,"" "")"),"$")</f>
        <v>$</v>
      </c>
      <c r="G589" s="2" t="str">
        <f>IFERROR(__xludf.DUMMYFUNCTION("""COMPUTED_VALUE"""),"cd")</f>
        <v>cd</v>
      </c>
      <c r="H589" s="2" t="str">
        <f>IFERROR(__xludf.DUMMYFUNCTION("""COMPUTED_VALUE"""),"sdllphqd")</f>
        <v>sdllphqd</v>
      </c>
      <c r="I589" s="2" t="str">
        <f t="shared" si="3"/>
        <v>#VALUE!</v>
      </c>
      <c r="J589" s="2" t="str">
        <f>IFERROR(__xludf.DUMMYFUNCTION("SPLIT(I589,"" "")"),"#VALUE!")</f>
        <v>#VALUE!</v>
      </c>
      <c r="M589" s="2" t="b">
        <f t="shared" si="4"/>
        <v>0</v>
      </c>
      <c r="N589" s="2" t="b">
        <f>IFERROR(__xludf.DUMMYFUNCTION("IF(AND(REGEXMATCH($G$4, ""cd""),M589),N588+J589)"),FALSE)</f>
        <v>0</v>
      </c>
      <c r="O589" s="2" t="str">
        <f t="shared" si="5"/>
        <v>#N/A</v>
      </c>
    </row>
    <row r="590">
      <c r="A590" s="1" t="s">
        <v>2</v>
      </c>
      <c r="B590" s="2" t="str">
        <f t="shared" si="1"/>
        <v>#VALUE!</v>
      </c>
      <c r="C590" s="2" t="str">
        <f>IFERROR(__xludf.DUMMYFUNCTION("SPLIT(B590,"" "")"),"#VALUE!")</f>
        <v>#VALUE!</v>
      </c>
      <c r="E590" s="2" t="str">
        <f t="shared" si="2"/>
        <v>#VALUE!</v>
      </c>
      <c r="F590" s="2" t="str">
        <f>IFERROR(__xludf.DUMMYFUNCTION("SPLIT(E590,"" "")"),"#VALUE!")</f>
        <v>#VALUE!</v>
      </c>
      <c r="I590" s="2" t="str">
        <f t="shared" si="3"/>
        <v>#VALUE!</v>
      </c>
      <c r="J590" s="2" t="str">
        <f>IFERROR(__xludf.DUMMYFUNCTION("SPLIT(I590,"" "")"),"#VALUE!")</f>
        <v>#VALUE!</v>
      </c>
      <c r="M590" s="2" t="b">
        <f t="shared" si="4"/>
        <v>0</v>
      </c>
      <c r="N590" s="2" t="b">
        <f>IFERROR(__xludf.DUMMYFUNCTION("IF(AND(REGEXMATCH($G$4, ""cd""),M590),N589+J590)"),FALSE)</f>
        <v>0</v>
      </c>
      <c r="O590" s="2" t="str">
        <f t="shared" si="5"/>
        <v>#N/A</v>
      </c>
    </row>
    <row r="591">
      <c r="A591" s="1" t="s">
        <v>351</v>
      </c>
      <c r="B591" s="2" t="str">
        <f t="shared" si="1"/>
        <v>#VALUE!</v>
      </c>
      <c r="C591" s="2" t="str">
        <f>IFERROR(__xludf.DUMMYFUNCTION("SPLIT(B591,"" "")"),"#VALUE!")</f>
        <v>#VALUE!</v>
      </c>
      <c r="E591" s="2" t="str">
        <f t="shared" si="2"/>
        <v>47133 mpq.cdn</v>
      </c>
      <c r="F591" s="2">
        <f>IFERROR(__xludf.DUMMYFUNCTION("SPLIT(E591,"" "")"),47133.0)</f>
        <v>47133</v>
      </c>
      <c r="G591" s="2" t="str">
        <f>IFERROR(__xludf.DUMMYFUNCTION("""COMPUTED_VALUE"""),"mpq.cdn")</f>
        <v>mpq.cdn</v>
      </c>
      <c r="I591" s="2" t="str">
        <f t="shared" si="3"/>
        <v>47133 mpq.cdn</v>
      </c>
      <c r="J591" s="2">
        <f>IFERROR(__xludf.DUMMYFUNCTION("SPLIT(I591,"" "")"),47133.0)</f>
        <v>47133</v>
      </c>
      <c r="K591" s="2" t="str">
        <f>IFERROR(__xludf.DUMMYFUNCTION("""COMPUTED_VALUE"""),"mpq.cdn")</f>
        <v>mpq.cdn</v>
      </c>
      <c r="M591" s="2" t="b">
        <f t="shared" si="4"/>
        <v>1</v>
      </c>
      <c r="N591" s="2">
        <f>IFERROR(__xludf.DUMMYFUNCTION("IF(AND(REGEXMATCH($G$4, ""cd""),M591),N590+J591)"),47133.0)</f>
        <v>47133</v>
      </c>
      <c r="O591" s="2" t="str">
        <f t="shared" si="5"/>
        <v>#N/A</v>
      </c>
    </row>
    <row r="592">
      <c r="A592" s="1" t="s">
        <v>17</v>
      </c>
      <c r="B592" s="2" t="str">
        <f t="shared" si="1"/>
        <v>#VALUE!</v>
      </c>
      <c r="C592" s="2" t="str">
        <f>IFERROR(__xludf.DUMMYFUNCTION("SPLIT(B592,"" "")"),"#VALUE!")</f>
        <v>#VALUE!</v>
      </c>
      <c r="E592" s="2" t="str">
        <f t="shared" si="2"/>
        <v>$ cd ..</v>
      </c>
      <c r="F592" s="2" t="str">
        <f>IFERROR(__xludf.DUMMYFUNCTION("SPLIT(E592,"" "")"),"$")</f>
        <v>$</v>
      </c>
      <c r="G592" s="2" t="str">
        <f>IFERROR(__xludf.DUMMYFUNCTION("""COMPUTED_VALUE"""),"cd")</f>
        <v>cd</v>
      </c>
      <c r="H592" s="2" t="str">
        <f>IFERROR(__xludf.DUMMYFUNCTION("""COMPUTED_VALUE"""),"..")</f>
        <v>..</v>
      </c>
      <c r="I592" s="2" t="str">
        <f t="shared" si="3"/>
        <v>$ cd ..</v>
      </c>
      <c r="J592" s="2" t="str">
        <f>IFERROR(__xludf.DUMMYFUNCTION("SPLIT(I592,"" "")"),"$")</f>
        <v>$</v>
      </c>
      <c r="K592" s="2" t="str">
        <f>IFERROR(__xludf.DUMMYFUNCTION("""COMPUTED_VALUE"""),"cd")</f>
        <v>cd</v>
      </c>
      <c r="L592" s="2" t="str">
        <f>IFERROR(__xludf.DUMMYFUNCTION("""COMPUTED_VALUE"""),"..")</f>
        <v>..</v>
      </c>
      <c r="M592" s="2" t="b">
        <f t="shared" si="4"/>
        <v>0</v>
      </c>
      <c r="N592" s="2" t="b">
        <f>IFERROR(__xludf.DUMMYFUNCTION("IF(AND(REGEXMATCH($G$4, ""cd""),M592),N591+J592)"),FALSE)</f>
        <v>0</v>
      </c>
      <c r="O592" s="2" t="str">
        <f t="shared" si="5"/>
        <v>#N/A</v>
      </c>
    </row>
    <row r="593">
      <c r="A593" s="1" t="s">
        <v>63</v>
      </c>
      <c r="B593" s="2" t="str">
        <f t="shared" si="1"/>
        <v>#VALUE!</v>
      </c>
      <c r="C593" s="2" t="str">
        <f>IFERROR(__xludf.DUMMYFUNCTION("SPLIT(B593,"" "")"),"#VALUE!")</f>
        <v>#VALUE!</v>
      </c>
      <c r="E593" s="2" t="str">
        <f t="shared" si="2"/>
        <v>$ cd zcgrgff</v>
      </c>
      <c r="F593" s="2" t="str">
        <f>IFERROR(__xludf.DUMMYFUNCTION("SPLIT(E593,"" "")"),"$")</f>
        <v>$</v>
      </c>
      <c r="G593" s="2" t="str">
        <f>IFERROR(__xludf.DUMMYFUNCTION("""COMPUTED_VALUE"""),"cd")</f>
        <v>cd</v>
      </c>
      <c r="H593" s="2" t="str">
        <f>IFERROR(__xludf.DUMMYFUNCTION("""COMPUTED_VALUE"""),"zcgrgff")</f>
        <v>zcgrgff</v>
      </c>
      <c r="I593" s="2" t="str">
        <f t="shared" si="3"/>
        <v>#VALUE!</v>
      </c>
      <c r="J593" s="2" t="str">
        <f>IFERROR(__xludf.DUMMYFUNCTION("SPLIT(I593,"" "")"),"#VALUE!")</f>
        <v>#VALUE!</v>
      </c>
      <c r="M593" s="2" t="b">
        <f t="shared" si="4"/>
        <v>0</v>
      </c>
      <c r="N593" s="2" t="b">
        <f>IFERROR(__xludf.DUMMYFUNCTION("IF(AND(REGEXMATCH($G$4, ""cd""),M593),N592+J593)"),FALSE)</f>
        <v>0</v>
      </c>
      <c r="O593" s="2" t="str">
        <f t="shared" si="5"/>
        <v>#N/A</v>
      </c>
    </row>
    <row r="594">
      <c r="A594" s="1" t="s">
        <v>2</v>
      </c>
      <c r="B594" s="2" t="str">
        <f t="shared" si="1"/>
        <v>#VALUE!</v>
      </c>
      <c r="C594" s="2" t="str">
        <f>IFERROR(__xludf.DUMMYFUNCTION("SPLIT(B594,"" "")"),"#VALUE!")</f>
        <v>#VALUE!</v>
      </c>
      <c r="E594" s="2" t="str">
        <f t="shared" si="2"/>
        <v>#VALUE!</v>
      </c>
      <c r="F594" s="2" t="str">
        <f>IFERROR(__xludf.DUMMYFUNCTION("SPLIT(E594,"" "")"),"#VALUE!")</f>
        <v>#VALUE!</v>
      </c>
      <c r="I594" s="2" t="str">
        <f t="shared" si="3"/>
        <v>#VALUE!</v>
      </c>
      <c r="J594" s="2" t="str">
        <f>IFERROR(__xludf.DUMMYFUNCTION("SPLIT(I594,"" "")"),"#VALUE!")</f>
        <v>#VALUE!</v>
      </c>
      <c r="M594" s="2" t="b">
        <f t="shared" si="4"/>
        <v>0</v>
      </c>
      <c r="N594" s="2" t="b">
        <f>IFERROR(__xludf.DUMMYFUNCTION("IF(AND(REGEXMATCH($G$4, ""cd""),M594),N593+J594)"),FALSE)</f>
        <v>0</v>
      </c>
      <c r="O594" s="2" t="str">
        <f t="shared" si="5"/>
        <v>#N/A</v>
      </c>
    </row>
    <row r="595">
      <c r="A595" s="1" t="s">
        <v>352</v>
      </c>
      <c r="B595" s="2" t="str">
        <f t="shared" si="1"/>
        <v>#VALUE!</v>
      </c>
      <c r="C595" s="2" t="str">
        <f>IFERROR(__xludf.DUMMYFUNCTION("SPLIT(B595,"" "")"),"#VALUE!")</f>
        <v>#VALUE!</v>
      </c>
      <c r="E595" s="2" t="str">
        <f t="shared" si="2"/>
        <v>#VALUE!</v>
      </c>
      <c r="F595" s="2" t="str">
        <f>IFERROR(__xludf.DUMMYFUNCTION("SPLIT(E595,"" "")"),"#VALUE!")</f>
        <v>#VALUE!</v>
      </c>
      <c r="I595" s="2" t="str">
        <f t="shared" si="3"/>
        <v>#VALUE!</v>
      </c>
      <c r="J595" s="2" t="str">
        <f>IFERROR(__xludf.DUMMYFUNCTION("SPLIT(I595,"" "")"),"#VALUE!")</f>
        <v>#VALUE!</v>
      </c>
      <c r="M595" s="2" t="b">
        <f t="shared" si="4"/>
        <v>0</v>
      </c>
      <c r="N595" s="2" t="b">
        <f>IFERROR(__xludf.DUMMYFUNCTION("IF(AND(REGEXMATCH($G$4, ""cd""),M595),N594+J595)"),FALSE)</f>
        <v>0</v>
      </c>
      <c r="O595" s="2" t="str">
        <f t="shared" si="5"/>
        <v>#N/A</v>
      </c>
    </row>
    <row r="596">
      <c r="A596" s="1" t="s">
        <v>17</v>
      </c>
      <c r="B596" s="2" t="str">
        <f t="shared" si="1"/>
        <v>#VALUE!</v>
      </c>
      <c r="C596" s="2" t="str">
        <f>IFERROR(__xludf.DUMMYFUNCTION("SPLIT(B596,"" "")"),"#VALUE!")</f>
        <v>#VALUE!</v>
      </c>
      <c r="E596" s="2" t="str">
        <f t="shared" si="2"/>
        <v>$ cd ..</v>
      </c>
      <c r="F596" s="2" t="str">
        <f>IFERROR(__xludf.DUMMYFUNCTION("SPLIT(E596,"" "")"),"$")</f>
        <v>$</v>
      </c>
      <c r="G596" s="2" t="str">
        <f>IFERROR(__xludf.DUMMYFUNCTION("""COMPUTED_VALUE"""),"cd")</f>
        <v>cd</v>
      </c>
      <c r="H596" s="2" t="str">
        <f>IFERROR(__xludf.DUMMYFUNCTION("""COMPUTED_VALUE"""),"..")</f>
        <v>..</v>
      </c>
      <c r="I596" s="2" t="str">
        <f t="shared" si="3"/>
        <v>$ cd ..</v>
      </c>
      <c r="J596" s="2" t="str">
        <f>IFERROR(__xludf.DUMMYFUNCTION("SPLIT(I596,"" "")"),"$")</f>
        <v>$</v>
      </c>
      <c r="K596" s="2" t="str">
        <f>IFERROR(__xludf.DUMMYFUNCTION("""COMPUTED_VALUE"""),"cd")</f>
        <v>cd</v>
      </c>
      <c r="L596" s="2" t="str">
        <f>IFERROR(__xludf.DUMMYFUNCTION("""COMPUTED_VALUE"""),"..")</f>
        <v>..</v>
      </c>
      <c r="M596" s="2" t="b">
        <f t="shared" si="4"/>
        <v>0</v>
      </c>
      <c r="N596" s="2" t="b">
        <f>IFERROR(__xludf.DUMMYFUNCTION("IF(AND(REGEXMATCH($G$4, ""cd""),M596),N595+J596)"),FALSE)</f>
        <v>0</v>
      </c>
      <c r="O596" s="2" t="str">
        <f t="shared" si="5"/>
        <v>#N/A</v>
      </c>
    </row>
    <row r="597">
      <c r="A597" s="1" t="s">
        <v>17</v>
      </c>
      <c r="B597" s="2" t="str">
        <f t="shared" si="1"/>
        <v>#VALUE!</v>
      </c>
      <c r="C597" s="2" t="str">
        <f>IFERROR(__xludf.DUMMYFUNCTION("SPLIT(B597,"" "")"),"#VALUE!")</f>
        <v>#VALUE!</v>
      </c>
      <c r="E597" s="2" t="str">
        <f t="shared" si="2"/>
        <v>$ cd ..</v>
      </c>
      <c r="F597" s="2" t="str">
        <f>IFERROR(__xludf.DUMMYFUNCTION("SPLIT(E597,"" "")"),"$")</f>
        <v>$</v>
      </c>
      <c r="G597" s="2" t="str">
        <f>IFERROR(__xludf.DUMMYFUNCTION("""COMPUTED_VALUE"""),"cd")</f>
        <v>cd</v>
      </c>
      <c r="H597" s="2" t="str">
        <f>IFERROR(__xludf.DUMMYFUNCTION("""COMPUTED_VALUE"""),"..")</f>
        <v>..</v>
      </c>
      <c r="I597" s="2" t="str">
        <f t="shared" si="3"/>
        <v>$ cd ..</v>
      </c>
      <c r="J597" s="2" t="str">
        <f>IFERROR(__xludf.DUMMYFUNCTION("SPLIT(I597,"" "")"),"$")</f>
        <v>$</v>
      </c>
      <c r="K597" s="2" t="str">
        <f>IFERROR(__xludf.DUMMYFUNCTION("""COMPUTED_VALUE"""),"cd")</f>
        <v>cd</v>
      </c>
      <c r="L597" s="2" t="str">
        <f>IFERROR(__xludf.DUMMYFUNCTION("""COMPUTED_VALUE"""),"..")</f>
        <v>..</v>
      </c>
      <c r="M597" s="2" t="b">
        <f t="shared" si="4"/>
        <v>0</v>
      </c>
      <c r="N597" s="2" t="b">
        <f>IFERROR(__xludf.DUMMYFUNCTION("IF(AND(REGEXMATCH($G$4, ""cd""),M597),N596+J597)"),FALSE)</f>
        <v>0</v>
      </c>
      <c r="O597" s="2" t="str">
        <f t="shared" si="5"/>
        <v>#N/A</v>
      </c>
    </row>
    <row r="598">
      <c r="A598" s="1" t="s">
        <v>17</v>
      </c>
      <c r="B598" s="2" t="str">
        <f t="shared" si="1"/>
        <v>#VALUE!</v>
      </c>
      <c r="C598" s="2" t="str">
        <f>IFERROR(__xludf.DUMMYFUNCTION("SPLIT(B598,"" "")"),"#VALUE!")</f>
        <v>#VALUE!</v>
      </c>
      <c r="E598" s="2" t="str">
        <f t="shared" si="2"/>
        <v>$ cd ..</v>
      </c>
      <c r="F598" s="2" t="str">
        <f>IFERROR(__xludf.DUMMYFUNCTION("SPLIT(E598,"" "")"),"$")</f>
        <v>$</v>
      </c>
      <c r="G598" s="2" t="str">
        <f>IFERROR(__xludf.DUMMYFUNCTION("""COMPUTED_VALUE"""),"cd")</f>
        <v>cd</v>
      </c>
      <c r="H598" s="2" t="str">
        <f>IFERROR(__xludf.DUMMYFUNCTION("""COMPUTED_VALUE"""),"..")</f>
        <v>..</v>
      </c>
      <c r="I598" s="2" t="str">
        <f t="shared" si="3"/>
        <v>$ cd ..</v>
      </c>
      <c r="J598" s="2" t="str">
        <f>IFERROR(__xludf.DUMMYFUNCTION("SPLIT(I598,"" "")"),"$")</f>
        <v>$</v>
      </c>
      <c r="K598" s="2" t="str">
        <f>IFERROR(__xludf.DUMMYFUNCTION("""COMPUTED_VALUE"""),"cd")</f>
        <v>cd</v>
      </c>
      <c r="L598" s="2" t="str">
        <f>IFERROR(__xludf.DUMMYFUNCTION("""COMPUTED_VALUE"""),"..")</f>
        <v>..</v>
      </c>
      <c r="M598" s="2" t="b">
        <f t="shared" si="4"/>
        <v>0</v>
      </c>
      <c r="N598" s="2" t="b">
        <f>IFERROR(__xludf.DUMMYFUNCTION("IF(AND(REGEXMATCH($G$4, ""cd""),M598),N597+J598)"),FALSE)</f>
        <v>0</v>
      </c>
      <c r="O598" s="2" t="str">
        <f t="shared" si="5"/>
        <v>#N/A</v>
      </c>
    </row>
    <row r="599">
      <c r="A599" s="1" t="s">
        <v>353</v>
      </c>
      <c r="B599" s="2" t="str">
        <f t="shared" si="1"/>
        <v>#VALUE!</v>
      </c>
      <c r="C599" s="2" t="str">
        <f>IFERROR(__xludf.DUMMYFUNCTION("SPLIT(B599,"" "")"),"#VALUE!")</f>
        <v>#VALUE!</v>
      </c>
      <c r="E599" s="2" t="str">
        <f t="shared" si="2"/>
        <v>$ cd snwqjgj</v>
      </c>
      <c r="F599" s="2" t="str">
        <f>IFERROR(__xludf.DUMMYFUNCTION("SPLIT(E599,"" "")"),"$")</f>
        <v>$</v>
      </c>
      <c r="G599" s="2" t="str">
        <f>IFERROR(__xludf.DUMMYFUNCTION("""COMPUTED_VALUE"""),"cd")</f>
        <v>cd</v>
      </c>
      <c r="H599" s="2" t="str">
        <f>IFERROR(__xludf.DUMMYFUNCTION("""COMPUTED_VALUE"""),"snwqjgj")</f>
        <v>snwqjgj</v>
      </c>
      <c r="I599" s="2" t="str">
        <f t="shared" si="3"/>
        <v>#VALUE!</v>
      </c>
      <c r="J599" s="2" t="str">
        <f>IFERROR(__xludf.DUMMYFUNCTION("SPLIT(I599,"" "")"),"#VALUE!")</f>
        <v>#VALUE!</v>
      </c>
      <c r="M599" s="2" t="b">
        <f t="shared" si="4"/>
        <v>0</v>
      </c>
      <c r="N599" s="2" t="b">
        <f>IFERROR(__xludf.DUMMYFUNCTION("IF(AND(REGEXMATCH($G$4, ""cd""),M599),N598+J599)"),FALSE)</f>
        <v>0</v>
      </c>
      <c r="O599" s="2" t="str">
        <f t="shared" si="5"/>
        <v>#N/A</v>
      </c>
    </row>
    <row r="600">
      <c r="A600" s="1" t="s">
        <v>2</v>
      </c>
      <c r="B600" s="2" t="str">
        <f t="shared" si="1"/>
        <v>#VALUE!</v>
      </c>
      <c r="C600" s="2" t="str">
        <f>IFERROR(__xludf.DUMMYFUNCTION("SPLIT(B600,"" "")"),"#VALUE!")</f>
        <v>#VALUE!</v>
      </c>
      <c r="E600" s="2" t="str">
        <f t="shared" si="2"/>
        <v>#VALUE!</v>
      </c>
      <c r="F600" s="2" t="str">
        <f>IFERROR(__xludf.DUMMYFUNCTION("SPLIT(E600,"" "")"),"#VALUE!")</f>
        <v>#VALUE!</v>
      </c>
      <c r="I600" s="2" t="str">
        <f t="shared" si="3"/>
        <v>#VALUE!</v>
      </c>
      <c r="J600" s="2" t="str">
        <f>IFERROR(__xludf.DUMMYFUNCTION("SPLIT(I600,"" "")"),"#VALUE!")</f>
        <v>#VALUE!</v>
      </c>
      <c r="M600" s="2" t="b">
        <f t="shared" si="4"/>
        <v>0</v>
      </c>
      <c r="N600" s="2" t="b">
        <f>IFERROR(__xludf.DUMMYFUNCTION("IF(AND(REGEXMATCH($G$4, ""cd""),M600),N599+J600)"),FALSE)</f>
        <v>0</v>
      </c>
      <c r="O600" s="2" t="str">
        <f t="shared" si="5"/>
        <v>#N/A</v>
      </c>
    </row>
    <row r="601">
      <c r="A601" s="1" t="s">
        <v>39</v>
      </c>
      <c r="B601" s="2" t="str">
        <f t="shared" si="1"/>
        <v>dir slzdbm</v>
      </c>
      <c r="C601" s="2" t="str">
        <f>IFERROR(__xludf.DUMMYFUNCTION("SPLIT(B601,"" "")"),"dir")</f>
        <v>dir</v>
      </c>
      <c r="D601" s="2" t="str">
        <f>IFERROR(__xludf.DUMMYFUNCTION("""COMPUTED_VALUE"""),"slzdbm")</f>
        <v>slzdbm</v>
      </c>
      <c r="E601" s="2" t="str">
        <f t="shared" si="2"/>
        <v>#VALUE!</v>
      </c>
      <c r="F601" s="2" t="str">
        <f>IFERROR(__xludf.DUMMYFUNCTION("SPLIT(E601,"" "")"),"#VALUE!")</f>
        <v>#VALUE!</v>
      </c>
      <c r="I601" s="2" t="str">
        <f t="shared" si="3"/>
        <v>#VALUE!</v>
      </c>
      <c r="J601" s="2" t="str">
        <f>IFERROR(__xludf.DUMMYFUNCTION("SPLIT(I601,"" "")"),"#VALUE!")</f>
        <v>#VALUE!</v>
      </c>
      <c r="M601" s="2" t="b">
        <f t="shared" si="4"/>
        <v>0</v>
      </c>
      <c r="N601" s="2" t="b">
        <f>IFERROR(__xludf.DUMMYFUNCTION("IF(AND(REGEXMATCH($G$4, ""cd""),M601),N600+J601)"),FALSE)</f>
        <v>0</v>
      </c>
      <c r="O601" s="2" t="str">
        <f t="shared" si="5"/>
        <v>#N/A</v>
      </c>
    </row>
    <row r="602">
      <c r="A602" s="1" t="s">
        <v>46</v>
      </c>
      <c r="B602" s="2" t="str">
        <f t="shared" si="1"/>
        <v>dir zcgrgff</v>
      </c>
      <c r="C602" s="2" t="str">
        <f>IFERROR(__xludf.DUMMYFUNCTION("SPLIT(B602,"" "")"),"dir")</f>
        <v>dir</v>
      </c>
      <c r="D602" s="2" t="str">
        <f>IFERROR(__xludf.DUMMYFUNCTION("""COMPUTED_VALUE"""),"zcgrgff")</f>
        <v>zcgrgff</v>
      </c>
      <c r="E602" s="2" t="str">
        <f t="shared" si="2"/>
        <v>#VALUE!</v>
      </c>
      <c r="F602" s="2" t="str">
        <f>IFERROR(__xludf.DUMMYFUNCTION("SPLIT(E602,"" "")"),"#VALUE!")</f>
        <v>#VALUE!</v>
      </c>
      <c r="I602" s="2" t="str">
        <f t="shared" si="3"/>
        <v>#VALUE!</v>
      </c>
      <c r="J602" s="2" t="str">
        <f>IFERROR(__xludf.DUMMYFUNCTION("SPLIT(I602,"" "")"),"#VALUE!")</f>
        <v>#VALUE!</v>
      </c>
      <c r="M602" s="2" t="b">
        <f t="shared" si="4"/>
        <v>0</v>
      </c>
      <c r="N602" s="2" t="b">
        <f>IFERROR(__xludf.DUMMYFUNCTION("IF(AND(REGEXMATCH($G$4, ""cd""),M602),N601+J602)"),FALSE)</f>
        <v>0</v>
      </c>
      <c r="O602" s="2" t="str">
        <f t="shared" si="5"/>
        <v>#N/A</v>
      </c>
    </row>
    <row r="603">
      <c r="A603" s="1" t="s">
        <v>354</v>
      </c>
      <c r="B603" s="2" t="str">
        <f t="shared" si="1"/>
        <v>dir zldscsc</v>
      </c>
      <c r="C603" s="2" t="str">
        <f>IFERROR(__xludf.DUMMYFUNCTION("SPLIT(B603,"" "")"),"dir")</f>
        <v>dir</v>
      </c>
      <c r="D603" s="2" t="str">
        <f>IFERROR(__xludf.DUMMYFUNCTION("""COMPUTED_VALUE"""),"zldscsc")</f>
        <v>zldscsc</v>
      </c>
      <c r="E603" s="2" t="str">
        <f t="shared" si="2"/>
        <v>#VALUE!</v>
      </c>
      <c r="F603" s="2" t="str">
        <f>IFERROR(__xludf.DUMMYFUNCTION("SPLIT(E603,"" "")"),"#VALUE!")</f>
        <v>#VALUE!</v>
      </c>
      <c r="I603" s="2" t="str">
        <f t="shared" si="3"/>
        <v>#VALUE!</v>
      </c>
      <c r="J603" s="2" t="str">
        <f>IFERROR(__xludf.DUMMYFUNCTION("SPLIT(I603,"" "")"),"#VALUE!")</f>
        <v>#VALUE!</v>
      </c>
      <c r="M603" s="2" t="b">
        <f t="shared" si="4"/>
        <v>0</v>
      </c>
      <c r="N603" s="2" t="b">
        <f>IFERROR(__xludf.DUMMYFUNCTION("IF(AND(REGEXMATCH($G$4, ""cd""),M603),N602+J603)"),FALSE)</f>
        <v>0</v>
      </c>
      <c r="O603" s="2" t="str">
        <f t="shared" si="5"/>
        <v>#N/A</v>
      </c>
    </row>
    <row r="604">
      <c r="A604" s="1" t="s">
        <v>60</v>
      </c>
      <c r="B604" s="2" t="str">
        <f t="shared" si="1"/>
        <v>#VALUE!</v>
      </c>
      <c r="C604" s="2" t="str">
        <f>IFERROR(__xludf.DUMMYFUNCTION("SPLIT(B604,"" "")"),"#VALUE!")</f>
        <v>#VALUE!</v>
      </c>
      <c r="E604" s="2" t="str">
        <f t="shared" si="2"/>
        <v>$ cd slzdbm</v>
      </c>
      <c r="F604" s="2" t="str">
        <f>IFERROR(__xludf.DUMMYFUNCTION("SPLIT(E604,"" "")"),"$")</f>
        <v>$</v>
      </c>
      <c r="G604" s="2" t="str">
        <f>IFERROR(__xludf.DUMMYFUNCTION("""COMPUTED_VALUE"""),"cd")</f>
        <v>cd</v>
      </c>
      <c r="H604" s="2" t="str">
        <f>IFERROR(__xludf.DUMMYFUNCTION("""COMPUTED_VALUE"""),"slzdbm")</f>
        <v>slzdbm</v>
      </c>
      <c r="I604" s="2" t="str">
        <f t="shared" si="3"/>
        <v>#VALUE!</v>
      </c>
      <c r="J604" s="2" t="str">
        <f>IFERROR(__xludf.DUMMYFUNCTION("SPLIT(I604,"" "")"),"#VALUE!")</f>
        <v>#VALUE!</v>
      </c>
      <c r="M604" s="2" t="b">
        <f t="shared" si="4"/>
        <v>0</v>
      </c>
      <c r="N604" s="2" t="b">
        <f>IFERROR(__xludf.DUMMYFUNCTION("IF(AND(REGEXMATCH($G$4, ""cd""),M604),N603+J604)"),FALSE)</f>
        <v>0</v>
      </c>
      <c r="O604" s="2" t="str">
        <f t="shared" si="5"/>
        <v>#N/A</v>
      </c>
    </row>
    <row r="605">
      <c r="A605" s="1" t="s">
        <v>2</v>
      </c>
      <c r="B605" s="2" t="str">
        <f t="shared" si="1"/>
        <v>#VALUE!</v>
      </c>
      <c r="C605" s="2" t="str">
        <f>IFERROR(__xludf.DUMMYFUNCTION("SPLIT(B605,"" "")"),"#VALUE!")</f>
        <v>#VALUE!</v>
      </c>
      <c r="E605" s="2" t="str">
        <f t="shared" si="2"/>
        <v>#VALUE!</v>
      </c>
      <c r="F605" s="2" t="str">
        <f>IFERROR(__xludf.DUMMYFUNCTION("SPLIT(E605,"" "")"),"#VALUE!")</f>
        <v>#VALUE!</v>
      </c>
      <c r="I605" s="2" t="str">
        <f t="shared" si="3"/>
        <v>#VALUE!</v>
      </c>
      <c r="J605" s="2" t="str">
        <f>IFERROR(__xludf.DUMMYFUNCTION("SPLIT(I605,"" "")"),"#VALUE!")</f>
        <v>#VALUE!</v>
      </c>
      <c r="M605" s="2" t="b">
        <f t="shared" si="4"/>
        <v>0</v>
      </c>
      <c r="N605" s="2" t="b">
        <f>IFERROR(__xludf.DUMMYFUNCTION("IF(AND(REGEXMATCH($G$4, ""cd""),M605),N604+J605)"),FALSE)</f>
        <v>0</v>
      </c>
      <c r="O605" s="2" t="str">
        <f t="shared" si="5"/>
        <v>#N/A</v>
      </c>
    </row>
    <row r="606">
      <c r="A606" s="1" t="s">
        <v>355</v>
      </c>
      <c r="B606" s="2" t="str">
        <f t="shared" si="1"/>
        <v>#VALUE!</v>
      </c>
      <c r="C606" s="2" t="str">
        <f>IFERROR(__xludf.DUMMYFUNCTION("SPLIT(B606,"" "")"),"#VALUE!")</f>
        <v>#VALUE!</v>
      </c>
      <c r="E606" s="2" t="str">
        <f t="shared" si="2"/>
        <v>#VALUE!</v>
      </c>
      <c r="F606" s="2" t="str">
        <f>IFERROR(__xludf.DUMMYFUNCTION("SPLIT(E606,"" "")"),"#VALUE!")</f>
        <v>#VALUE!</v>
      </c>
      <c r="I606" s="2" t="str">
        <f t="shared" si="3"/>
        <v>21422 dplgjzvs.nrn</v>
      </c>
      <c r="J606" s="2">
        <f>IFERROR(__xludf.DUMMYFUNCTION("SPLIT(I606,"" "")"),21422.0)</f>
        <v>21422</v>
      </c>
      <c r="K606" s="2" t="str">
        <f>IFERROR(__xludf.DUMMYFUNCTION("""COMPUTED_VALUE"""),"dplgjzvs.nrn")</f>
        <v>dplgjzvs.nrn</v>
      </c>
      <c r="M606" s="2" t="b">
        <f t="shared" si="4"/>
        <v>1</v>
      </c>
      <c r="N606" s="2">
        <f>IFERROR(__xludf.DUMMYFUNCTION("IF(AND(REGEXMATCH($G$4, ""cd""),M606),N605+J606)"),21422.0)</f>
        <v>21422</v>
      </c>
      <c r="O606" s="2" t="str">
        <f t="shared" si="5"/>
        <v>#N/A</v>
      </c>
    </row>
    <row r="607">
      <c r="A607" s="1" t="s">
        <v>356</v>
      </c>
      <c r="B607" s="2" t="str">
        <f t="shared" si="1"/>
        <v>#VALUE!</v>
      </c>
      <c r="C607" s="2" t="str">
        <f>IFERROR(__xludf.DUMMYFUNCTION("SPLIT(B607,"" "")"),"#VALUE!")</f>
        <v>#VALUE!</v>
      </c>
      <c r="E607" s="2" t="str">
        <f t="shared" si="2"/>
        <v>#VALUE!</v>
      </c>
      <c r="F607" s="2" t="str">
        <f>IFERROR(__xludf.DUMMYFUNCTION("SPLIT(E607,"" "")"),"#VALUE!")</f>
        <v>#VALUE!</v>
      </c>
      <c r="I607" s="2" t="str">
        <f t="shared" si="3"/>
        <v>175310 zcgrgff.dfq</v>
      </c>
      <c r="J607" s="2">
        <f>IFERROR(__xludf.DUMMYFUNCTION("SPLIT(I607,"" "")"),175310.0)</f>
        <v>175310</v>
      </c>
      <c r="K607" s="2" t="str">
        <f>IFERROR(__xludf.DUMMYFUNCTION("""COMPUTED_VALUE"""),"zcgrgff.dfq")</f>
        <v>zcgrgff.dfq</v>
      </c>
      <c r="M607" s="2" t="b">
        <f t="shared" si="4"/>
        <v>1</v>
      </c>
      <c r="N607" s="2">
        <f>IFERROR(__xludf.DUMMYFUNCTION("IF(AND(REGEXMATCH($G$4, ""cd""),M607),N606+J607)"),196732.0)</f>
        <v>196732</v>
      </c>
      <c r="O607" s="2" t="str">
        <f t="shared" si="5"/>
        <v>#N/A</v>
      </c>
    </row>
    <row r="608">
      <c r="A608" s="1" t="s">
        <v>17</v>
      </c>
      <c r="B608" s="2" t="str">
        <f t="shared" si="1"/>
        <v>#VALUE!</v>
      </c>
      <c r="C608" s="2" t="str">
        <f>IFERROR(__xludf.DUMMYFUNCTION("SPLIT(B608,"" "")"),"#VALUE!")</f>
        <v>#VALUE!</v>
      </c>
      <c r="E608" s="2" t="str">
        <f t="shared" si="2"/>
        <v>$ cd ..</v>
      </c>
      <c r="F608" s="2" t="str">
        <f>IFERROR(__xludf.DUMMYFUNCTION("SPLIT(E608,"" "")"),"$")</f>
        <v>$</v>
      </c>
      <c r="G608" s="2" t="str">
        <f>IFERROR(__xludf.DUMMYFUNCTION("""COMPUTED_VALUE"""),"cd")</f>
        <v>cd</v>
      </c>
      <c r="H608" s="2" t="str">
        <f>IFERROR(__xludf.DUMMYFUNCTION("""COMPUTED_VALUE"""),"..")</f>
        <v>..</v>
      </c>
      <c r="I608" s="2" t="str">
        <f t="shared" si="3"/>
        <v>$ cd ..</v>
      </c>
      <c r="J608" s="2" t="str">
        <f>IFERROR(__xludf.DUMMYFUNCTION("SPLIT(I608,"" "")"),"$")</f>
        <v>$</v>
      </c>
      <c r="K608" s="2" t="str">
        <f>IFERROR(__xludf.DUMMYFUNCTION("""COMPUTED_VALUE"""),"cd")</f>
        <v>cd</v>
      </c>
      <c r="L608" s="2" t="str">
        <f>IFERROR(__xludf.DUMMYFUNCTION("""COMPUTED_VALUE"""),"..")</f>
        <v>..</v>
      </c>
      <c r="M608" s="2" t="b">
        <f t="shared" si="4"/>
        <v>0</v>
      </c>
      <c r="N608" s="2" t="b">
        <f>IFERROR(__xludf.DUMMYFUNCTION("IF(AND(REGEXMATCH($G$4, ""cd""),M608),N607+J608)"),FALSE)</f>
        <v>0</v>
      </c>
      <c r="O608" s="2" t="str">
        <f t="shared" si="5"/>
        <v>#N/A</v>
      </c>
    </row>
    <row r="609">
      <c r="A609" s="1" t="s">
        <v>63</v>
      </c>
      <c r="B609" s="2" t="str">
        <f t="shared" si="1"/>
        <v>#VALUE!</v>
      </c>
      <c r="C609" s="2" t="str">
        <f>IFERROR(__xludf.DUMMYFUNCTION("SPLIT(B609,"" "")"),"#VALUE!")</f>
        <v>#VALUE!</v>
      </c>
      <c r="E609" s="2" t="str">
        <f t="shared" si="2"/>
        <v>$ cd zcgrgff</v>
      </c>
      <c r="F609" s="2" t="str">
        <f>IFERROR(__xludf.DUMMYFUNCTION("SPLIT(E609,"" "")"),"$")</f>
        <v>$</v>
      </c>
      <c r="G609" s="2" t="str">
        <f>IFERROR(__xludf.DUMMYFUNCTION("""COMPUTED_VALUE"""),"cd")</f>
        <v>cd</v>
      </c>
      <c r="H609" s="2" t="str">
        <f>IFERROR(__xludf.DUMMYFUNCTION("""COMPUTED_VALUE"""),"zcgrgff")</f>
        <v>zcgrgff</v>
      </c>
      <c r="I609" s="2" t="str">
        <f t="shared" si="3"/>
        <v>#VALUE!</v>
      </c>
      <c r="J609" s="2" t="str">
        <f>IFERROR(__xludf.DUMMYFUNCTION("SPLIT(I609,"" "")"),"#VALUE!")</f>
        <v>#VALUE!</v>
      </c>
      <c r="M609" s="2" t="b">
        <f t="shared" si="4"/>
        <v>0</v>
      </c>
      <c r="N609" s="2" t="b">
        <f>IFERROR(__xludf.DUMMYFUNCTION("IF(AND(REGEXMATCH($G$4, ""cd""),M609),N608+J609)"),FALSE)</f>
        <v>0</v>
      </c>
      <c r="O609" s="2" t="str">
        <f t="shared" si="5"/>
        <v>#N/A</v>
      </c>
    </row>
    <row r="610">
      <c r="A610" s="1" t="s">
        <v>2</v>
      </c>
      <c r="B610" s="2" t="str">
        <f t="shared" si="1"/>
        <v>#VALUE!</v>
      </c>
      <c r="C610" s="2" t="str">
        <f>IFERROR(__xludf.DUMMYFUNCTION("SPLIT(B610,"" "")"),"#VALUE!")</f>
        <v>#VALUE!</v>
      </c>
      <c r="E610" s="2" t="str">
        <f t="shared" si="2"/>
        <v>#VALUE!</v>
      </c>
      <c r="F610" s="2" t="str">
        <f>IFERROR(__xludf.DUMMYFUNCTION("SPLIT(E610,"" "")"),"#VALUE!")</f>
        <v>#VALUE!</v>
      </c>
      <c r="I610" s="2" t="str">
        <f t="shared" si="3"/>
        <v>#VALUE!</v>
      </c>
      <c r="J610" s="2" t="str">
        <f>IFERROR(__xludf.DUMMYFUNCTION("SPLIT(I610,"" "")"),"#VALUE!")</f>
        <v>#VALUE!</v>
      </c>
      <c r="M610" s="2" t="b">
        <f t="shared" si="4"/>
        <v>0</v>
      </c>
      <c r="N610" s="2" t="b">
        <f>IFERROR(__xludf.DUMMYFUNCTION("IF(AND(REGEXMATCH($G$4, ""cd""),M610),N609+J610)"),FALSE)</f>
        <v>0</v>
      </c>
      <c r="O610" s="2" t="str">
        <f t="shared" si="5"/>
        <v>#N/A</v>
      </c>
    </row>
    <row r="611">
      <c r="A611" s="1" t="s">
        <v>357</v>
      </c>
      <c r="B611" s="2" t="str">
        <f t="shared" si="1"/>
        <v>dir rrfhvjf</v>
      </c>
      <c r="C611" s="2" t="str">
        <f>IFERROR(__xludf.DUMMYFUNCTION("SPLIT(B611,"" "")"),"dir")</f>
        <v>dir</v>
      </c>
      <c r="D611" s="2" t="str">
        <f>IFERROR(__xludf.DUMMYFUNCTION("""COMPUTED_VALUE"""),"rrfhvjf")</f>
        <v>rrfhvjf</v>
      </c>
      <c r="E611" s="2" t="str">
        <f t="shared" si="2"/>
        <v>#VALUE!</v>
      </c>
      <c r="F611" s="2" t="str">
        <f>IFERROR(__xludf.DUMMYFUNCTION("SPLIT(E611,"" "")"),"#VALUE!")</f>
        <v>#VALUE!</v>
      </c>
      <c r="I611" s="2" t="str">
        <f t="shared" si="3"/>
        <v>#VALUE!</v>
      </c>
      <c r="J611" s="2" t="str">
        <f>IFERROR(__xludf.DUMMYFUNCTION("SPLIT(I611,"" "")"),"#VALUE!")</f>
        <v>#VALUE!</v>
      </c>
      <c r="M611" s="2" t="b">
        <f t="shared" si="4"/>
        <v>0</v>
      </c>
      <c r="N611" s="2" t="b">
        <f>IFERROR(__xludf.DUMMYFUNCTION("IF(AND(REGEXMATCH($G$4, ""cd""),M611),N610+J611)"),FALSE)</f>
        <v>0</v>
      </c>
      <c r="O611" s="2" t="str">
        <f t="shared" si="5"/>
        <v>#N/A</v>
      </c>
    </row>
    <row r="612">
      <c r="A612" s="1" t="s">
        <v>358</v>
      </c>
      <c r="B612" s="2" t="str">
        <f t="shared" si="1"/>
        <v>#VALUE!</v>
      </c>
      <c r="C612" s="2" t="str">
        <f>IFERROR(__xludf.DUMMYFUNCTION("SPLIT(B612,"" "")"),"#VALUE!")</f>
        <v>#VALUE!</v>
      </c>
      <c r="E612" s="2" t="str">
        <f t="shared" si="2"/>
        <v>#VALUE!</v>
      </c>
      <c r="F612" s="2" t="str">
        <f>IFERROR(__xludf.DUMMYFUNCTION("SPLIT(E612,"" "")"),"#VALUE!")</f>
        <v>#VALUE!</v>
      </c>
      <c r="I612" s="2" t="str">
        <f t="shared" si="3"/>
        <v>275455 vwnvj.nhb</v>
      </c>
      <c r="J612" s="2">
        <f>IFERROR(__xludf.DUMMYFUNCTION("SPLIT(I612,"" "")"),275455.0)</f>
        <v>275455</v>
      </c>
      <c r="K612" s="2" t="str">
        <f>IFERROR(__xludf.DUMMYFUNCTION("""COMPUTED_VALUE"""),"vwnvj.nhb")</f>
        <v>vwnvj.nhb</v>
      </c>
      <c r="M612" s="2" t="b">
        <f t="shared" si="4"/>
        <v>1</v>
      </c>
      <c r="N612" s="2">
        <f>IFERROR(__xludf.DUMMYFUNCTION("IF(AND(REGEXMATCH($G$4, ""cd""),M612),N611+J612)"),275455.0)</f>
        <v>275455</v>
      </c>
      <c r="O612" s="2" t="str">
        <f t="shared" si="5"/>
        <v>#N/A</v>
      </c>
    </row>
    <row r="613">
      <c r="A613" s="1" t="s">
        <v>46</v>
      </c>
      <c r="B613" s="2" t="str">
        <f t="shared" si="1"/>
        <v>dir zcgrgff</v>
      </c>
      <c r="C613" s="2" t="str">
        <f>IFERROR(__xludf.DUMMYFUNCTION("SPLIT(B613,"" "")"),"dir")</f>
        <v>dir</v>
      </c>
      <c r="D613" s="2" t="str">
        <f>IFERROR(__xludf.DUMMYFUNCTION("""COMPUTED_VALUE"""),"zcgrgff")</f>
        <v>zcgrgff</v>
      </c>
      <c r="E613" s="2" t="str">
        <f t="shared" si="2"/>
        <v>#VALUE!</v>
      </c>
      <c r="F613" s="2" t="str">
        <f>IFERROR(__xludf.DUMMYFUNCTION("SPLIT(E613,"" "")"),"#VALUE!")</f>
        <v>#VALUE!</v>
      </c>
      <c r="I613" s="2" t="str">
        <f t="shared" si="3"/>
        <v>#VALUE!</v>
      </c>
      <c r="J613" s="2" t="str">
        <f>IFERROR(__xludf.DUMMYFUNCTION("SPLIT(I613,"" "")"),"#VALUE!")</f>
        <v>#VALUE!</v>
      </c>
      <c r="M613" s="2" t="b">
        <f t="shared" si="4"/>
        <v>0</v>
      </c>
      <c r="N613" s="2" t="b">
        <f>IFERROR(__xludf.DUMMYFUNCTION("IF(AND(REGEXMATCH($G$4, ""cd""),M613),N612+J613)"),FALSE)</f>
        <v>0</v>
      </c>
      <c r="O613" s="2" t="str">
        <f t="shared" si="5"/>
        <v>#N/A</v>
      </c>
    </row>
    <row r="614">
      <c r="A614" s="1" t="s">
        <v>359</v>
      </c>
      <c r="B614" s="2" t="str">
        <f t="shared" si="1"/>
        <v>#VALUE!</v>
      </c>
      <c r="C614" s="2" t="str">
        <f>IFERROR(__xludf.DUMMYFUNCTION("SPLIT(B614,"" "")"),"#VALUE!")</f>
        <v>#VALUE!</v>
      </c>
      <c r="E614" s="2" t="str">
        <f t="shared" si="2"/>
        <v>$ cd rrfhvjf</v>
      </c>
      <c r="F614" s="2" t="str">
        <f>IFERROR(__xludf.DUMMYFUNCTION("SPLIT(E614,"" "")"),"$")</f>
        <v>$</v>
      </c>
      <c r="G614" s="2" t="str">
        <f>IFERROR(__xludf.DUMMYFUNCTION("""COMPUTED_VALUE"""),"cd")</f>
        <v>cd</v>
      </c>
      <c r="H614" s="2" t="str">
        <f>IFERROR(__xludf.DUMMYFUNCTION("""COMPUTED_VALUE"""),"rrfhvjf")</f>
        <v>rrfhvjf</v>
      </c>
      <c r="I614" s="2" t="str">
        <f t="shared" si="3"/>
        <v>#VALUE!</v>
      </c>
      <c r="J614" s="2" t="str">
        <f>IFERROR(__xludf.DUMMYFUNCTION("SPLIT(I614,"" "")"),"#VALUE!")</f>
        <v>#VALUE!</v>
      </c>
      <c r="M614" s="2" t="b">
        <f t="shared" si="4"/>
        <v>0</v>
      </c>
      <c r="N614" s="2" t="b">
        <f>IFERROR(__xludf.DUMMYFUNCTION("IF(AND(REGEXMATCH($G$4, ""cd""),M614),N613+J614)"),FALSE)</f>
        <v>0</v>
      </c>
      <c r="O614" s="2" t="str">
        <f t="shared" si="5"/>
        <v>#N/A</v>
      </c>
    </row>
    <row r="615">
      <c r="A615" s="1" t="s">
        <v>2</v>
      </c>
      <c r="B615" s="2" t="str">
        <f t="shared" si="1"/>
        <v>#VALUE!</v>
      </c>
      <c r="C615" s="2" t="str">
        <f>IFERROR(__xludf.DUMMYFUNCTION("SPLIT(B615,"" "")"),"#VALUE!")</f>
        <v>#VALUE!</v>
      </c>
      <c r="E615" s="2" t="str">
        <f t="shared" si="2"/>
        <v>#VALUE!</v>
      </c>
      <c r="F615" s="2" t="str">
        <f>IFERROR(__xludf.DUMMYFUNCTION("SPLIT(E615,"" "")"),"#VALUE!")</f>
        <v>#VALUE!</v>
      </c>
      <c r="I615" s="2" t="str">
        <f t="shared" si="3"/>
        <v>#VALUE!</v>
      </c>
      <c r="J615" s="2" t="str">
        <f>IFERROR(__xludf.DUMMYFUNCTION("SPLIT(I615,"" "")"),"#VALUE!")</f>
        <v>#VALUE!</v>
      </c>
      <c r="M615" s="2" t="b">
        <f t="shared" si="4"/>
        <v>0</v>
      </c>
      <c r="N615" s="2" t="b">
        <f>IFERROR(__xludf.DUMMYFUNCTION("IF(AND(REGEXMATCH($G$4, ""cd""),M615),N614+J615)"),FALSE)</f>
        <v>0</v>
      </c>
      <c r="O615" s="2" t="str">
        <f t="shared" si="5"/>
        <v>#N/A</v>
      </c>
    </row>
    <row r="616">
      <c r="A616" s="1" t="s">
        <v>360</v>
      </c>
      <c r="B616" s="2" t="str">
        <f t="shared" si="1"/>
        <v>#VALUE!</v>
      </c>
      <c r="C616" s="2" t="str">
        <f>IFERROR(__xludf.DUMMYFUNCTION("SPLIT(B616,"" "")"),"#VALUE!")</f>
        <v>#VALUE!</v>
      </c>
      <c r="E616" s="2" t="str">
        <f t="shared" si="2"/>
        <v>#VALUE!</v>
      </c>
      <c r="F616" s="2" t="str">
        <f>IFERROR(__xludf.DUMMYFUNCTION("SPLIT(E616,"" "")"),"#VALUE!")</f>
        <v>#VALUE!</v>
      </c>
      <c r="I616" s="2" t="str">
        <f t="shared" si="3"/>
        <v>69149 mqmwv.jmr</v>
      </c>
      <c r="J616" s="2">
        <f>IFERROR(__xludf.DUMMYFUNCTION("SPLIT(I616,"" "")"),69149.0)</f>
        <v>69149</v>
      </c>
      <c r="K616" s="2" t="str">
        <f>IFERROR(__xludf.DUMMYFUNCTION("""COMPUTED_VALUE"""),"mqmwv.jmr")</f>
        <v>mqmwv.jmr</v>
      </c>
      <c r="M616" s="2" t="b">
        <f t="shared" si="4"/>
        <v>1</v>
      </c>
      <c r="N616" s="2">
        <f>IFERROR(__xludf.DUMMYFUNCTION("IF(AND(REGEXMATCH($G$4, ""cd""),M616),N615+J616)"),69149.0)</f>
        <v>69149</v>
      </c>
      <c r="O616" s="2" t="str">
        <f t="shared" si="5"/>
        <v>#N/A</v>
      </c>
    </row>
    <row r="617">
      <c r="A617" s="1" t="s">
        <v>17</v>
      </c>
      <c r="B617" s="2" t="str">
        <f t="shared" si="1"/>
        <v>#VALUE!</v>
      </c>
      <c r="C617" s="2" t="str">
        <f>IFERROR(__xludf.DUMMYFUNCTION("SPLIT(B617,"" "")"),"#VALUE!")</f>
        <v>#VALUE!</v>
      </c>
      <c r="E617" s="2" t="str">
        <f t="shared" si="2"/>
        <v>$ cd ..</v>
      </c>
      <c r="F617" s="2" t="str">
        <f>IFERROR(__xludf.DUMMYFUNCTION("SPLIT(E617,"" "")"),"$")</f>
        <v>$</v>
      </c>
      <c r="G617" s="2" t="str">
        <f>IFERROR(__xludf.DUMMYFUNCTION("""COMPUTED_VALUE"""),"cd")</f>
        <v>cd</v>
      </c>
      <c r="H617" s="2" t="str">
        <f>IFERROR(__xludf.DUMMYFUNCTION("""COMPUTED_VALUE"""),"..")</f>
        <v>..</v>
      </c>
      <c r="I617" s="2" t="str">
        <f t="shared" si="3"/>
        <v>$ cd ..</v>
      </c>
      <c r="J617" s="2" t="str">
        <f>IFERROR(__xludf.DUMMYFUNCTION("SPLIT(I617,"" "")"),"$")</f>
        <v>$</v>
      </c>
      <c r="K617" s="2" t="str">
        <f>IFERROR(__xludf.DUMMYFUNCTION("""COMPUTED_VALUE"""),"cd")</f>
        <v>cd</v>
      </c>
      <c r="L617" s="2" t="str">
        <f>IFERROR(__xludf.DUMMYFUNCTION("""COMPUTED_VALUE"""),"..")</f>
        <v>..</v>
      </c>
      <c r="M617" s="2" t="b">
        <f t="shared" si="4"/>
        <v>0</v>
      </c>
      <c r="N617" s="2" t="b">
        <f>IFERROR(__xludf.DUMMYFUNCTION("IF(AND(REGEXMATCH($G$4, ""cd""),M617),N616+J617)"),FALSE)</f>
        <v>0</v>
      </c>
      <c r="O617" s="2" t="str">
        <f t="shared" si="5"/>
        <v>#N/A</v>
      </c>
    </row>
    <row r="618">
      <c r="A618" s="1" t="s">
        <v>63</v>
      </c>
      <c r="B618" s="2" t="str">
        <f t="shared" si="1"/>
        <v>#VALUE!</v>
      </c>
      <c r="C618" s="2" t="str">
        <f>IFERROR(__xludf.DUMMYFUNCTION("SPLIT(B618,"" "")"),"#VALUE!")</f>
        <v>#VALUE!</v>
      </c>
      <c r="E618" s="2" t="str">
        <f t="shared" si="2"/>
        <v>$ cd zcgrgff</v>
      </c>
      <c r="F618" s="2" t="str">
        <f>IFERROR(__xludf.DUMMYFUNCTION("SPLIT(E618,"" "")"),"$")</f>
        <v>$</v>
      </c>
      <c r="G618" s="2" t="str">
        <f>IFERROR(__xludf.DUMMYFUNCTION("""COMPUTED_VALUE"""),"cd")</f>
        <v>cd</v>
      </c>
      <c r="H618" s="2" t="str">
        <f>IFERROR(__xludf.DUMMYFUNCTION("""COMPUTED_VALUE"""),"zcgrgff")</f>
        <v>zcgrgff</v>
      </c>
      <c r="I618" s="2" t="str">
        <f t="shared" si="3"/>
        <v>#VALUE!</v>
      </c>
      <c r="J618" s="2" t="str">
        <f>IFERROR(__xludf.DUMMYFUNCTION("SPLIT(I618,"" "")"),"#VALUE!")</f>
        <v>#VALUE!</v>
      </c>
      <c r="M618" s="2" t="b">
        <f t="shared" si="4"/>
        <v>0</v>
      </c>
      <c r="N618" s="2" t="b">
        <f>IFERROR(__xludf.DUMMYFUNCTION("IF(AND(REGEXMATCH($G$4, ""cd""),M618),N617+J618)"),FALSE)</f>
        <v>0</v>
      </c>
      <c r="O618" s="2" t="str">
        <f t="shared" si="5"/>
        <v>#N/A</v>
      </c>
    </row>
    <row r="619">
      <c r="A619" s="1" t="s">
        <v>2</v>
      </c>
      <c r="B619" s="2" t="str">
        <f t="shared" si="1"/>
        <v>#VALUE!</v>
      </c>
      <c r="C619" s="2" t="str">
        <f>IFERROR(__xludf.DUMMYFUNCTION("SPLIT(B619,"" "")"),"#VALUE!")</f>
        <v>#VALUE!</v>
      </c>
      <c r="E619" s="2" t="str">
        <f t="shared" si="2"/>
        <v>#VALUE!</v>
      </c>
      <c r="F619" s="2" t="str">
        <f>IFERROR(__xludf.DUMMYFUNCTION("SPLIT(E619,"" "")"),"#VALUE!")</f>
        <v>#VALUE!</v>
      </c>
      <c r="I619" s="2" t="str">
        <f t="shared" si="3"/>
        <v>#VALUE!</v>
      </c>
      <c r="J619" s="2" t="str">
        <f>IFERROR(__xludf.DUMMYFUNCTION("SPLIT(I619,"" "")"),"#VALUE!")</f>
        <v>#VALUE!</v>
      </c>
      <c r="M619" s="2" t="b">
        <f t="shared" si="4"/>
        <v>0</v>
      </c>
      <c r="N619" s="2" t="b">
        <f>IFERROR(__xludf.DUMMYFUNCTION("IF(AND(REGEXMATCH($G$4, ""cd""),M619),N618+J619)"),FALSE)</f>
        <v>0</v>
      </c>
      <c r="O619" s="2" t="str">
        <f t="shared" si="5"/>
        <v>#N/A</v>
      </c>
    </row>
    <row r="620">
      <c r="A620" s="1" t="s">
        <v>46</v>
      </c>
      <c r="B620" s="2" t="str">
        <f t="shared" si="1"/>
        <v>dir zcgrgff</v>
      </c>
      <c r="C620" s="2" t="str">
        <f>IFERROR(__xludf.DUMMYFUNCTION("SPLIT(B620,"" "")"),"dir")</f>
        <v>dir</v>
      </c>
      <c r="D620" s="2" t="str">
        <f>IFERROR(__xludf.DUMMYFUNCTION("""COMPUTED_VALUE"""),"zcgrgff")</f>
        <v>zcgrgff</v>
      </c>
      <c r="E620" s="2" t="str">
        <f t="shared" si="2"/>
        <v>#VALUE!</v>
      </c>
      <c r="F620" s="2" t="str">
        <f>IFERROR(__xludf.DUMMYFUNCTION("SPLIT(E620,"" "")"),"#VALUE!")</f>
        <v>#VALUE!</v>
      </c>
      <c r="I620" s="2" t="str">
        <f t="shared" si="3"/>
        <v>#VALUE!</v>
      </c>
      <c r="J620" s="2" t="str">
        <f>IFERROR(__xludf.DUMMYFUNCTION("SPLIT(I620,"" "")"),"#VALUE!")</f>
        <v>#VALUE!</v>
      </c>
      <c r="M620" s="2" t="b">
        <f t="shared" si="4"/>
        <v>0</v>
      </c>
      <c r="N620" s="2" t="b">
        <f>IFERROR(__xludf.DUMMYFUNCTION("IF(AND(REGEXMATCH($G$4, ""cd""),M620),N619+J620)"),FALSE)</f>
        <v>0</v>
      </c>
      <c r="O620" s="2" t="str">
        <f t="shared" si="5"/>
        <v>#N/A</v>
      </c>
    </row>
    <row r="621">
      <c r="A621" s="1" t="s">
        <v>63</v>
      </c>
      <c r="B621" s="2" t="str">
        <f t="shared" si="1"/>
        <v>#VALUE!</v>
      </c>
      <c r="C621" s="2" t="str">
        <f>IFERROR(__xludf.DUMMYFUNCTION("SPLIT(B621,"" "")"),"#VALUE!")</f>
        <v>#VALUE!</v>
      </c>
      <c r="E621" s="2" t="str">
        <f t="shared" si="2"/>
        <v>$ cd zcgrgff</v>
      </c>
      <c r="F621" s="2" t="str">
        <f>IFERROR(__xludf.DUMMYFUNCTION("SPLIT(E621,"" "")"),"$")</f>
        <v>$</v>
      </c>
      <c r="G621" s="2" t="str">
        <f>IFERROR(__xludf.DUMMYFUNCTION("""COMPUTED_VALUE"""),"cd")</f>
        <v>cd</v>
      </c>
      <c r="H621" s="2" t="str">
        <f>IFERROR(__xludf.DUMMYFUNCTION("""COMPUTED_VALUE"""),"zcgrgff")</f>
        <v>zcgrgff</v>
      </c>
      <c r="I621" s="2" t="str">
        <f t="shared" si="3"/>
        <v>#VALUE!</v>
      </c>
      <c r="J621" s="2" t="str">
        <f>IFERROR(__xludf.DUMMYFUNCTION("SPLIT(I621,"" "")"),"#VALUE!")</f>
        <v>#VALUE!</v>
      </c>
      <c r="M621" s="2" t="b">
        <f t="shared" si="4"/>
        <v>0</v>
      </c>
      <c r="N621" s="2" t="b">
        <f>IFERROR(__xludf.DUMMYFUNCTION("IF(AND(REGEXMATCH($G$4, ""cd""),M621),N620+J621)"),FALSE)</f>
        <v>0</v>
      </c>
      <c r="O621" s="2" t="str">
        <f t="shared" si="5"/>
        <v>#N/A</v>
      </c>
    </row>
    <row r="622">
      <c r="A622" s="1" t="s">
        <v>2</v>
      </c>
      <c r="B622" s="2" t="str">
        <f t="shared" si="1"/>
        <v>#VALUE!</v>
      </c>
      <c r="C622" s="2" t="str">
        <f>IFERROR(__xludf.DUMMYFUNCTION("SPLIT(B622,"" "")"),"#VALUE!")</f>
        <v>#VALUE!</v>
      </c>
      <c r="E622" s="2" t="str">
        <f t="shared" si="2"/>
        <v>#VALUE!</v>
      </c>
      <c r="F622" s="2" t="str">
        <f>IFERROR(__xludf.DUMMYFUNCTION("SPLIT(E622,"" "")"),"#VALUE!")</f>
        <v>#VALUE!</v>
      </c>
      <c r="I622" s="2" t="str">
        <f t="shared" si="3"/>
        <v>#VALUE!</v>
      </c>
      <c r="J622" s="2" t="str">
        <f>IFERROR(__xludf.DUMMYFUNCTION("SPLIT(I622,"" "")"),"#VALUE!")</f>
        <v>#VALUE!</v>
      </c>
      <c r="M622" s="2" t="b">
        <f t="shared" si="4"/>
        <v>0</v>
      </c>
      <c r="N622" s="2" t="b">
        <f>IFERROR(__xludf.DUMMYFUNCTION("IF(AND(REGEXMATCH($G$4, ""cd""),M622),N621+J622)"),FALSE)</f>
        <v>0</v>
      </c>
      <c r="O622" s="2" t="str">
        <f t="shared" si="5"/>
        <v>#N/A</v>
      </c>
    </row>
    <row r="623">
      <c r="A623" s="1" t="s">
        <v>361</v>
      </c>
      <c r="B623" s="2" t="str">
        <f t="shared" si="1"/>
        <v>#VALUE!</v>
      </c>
      <c r="C623" s="2" t="str">
        <f>IFERROR(__xludf.DUMMYFUNCTION("SPLIT(B623,"" "")"),"#VALUE!")</f>
        <v>#VALUE!</v>
      </c>
      <c r="E623" s="2" t="str">
        <f t="shared" si="2"/>
        <v>#VALUE!</v>
      </c>
      <c r="F623" s="2" t="str">
        <f>IFERROR(__xludf.DUMMYFUNCTION("SPLIT(E623,"" "")"),"#VALUE!")</f>
        <v>#VALUE!</v>
      </c>
      <c r="I623" s="2" t="str">
        <f t="shared" si="3"/>
        <v>#VALUE!</v>
      </c>
      <c r="J623" s="2" t="str">
        <f>IFERROR(__xludf.DUMMYFUNCTION("SPLIT(I623,"" "")"),"#VALUE!")</f>
        <v>#VALUE!</v>
      </c>
      <c r="M623" s="2" t="b">
        <f t="shared" si="4"/>
        <v>0</v>
      </c>
      <c r="N623" s="2" t="b">
        <f>IFERROR(__xludf.DUMMYFUNCTION("IF(AND(REGEXMATCH($G$4, ""cd""),M623),N622+J623)"),FALSE)</f>
        <v>0</v>
      </c>
      <c r="O623" s="2" t="str">
        <f t="shared" si="5"/>
        <v>#N/A</v>
      </c>
    </row>
    <row r="624">
      <c r="A624" s="1" t="s">
        <v>362</v>
      </c>
      <c r="B624" s="2" t="str">
        <f t="shared" si="1"/>
        <v>#VALUE!</v>
      </c>
      <c r="C624" s="2" t="str">
        <f>IFERROR(__xludf.DUMMYFUNCTION("SPLIT(B624,"" "")"),"#VALUE!")</f>
        <v>#VALUE!</v>
      </c>
      <c r="E624" s="2" t="str">
        <f t="shared" si="2"/>
        <v>#VALUE!</v>
      </c>
      <c r="F624" s="2" t="str">
        <f>IFERROR(__xludf.DUMMYFUNCTION("SPLIT(E624,"" "")"),"#VALUE!")</f>
        <v>#VALUE!</v>
      </c>
      <c r="I624" s="2" t="str">
        <f t="shared" si="3"/>
        <v>#VALUE!</v>
      </c>
      <c r="J624" s="2" t="str">
        <f>IFERROR(__xludf.DUMMYFUNCTION("SPLIT(I624,"" "")"),"#VALUE!")</f>
        <v>#VALUE!</v>
      </c>
      <c r="M624" s="2" t="b">
        <f t="shared" si="4"/>
        <v>0</v>
      </c>
      <c r="N624" s="2" t="b">
        <f>IFERROR(__xludf.DUMMYFUNCTION("IF(AND(REGEXMATCH($G$4, ""cd""),M624),N623+J624)"),FALSE)</f>
        <v>0</v>
      </c>
      <c r="O624" s="2" t="str">
        <f t="shared" si="5"/>
        <v>#N/A</v>
      </c>
    </row>
    <row r="625">
      <c r="A625" s="1" t="s">
        <v>17</v>
      </c>
      <c r="B625" s="2" t="str">
        <f t="shared" si="1"/>
        <v>#VALUE!</v>
      </c>
      <c r="C625" s="2" t="str">
        <f>IFERROR(__xludf.DUMMYFUNCTION("SPLIT(B625,"" "")"),"#VALUE!")</f>
        <v>#VALUE!</v>
      </c>
      <c r="E625" s="2" t="str">
        <f t="shared" si="2"/>
        <v>$ cd ..</v>
      </c>
      <c r="F625" s="2" t="str">
        <f>IFERROR(__xludf.DUMMYFUNCTION("SPLIT(E625,"" "")"),"$")</f>
        <v>$</v>
      </c>
      <c r="G625" s="2" t="str">
        <f>IFERROR(__xludf.DUMMYFUNCTION("""COMPUTED_VALUE"""),"cd")</f>
        <v>cd</v>
      </c>
      <c r="H625" s="2" t="str">
        <f>IFERROR(__xludf.DUMMYFUNCTION("""COMPUTED_VALUE"""),"..")</f>
        <v>..</v>
      </c>
      <c r="I625" s="2" t="str">
        <f t="shared" si="3"/>
        <v>$ cd ..</v>
      </c>
      <c r="J625" s="2" t="str">
        <f>IFERROR(__xludf.DUMMYFUNCTION("SPLIT(I625,"" "")"),"$")</f>
        <v>$</v>
      </c>
      <c r="K625" s="2" t="str">
        <f>IFERROR(__xludf.DUMMYFUNCTION("""COMPUTED_VALUE"""),"cd")</f>
        <v>cd</v>
      </c>
      <c r="L625" s="2" t="str">
        <f>IFERROR(__xludf.DUMMYFUNCTION("""COMPUTED_VALUE"""),"..")</f>
        <v>..</v>
      </c>
      <c r="M625" s="2" t="b">
        <f t="shared" si="4"/>
        <v>0</v>
      </c>
      <c r="N625" s="2" t="b">
        <f>IFERROR(__xludf.DUMMYFUNCTION("IF(AND(REGEXMATCH($G$4, ""cd""),M625),N624+J625)"),FALSE)</f>
        <v>0</v>
      </c>
      <c r="O625" s="2" t="str">
        <f t="shared" si="5"/>
        <v>#N/A</v>
      </c>
    </row>
    <row r="626">
      <c r="A626" s="1" t="s">
        <v>17</v>
      </c>
      <c r="B626" s="2" t="str">
        <f t="shared" si="1"/>
        <v>#VALUE!</v>
      </c>
      <c r="C626" s="2" t="str">
        <f>IFERROR(__xludf.DUMMYFUNCTION("SPLIT(B626,"" "")"),"#VALUE!")</f>
        <v>#VALUE!</v>
      </c>
      <c r="E626" s="2" t="str">
        <f t="shared" si="2"/>
        <v>$ cd ..</v>
      </c>
      <c r="F626" s="2" t="str">
        <f>IFERROR(__xludf.DUMMYFUNCTION("SPLIT(E626,"" "")"),"$")</f>
        <v>$</v>
      </c>
      <c r="G626" s="2" t="str">
        <f>IFERROR(__xludf.DUMMYFUNCTION("""COMPUTED_VALUE"""),"cd")</f>
        <v>cd</v>
      </c>
      <c r="H626" s="2" t="str">
        <f>IFERROR(__xludf.DUMMYFUNCTION("""COMPUTED_VALUE"""),"..")</f>
        <v>..</v>
      </c>
      <c r="I626" s="2" t="str">
        <f t="shared" si="3"/>
        <v>$ cd ..</v>
      </c>
      <c r="J626" s="2" t="str">
        <f>IFERROR(__xludf.DUMMYFUNCTION("SPLIT(I626,"" "")"),"$")</f>
        <v>$</v>
      </c>
      <c r="K626" s="2" t="str">
        <f>IFERROR(__xludf.DUMMYFUNCTION("""COMPUTED_VALUE"""),"cd")</f>
        <v>cd</v>
      </c>
      <c r="L626" s="2" t="str">
        <f>IFERROR(__xludf.DUMMYFUNCTION("""COMPUTED_VALUE"""),"..")</f>
        <v>..</v>
      </c>
      <c r="M626" s="2" t="b">
        <f t="shared" si="4"/>
        <v>0</v>
      </c>
      <c r="N626" s="2" t="b">
        <f>IFERROR(__xludf.DUMMYFUNCTION("IF(AND(REGEXMATCH($G$4, ""cd""),M626),N625+J626)"),FALSE)</f>
        <v>0</v>
      </c>
      <c r="O626" s="2" t="str">
        <f t="shared" si="5"/>
        <v>#N/A</v>
      </c>
    </row>
    <row r="627">
      <c r="A627" s="1" t="s">
        <v>17</v>
      </c>
      <c r="B627" s="2" t="str">
        <f t="shared" si="1"/>
        <v>#VALUE!</v>
      </c>
      <c r="C627" s="2" t="str">
        <f>IFERROR(__xludf.DUMMYFUNCTION("SPLIT(B627,"" "")"),"#VALUE!")</f>
        <v>#VALUE!</v>
      </c>
      <c r="E627" s="2" t="str">
        <f t="shared" si="2"/>
        <v>$ cd ..</v>
      </c>
      <c r="F627" s="2" t="str">
        <f>IFERROR(__xludf.DUMMYFUNCTION("SPLIT(E627,"" "")"),"$")</f>
        <v>$</v>
      </c>
      <c r="G627" s="2" t="str">
        <f>IFERROR(__xludf.DUMMYFUNCTION("""COMPUTED_VALUE"""),"cd")</f>
        <v>cd</v>
      </c>
      <c r="H627" s="2" t="str">
        <f>IFERROR(__xludf.DUMMYFUNCTION("""COMPUTED_VALUE"""),"..")</f>
        <v>..</v>
      </c>
      <c r="I627" s="2" t="str">
        <f t="shared" si="3"/>
        <v>$ cd ..</v>
      </c>
      <c r="J627" s="2" t="str">
        <f>IFERROR(__xludf.DUMMYFUNCTION("SPLIT(I627,"" "")"),"$")</f>
        <v>$</v>
      </c>
      <c r="K627" s="2" t="str">
        <f>IFERROR(__xludf.DUMMYFUNCTION("""COMPUTED_VALUE"""),"cd")</f>
        <v>cd</v>
      </c>
      <c r="L627" s="2" t="str">
        <f>IFERROR(__xludf.DUMMYFUNCTION("""COMPUTED_VALUE"""),"..")</f>
        <v>..</v>
      </c>
      <c r="M627" s="2" t="b">
        <f t="shared" si="4"/>
        <v>0</v>
      </c>
      <c r="N627" s="2" t="b">
        <f>IFERROR(__xludf.DUMMYFUNCTION("IF(AND(REGEXMATCH($G$4, ""cd""),M627),N626+J627)"),FALSE)</f>
        <v>0</v>
      </c>
      <c r="O627" s="2" t="str">
        <f t="shared" si="5"/>
        <v>#N/A</v>
      </c>
    </row>
    <row r="628">
      <c r="A628" s="1" t="s">
        <v>363</v>
      </c>
      <c r="B628" s="2" t="str">
        <f t="shared" si="1"/>
        <v>#VALUE!</v>
      </c>
      <c r="C628" s="2" t="str">
        <f>IFERROR(__xludf.DUMMYFUNCTION("SPLIT(B628,"" "")"),"#VALUE!")</f>
        <v>#VALUE!</v>
      </c>
      <c r="E628" s="2" t="str">
        <f t="shared" si="2"/>
        <v>$ cd zldscsc</v>
      </c>
      <c r="F628" s="2" t="str">
        <f>IFERROR(__xludf.DUMMYFUNCTION("SPLIT(E628,"" "")"),"$")</f>
        <v>$</v>
      </c>
      <c r="G628" s="2" t="str">
        <f>IFERROR(__xludf.DUMMYFUNCTION("""COMPUTED_VALUE"""),"cd")</f>
        <v>cd</v>
      </c>
      <c r="H628" s="2" t="str">
        <f>IFERROR(__xludf.DUMMYFUNCTION("""COMPUTED_VALUE"""),"zldscsc")</f>
        <v>zldscsc</v>
      </c>
      <c r="I628" s="2" t="str">
        <f t="shared" si="3"/>
        <v>#VALUE!</v>
      </c>
      <c r="J628" s="2" t="str">
        <f>IFERROR(__xludf.DUMMYFUNCTION("SPLIT(I628,"" "")"),"#VALUE!")</f>
        <v>#VALUE!</v>
      </c>
      <c r="M628" s="2" t="b">
        <f t="shared" si="4"/>
        <v>0</v>
      </c>
      <c r="N628" s="2" t="b">
        <f>IFERROR(__xludf.DUMMYFUNCTION("IF(AND(REGEXMATCH($G$4, ""cd""),M628),N627+J628)"),FALSE)</f>
        <v>0</v>
      </c>
      <c r="O628" s="2" t="str">
        <f t="shared" si="5"/>
        <v>#N/A</v>
      </c>
    </row>
    <row r="629">
      <c r="A629" s="1" t="s">
        <v>2</v>
      </c>
      <c r="B629" s="2" t="str">
        <f t="shared" si="1"/>
        <v>#VALUE!</v>
      </c>
      <c r="C629" s="2" t="str">
        <f>IFERROR(__xludf.DUMMYFUNCTION("SPLIT(B629,"" "")"),"#VALUE!")</f>
        <v>#VALUE!</v>
      </c>
      <c r="E629" s="2" t="str">
        <f t="shared" si="2"/>
        <v>#VALUE!</v>
      </c>
      <c r="F629" s="2" t="str">
        <f>IFERROR(__xludf.DUMMYFUNCTION("SPLIT(E629,"" "")"),"#VALUE!")</f>
        <v>#VALUE!</v>
      </c>
      <c r="I629" s="2" t="str">
        <f t="shared" si="3"/>
        <v>#VALUE!</v>
      </c>
      <c r="J629" s="2" t="str">
        <f>IFERROR(__xludf.DUMMYFUNCTION("SPLIT(I629,"" "")"),"#VALUE!")</f>
        <v>#VALUE!</v>
      </c>
      <c r="M629" s="2" t="b">
        <f t="shared" si="4"/>
        <v>0</v>
      </c>
      <c r="N629" s="2" t="b">
        <f>IFERROR(__xludf.DUMMYFUNCTION("IF(AND(REGEXMATCH($G$4, ""cd""),M629),N628+J629)"),FALSE)</f>
        <v>0</v>
      </c>
      <c r="O629" s="2" t="str">
        <f t="shared" si="5"/>
        <v>#N/A</v>
      </c>
    </row>
    <row r="630">
      <c r="A630" s="1" t="s">
        <v>364</v>
      </c>
      <c r="B630" s="2" t="str">
        <f t="shared" si="1"/>
        <v>dir fmzvccvg</v>
      </c>
      <c r="C630" s="2" t="str">
        <f>IFERROR(__xludf.DUMMYFUNCTION("SPLIT(B630,"" "")"),"dir")</f>
        <v>dir</v>
      </c>
      <c r="D630" s="2" t="str">
        <f>IFERROR(__xludf.DUMMYFUNCTION("""COMPUTED_VALUE"""),"fmzvccvg")</f>
        <v>fmzvccvg</v>
      </c>
      <c r="E630" s="2" t="str">
        <f t="shared" si="2"/>
        <v>#VALUE!</v>
      </c>
      <c r="F630" s="2" t="str">
        <f>IFERROR(__xludf.DUMMYFUNCTION("SPLIT(E630,"" "")"),"#VALUE!")</f>
        <v>#VALUE!</v>
      </c>
      <c r="I630" s="2" t="str">
        <f t="shared" si="3"/>
        <v>#VALUE!</v>
      </c>
      <c r="J630" s="2" t="str">
        <f>IFERROR(__xludf.DUMMYFUNCTION("SPLIT(I630,"" "")"),"#VALUE!")</f>
        <v>#VALUE!</v>
      </c>
      <c r="M630" s="2" t="b">
        <f t="shared" si="4"/>
        <v>0</v>
      </c>
      <c r="N630" s="2" t="b">
        <f>IFERROR(__xludf.DUMMYFUNCTION("IF(AND(REGEXMATCH($G$4, ""cd""),M630),N629+J630)"),FALSE)</f>
        <v>0</v>
      </c>
      <c r="O630" s="2" t="str">
        <f t="shared" si="5"/>
        <v>#N/A</v>
      </c>
    </row>
    <row r="631">
      <c r="A631" s="1" t="s">
        <v>365</v>
      </c>
      <c r="B631" s="2" t="str">
        <f t="shared" si="1"/>
        <v>#VALUE!</v>
      </c>
      <c r="C631" s="2" t="str">
        <f>IFERROR(__xludf.DUMMYFUNCTION("SPLIT(B631,"" "")"),"#VALUE!")</f>
        <v>#VALUE!</v>
      </c>
      <c r="E631" s="2" t="str">
        <f t="shared" si="2"/>
        <v>299187 mpq.cdn</v>
      </c>
      <c r="F631" s="2">
        <f>IFERROR(__xludf.DUMMYFUNCTION("SPLIT(E631,"" "")"),299187.0)</f>
        <v>299187</v>
      </c>
      <c r="G631" s="2" t="str">
        <f>IFERROR(__xludf.DUMMYFUNCTION("""COMPUTED_VALUE"""),"mpq.cdn")</f>
        <v>mpq.cdn</v>
      </c>
      <c r="I631" s="2" t="str">
        <f t="shared" si="3"/>
        <v>299187 mpq.cdn</v>
      </c>
      <c r="J631" s="2">
        <f>IFERROR(__xludf.DUMMYFUNCTION("SPLIT(I631,"" "")"),299187.0)</f>
        <v>299187</v>
      </c>
      <c r="K631" s="2" t="str">
        <f>IFERROR(__xludf.DUMMYFUNCTION("""COMPUTED_VALUE"""),"mpq.cdn")</f>
        <v>mpq.cdn</v>
      </c>
      <c r="M631" s="2" t="b">
        <f t="shared" si="4"/>
        <v>1</v>
      </c>
      <c r="N631" s="2">
        <f>IFERROR(__xludf.DUMMYFUNCTION("IF(AND(REGEXMATCH($G$4, ""cd""),M631),N630+J631)"),299187.0)</f>
        <v>299187</v>
      </c>
      <c r="O631" s="2" t="str">
        <f t="shared" si="5"/>
        <v>#N/A</v>
      </c>
    </row>
    <row r="632">
      <c r="A632" s="1" t="s">
        <v>366</v>
      </c>
      <c r="B632" s="2" t="str">
        <f t="shared" si="1"/>
        <v>#VALUE!</v>
      </c>
      <c r="C632" s="2" t="str">
        <f>IFERROR(__xludf.DUMMYFUNCTION("SPLIT(B632,"" "")"),"#VALUE!")</f>
        <v>#VALUE!</v>
      </c>
      <c r="E632" s="2" t="str">
        <f t="shared" si="2"/>
        <v>#VALUE!</v>
      </c>
      <c r="F632" s="2" t="str">
        <f>IFERROR(__xludf.DUMMYFUNCTION("SPLIT(E632,"" "")"),"#VALUE!")</f>
        <v>#VALUE!</v>
      </c>
      <c r="I632" s="2" t="str">
        <f t="shared" si="3"/>
        <v>324288 mzsfcvgv.srz</v>
      </c>
      <c r="J632" s="2">
        <f>IFERROR(__xludf.DUMMYFUNCTION("SPLIT(I632,"" "")"),324288.0)</f>
        <v>324288</v>
      </c>
      <c r="K632" s="2" t="str">
        <f>IFERROR(__xludf.DUMMYFUNCTION("""COMPUTED_VALUE"""),"mzsfcvgv.srz")</f>
        <v>mzsfcvgv.srz</v>
      </c>
      <c r="M632" s="2" t="b">
        <f t="shared" si="4"/>
        <v>1</v>
      </c>
      <c r="N632" s="2">
        <f>IFERROR(__xludf.DUMMYFUNCTION("IF(AND(REGEXMATCH($G$4, ""cd""),M632),N631+J632)"),623475.0)</f>
        <v>623475</v>
      </c>
      <c r="O632" s="2" t="str">
        <f t="shared" si="5"/>
        <v>#N/A</v>
      </c>
    </row>
    <row r="633">
      <c r="A633" s="1" t="s">
        <v>367</v>
      </c>
      <c r="B633" s="2" t="str">
        <f t="shared" si="1"/>
        <v>dir prdfldrf</v>
      </c>
      <c r="C633" s="2" t="str">
        <f>IFERROR(__xludf.DUMMYFUNCTION("SPLIT(B633,"" "")"),"dir")</f>
        <v>dir</v>
      </c>
      <c r="D633" s="2" t="str">
        <f>IFERROR(__xludf.DUMMYFUNCTION("""COMPUTED_VALUE"""),"prdfldrf")</f>
        <v>prdfldrf</v>
      </c>
      <c r="E633" s="2" t="str">
        <f t="shared" si="2"/>
        <v>#VALUE!</v>
      </c>
      <c r="F633" s="2" t="str">
        <f>IFERROR(__xludf.DUMMYFUNCTION("SPLIT(E633,"" "")"),"#VALUE!")</f>
        <v>#VALUE!</v>
      </c>
      <c r="I633" s="2" t="str">
        <f t="shared" si="3"/>
        <v>#VALUE!</v>
      </c>
      <c r="J633" s="2" t="str">
        <f>IFERROR(__xludf.DUMMYFUNCTION("SPLIT(I633,"" "")"),"#VALUE!")</f>
        <v>#VALUE!</v>
      </c>
      <c r="M633" s="2" t="b">
        <f t="shared" si="4"/>
        <v>0</v>
      </c>
      <c r="N633" s="2" t="b">
        <f>IFERROR(__xludf.DUMMYFUNCTION("IF(AND(REGEXMATCH($G$4, ""cd""),M633),N632+J633)"),FALSE)</f>
        <v>0</v>
      </c>
      <c r="O633" s="2" t="str">
        <f t="shared" si="5"/>
        <v>#N/A</v>
      </c>
    </row>
    <row r="634">
      <c r="A634" s="1" t="s">
        <v>368</v>
      </c>
      <c r="B634" s="2" t="str">
        <f t="shared" si="1"/>
        <v>dir sgpdqw</v>
      </c>
      <c r="C634" s="2" t="str">
        <f>IFERROR(__xludf.DUMMYFUNCTION("SPLIT(B634,"" "")"),"dir")</f>
        <v>dir</v>
      </c>
      <c r="D634" s="2" t="str">
        <f>IFERROR(__xludf.DUMMYFUNCTION("""COMPUTED_VALUE"""),"sgpdqw")</f>
        <v>sgpdqw</v>
      </c>
      <c r="E634" s="2" t="str">
        <f t="shared" si="2"/>
        <v>#VALUE!</v>
      </c>
      <c r="F634" s="2" t="str">
        <f>IFERROR(__xludf.DUMMYFUNCTION("SPLIT(E634,"" "")"),"#VALUE!")</f>
        <v>#VALUE!</v>
      </c>
      <c r="I634" s="2" t="str">
        <f t="shared" si="3"/>
        <v>#VALUE!</v>
      </c>
      <c r="J634" s="2" t="str">
        <f>IFERROR(__xludf.DUMMYFUNCTION("SPLIT(I634,"" "")"),"#VALUE!")</f>
        <v>#VALUE!</v>
      </c>
      <c r="M634" s="2" t="b">
        <f t="shared" si="4"/>
        <v>0</v>
      </c>
      <c r="N634" s="2" t="b">
        <f>IFERROR(__xludf.DUMMYFUNCTION("IF(AND(REGEXMATCH($G$4, ""cd""),M634),N633+J634)"),FALSE)</f>
        <v>0</v>
      </c>
      <c r="O634" s="2" t="str">
        <f t="shared" si="5"/>
        <v>#N/A</v>
      </c>
    </row>
    <row r="635">
      <c r="A635" s="1" t="s">
        <v>369</v>
      </c>
      <c r="B635" s="2" t="str">
        <f t="shared" si="1"/>
        <v>#VALUE!</v>
      </c>
      <c r="C635" s="2" t="str">
        <f>IFERROR(__xludf.DUMMYFUNCTION("SPLIT(B635,"" "")"),"#VALUE!")</f>
        <v>#VALUE!</v>
      </c>
      <c r="E635" s="2" t="str">
        <f t="shared" si="2"/>
        <v>#VALUE!</v>
      </c>
      <c r="F635" s="2" t="str">
        <f>IFERROR(__xludf.DUMMYFUNCTION("SPLIT(E635,"" "")"),"#VALUE!")</f>
        <v>#VALUE!</v>
      </c>
      <c r="I635" s="2" t="str">
        <f t="shared" si="3"/>
        <v>#VALUE!</v>
      </c>
      <c r="J635" s="2" t="str">
        <f>IFERROR(__xludf.DUMMYFUNCTION("SPLIT(I635,"" "")"),"#VALUE!")</f>
        <v>#VALUE!</v>
      </c>
      <c r="M635" s="2" t="b">
        <f t="shared" si="4"/>
        <v>0</v>
      </c>
      <c r="N635" s="2" t="b">
        <f>IFERROR(__xludf.DUMMYFUNCTION("IF(AND(REGEXMATCH($G$4, ""cd""),M635),N634+J635)"),FALSE)</f>
        <v>0</v>
      </c>
      <c r="O635" s="2" t="str">
        <f t="shared" si="5"/>
        <v>#N/A</v>
      </c>
    </row>
    <row r="636">
      <c r="A636" s="1" t="s">
        <v>370</v>
      </c>
      <c r="B636" s="2" t="str">
        <f t="shared" si="1"/>
        <v>#VALUE!</v>
      </c>
      <c r="C636" s="2" t="str">
        <f>IFERROR(__xludf.DUMMYFUNCTION("SPLIT(B636,"" "")"),"#VALUE!")</f>
        <v>#VALUE!</v>
      </c>
      <c r="E636" s="2" t="str">
        <f t="shared" si="2"/>
        <v>#VALUE!</v>
      </c>
      <c r="F636" s="2" t="str">
        <f>IFERROR(__xludf.DUMMYFUNCTION("SPLIT(E636,"" "")"),"#VALUE!")</f>
        <v>#VALUE!</v>
      </c>
      <c r="I636" s="2" t="str">
        <f t="shared" si="3"/>
        <v>#VALUE!</v>
      </c>
      <c r="J636" s="2" t="str">
        <f>IFERROR(__xludf.DUMMYFUNCTION("SPLIT(I636,"" "")"),"#VALUE!")</f>
        <v>#VALUE!</v>
      </c>
      <c r="M636" s="2" t="b">
        <f t="shared" si="4"/>
        <v>0</v>
      </c>
      <c r="N636" s="2" t="b">
        <f>IFERROR(__xludf.DUMMYFUNCTION("IF(AND(REGEXMATCH($G$4, ""cd""),M636),N635+J636)"),FALSE)</f>
        <v>0</v>
      </c>
      <c r="O636" s="2" t="str">
        <f t="shared" si="5"/>
        <v>#N/A</v>
      </c>
    </row>
    <row r="637">
      <c r="A637" s="1" t="s">
        <v>371</v>
      </c>
      <c r="B637" s="2" t="str">
        <f t="shared" si="1"/>
        <v>#VALUE!</v>
      </c>
      <c r="C637" s="2" t="str">
        <f>IFERROR(__xludf.DUMMYFUNCTION("SPLIT(B637,"" "")"),"#VALUE!")</f>
        <v>#VALUE!</v>
      </c>
      <c r="E637" s="2" t="str">
        <f t="shared" si="2"/>
        <v>#VALUE!</v>
      </c>
      <c r="F637" s="2" t="str">
        <f>IFERROR(__xludf.DUMMYFUNCTION("SPLIT(E637,"" "")"),"#VALUE!")</f>
        <v>#VALUE!</v>
      </c>
      <c r="I637" s="2" t="str">
        <f t="shared" si="3"/>
        <v>133537 wbb.fdl</v>
      </c>
      <c r="J637" s="2">
        <f>IFERROR(__xludf.DUMMYFUNCTION("SPLIT(I637,"" "")"),133537.0)</f>
        <v>133537</v>
      </c>
      <c r="K637" s="2" t="str">
        <f>IFERROR(__xludf.DUMMYFUNCTION("""COMPUTED_VALUE"""),"wbb.fdl")</f>
        <v>wbb.fdl</v>
      </c>
      <c r="M637" s="2" t="b">
        <f t="shared" si="4"/>
        <v>1</v>
      </c>
      <c r="N637" s="2">
        <f>IFERROR(__xludf.DUMMYFUNCTION("IF(AND(REGEXMATCH($G$4, ""cd""),M637),N636+J637)"),133537.0)</f>
        <v>133537</v>
      </c>
      <c r="O637" s="2" t="str">
        <f t="shared" si="5"/>
        <v>#N/A</v>
      </c>
    </row>
    <row r="638">
      <c r="A638" s="1" t="s">
        <v>372</v>
      </c>
      <c r="B638" s="2" t="str">
        <f t="shared" si="1"/>
        <v>dir wjdpws</v>
      </c>
      <c r="C638" s="2" t="str">
        <f>IFERROR(__xludf.DUMMYFUNCTION("SPLIT(B638,"" "")"),"dir")</f>
        <v>dir</v>
      </c>
      <c r="D638" s="2" t="str">
        <f>IFERROR(__xludf.DUMMYFUNCTION("""COMPUTED_VALUE"""),"wjdpws")</f>
        <v>wjdpws</v>
      </c>
      <c r="E638" s="2" t="str">
        <f t="shared" si="2"/>
        <v>#VALUE!</v>
      </c>
      <c r="F638" s="2" t="str">
        <f>IFERROR(__xludf.DUMMYFUNCTION("SPLIT(E638,"" "")"),"#VALUE!")</f>
        <v>#VALUE!</v>
      </c>
      <c r="I638" s="2" t="str">
        <f t="shared" si="3"/>
        <v>#VALUE!</v>
      </c>
      <c r="J638" s="2" t="str">
        <f>IFERROR(__xludf.DUMMYFUNCTION("SPLIT(I638,"" "")"),"#VALUE!")</f>
        <v>#VALUE!</v>
      </c>
      <c r="M638" s="2" t="b">
        <f t="shared" si="4"/>
        <v>0</v>
      </c>
      <c r="N638" s="2" t="b">
        <f>IFERROR(__xludf.DUMMYFUNCTION("IF(AND(REGEXMATCH($G$4, ""cd""),M638),N637+J638)"),FALSE)</f>
        <v>0</v>
      </c>
      <c r="O638" s="2" t="str">
        <f t="shared" si="5"/>
        <v>#N/A</v>
      </c>
    </row>
    <row r="639">
      <c r="A639" s="1" t="s">
        <v>373</v>
      </c>
      <c r="B639" s="2" t="str">
        <f t="shared" si="1"/>
        <v>#VALUE!</v>
      </c>
      <c r="C639" s="2" t="str">
        <f>IFERROR(__xludf.DUMMYFUNCTION("SPLIT(B639,"" "")"),"#VALUE!")</f>
        <v>#VALUE!</v>
      </c>
      <c r="E639" s="2" t="str">
        <f t="shared" si="2"/>
        <v>$ cd fmzvccvg</v>
      </c>
      <c r="F639" s="2" t="str">
        <f>IFERROR(__xludf.DUMMYFUNCTION("SPLIT(E639,"" "")"),"$")</f>
        <v>$</v>
      </c>
      <c r="G639" s="2" t="str">
        <f>IFERROR(__xludf.DUMMYFUNCTION("""COMPUTED_VALUE"""),"cd")</f>
        <v>cd</v>
      </c>
      <c r="H639" s="2" t="str">
        <f>IFERROR(__xludf.DUMMYFUNCTION("""COMPUTED_VALUE"""),"fmzvccvg")</f>
        <v>fmzvccvg</v>
      </c>
      <c r="I639" s="2" t="str">
        <f t="shared" si="3"/>
        <v>#VALUE!</v>
      </c>
      <c r="J639" s="2" t="str">
        <f>IFERROR(__xludf.DUMMYFUNCTION("SPLIT(I639,"" "")"),"#VALUE!")</f>
        <v>#VALUE!</v>
      </c>
      <c r="M639" s="2" t="b">
        <f t="shared" si="4"/>
        <v>0</v>
      </c>
      <c r="N639" s="2" t="b">
        <f>IFERROR(__xludf.DUMMYFUNCTION("IF(AND(REGEXMATCH($G$4, ""cd""),M639),N638+J639)"),FALSE)</f>
        <v>0</v>
      </c>
      <c r="O639" s="2" t="str">
        <f t="shared" si="5"/>
        <v>#N/A</v>
      </c>
    </row>
    <row r="640">
      <c r="A640" s="1" t="s">
        <v>2</v>
      </c>
      <c r="B640" s="2" t="str">
        <f t="shared" si="1"/>
        <v>#VALUE!</v>
      </c>
      <c r="C640" s="2" t="str">
        <f>IFERROR(__xludf.DUMMYFUNCTION("SPLIT(B640,"" "")"),"#VALUE!")</f>
        <v>#VALUE!</v>
      </c>
      <c r="E640" s="2" t="str">
        <f t="shared" si="2"/>
        <v>#VALUE!</v>
      </c>
      <c r="F640" s="2" t="str">
        <f>IFERROR(__xludf.DUMMYFUNCTION("SPLIT(E640,"" "")"),"#VALUE!")</f>
        <v>#VALUE!</v>
      </c>
      <c r="I640" s="2" t="str">
        <f t="shared" si="3"/>
        <v>#VALUE!</v>
      </c>
      <c r="J640" s="2" t="str">
        <f>IFERROR(__xludf.DUMMYFUNCTION("SPLIT(I640,"" "")"),"#VALUE!")</f>
        <v>#VALUE!</v>
      </c>
      <c r="M640" s="2" t="b">
        <f t="shared" si="4"/>
        <v>0</v>
      </c>
      <c r="N640" s="2" t="b">
        <f>IFERROR(__xludf.DUMMYFUNCTION("IF(AND(REGEXMATCH($G$4, ""cd""),M640),N639+J640)"),FALSE)</f>
        <v>0</v>
      </c>
      <c r="O640" s="2" t="str">
        <f t="shared" si="5"/>
        <v>#N/A</v>
      </c>
    </row>
    <row r="641">
      <c r="A641" s="1" t="s">
        <v>374</v>
      </c>
      <c r="B641" s="2" t="str">
        <f t="shared" si="1"/>
        <v>dir brrlg</v>
      </c>
      <c r="C641" s="2" t="str">
        <f>IFERROR(__xludf.DUMMYFUNCTION("SPLIT(B641,"" "")"),"dir")</f>
        <v>dir</v>
      </c>
      <c r="D641" s="2" t="str">
        <f>IFERROR(__xludf.DUMMYFUNCTION("""COMPUTED_VALUE"""),"brrlg")</f>
        <v>brrlg</v>
      </c>
      <c r="E641" s="2" t="str">
        <f t="shared" si="2"/>
        <v>#VALUE!</v>
      </c>
      <c r="F641" s="2" t="str">
        <f>IFERROR(__xludf.DUMMYFUNCTION("SPLIT(E641,"" "")"),"#VALUE!")</f>
        <v>#VALUE!</v>
      </c>
      <c r="I641" s="2" t="str">
        <f t="shared" si="3"/>
        <v>#VALUE!</v>
      </c>
      <c r="J641" s="2" t="str">
        <f>IFERROR(__xludf.DUMMYFUNCTION("SPLIT(I641,"" "")"),"#VALUE!")</f>
        <v>#VALUE!</v>
      </c>
      <c r="M641" s="2" t="b">
        <f t="shared" si="4"/>
        <v>0</v>
      </c>
      <c r="N641" s="2" t="b">
        <f>IFERROR(__xludf.DUMMYFUNCTION("IF(AND(REGEXMATCH($G$4, ""cd""),M641),N640+J641)"),FALSE)</f>
        <v>0</v>
      </c>
      <c r="O641" s="2" t="str">
        <f t="shared" si="5"/>
        <v>#N/A</v>
      </c>
    </row>
    <row r="642">
      <c r="A642" s="1" t="s">
        <v>375</v>
      </c>
      <c r="B642" s="2" t="str">
        <f t="shared" si="1"/>
        <v>dir crm</v>
      </c>
      <c r="C642" s="2" t="str">
        <f>IFERROR(__xludf.DUMMYFUNCTION("SPLIT(B642,"" "")"),"dir")</f>
        <v>dir</v>
      </c>
      <c r="D642" s="2" t="str">
        <f>IFERROR(__xludf.DUMMYFUNCTION("""COMPUTED_VALUE"""),"crm")</f>
        <v>crm</v>
      </c>
      <c r="E642" s="2" t="str">
        <f t="shared" si="2"/>
        <v>#VALUE!</v>
      </c>
      <c r="F642" s="2" t="str">
        <f>IFERROR(__xludf.DUMMYFUNCTION("SPLIT(E642,"" "")"),"#VALUE!")</f>
        <v>#VALUE!</v>
      </c>
      <c r="I642" s="2" t="str">
        <f t="shared" si="3"/>
        <v>#VALUE!</v>
      </c>
      <c r="J642" s="2" t="str">
        <f>IFERROR(__xludf.DUMMYFUNCTION("SPLIT(I642,"" "")"),"#VALUE!")</f>
        <v>#VALUE!</v>
      </c>
      <c r="M642" s="2" t="b">
        <f t="shared" si="4"/>
        <v>0</v>
      </c>
      <c r="N642" s="2" t="b">
        <f>IFERROR(__xludf.DUMMYFUNCTION("IF(AND(REGEXMATCH($G$4, ""cd""),M642),N641+J642)"),FALSE)</f>
        <v>0</v>
      </c>
      <c r="O642" s="2" t="str">
        <f t="shared" si="5"/>
        <v>#N/A</v>
      </c>
    </row>
    <row r="643">
      <c r="A643" s="1" t="s">
        <v>128</v>
      </c>
      <c r="B643" s="2" t="str">
        <f t="shared" si="1"/>
        <v>dir mzsfcvgv</v>
      </c>
      <c r="C643" s="2" t="str">
        <f>IFERROR(__xludf.DUMMYFUNCTION("SPLIT(B643,"" "")"),"dir")</f>
        <v>dir</v>
      </c>
      <c r="D643" s="2" t="str">
        <f>IFERROR(__xludf.DUMMYFUNCTION("""COMPUTED_VALUE"""),"mzsfcvgv")</f>
        <v>mzsfcvgv</v>
      </c>
      <c r="E643" s="2" t="str">
        <f t="shared" si="2"/>
        <v>#VALUE!</v>
      </c>
      <c r="F643" s="2" t="str">
        <f>IFERROR(__xludf.DUMMYFUNCTION("SPLIT(E643,"" "")"),"#VALUE!")</f>
        <v>#VALUE!</v>
      </c>
      <c r="I643" s="2" t="str">
        <f t="shared" si="3"/>
        <v>#VALUE!</v>
      </c>
      <c r="J643" s="2" t="str">
        <f>IFERROR(__xludf.DUMMYFUNCTION("SPLIT(I643,"" "")"),"#VALUE!")</f>
        <v>#VALUE!</v>
      </c>
      <c r="M643" s="2" t="b">
        <f t="shared" si="4"/>
        <v>0</v>
      </c>
      <c r="N643" s="2" t="b">
        <f>IFERROR(__xludf.DUMMYFUNCTION("IF(AND(REGEXMATCH($G$4, ""cd""),M643),N642+J643)"),FALSE)</f>
        <v>0</v>
      </c>
      <c r="O643" s="2" t="str">
        <f t="shared" si="5"/>
        <v>#N/A</v>
      </c>
    </row>
    <row r="644">
      <c r="A644" s="1" t="s">
        <v>376</v>
      </c>
      <c r="B644" s="2" t="str">
        <f t="shared" si="1"/>
        <v>#VALUE!</v>
      </c>
      <c r="C644" s="2" t="str">
        <f>IFERROR(__xludf.DUMMYFUNCTION("SPLIT(B644,"" "")"),"#VALUE!")</f>
        <v>#VALUE!</v>
      </c>
      <c r="E644" s="2" t="str">
        <f t="shared" si="2"/>
        <v>$ cd brrlg</v>
      </c>
      <c r="F644" s="2" t="str">
        <f>IFERROR(__xludf.DUMMYFUNCTION("SPLIT(E644,"" "")"),"$")</f>
        <v>$</v>
      </c>
      <c r="G644" s="2" t="str">
        <f>IFERROR(__xludf.DUMMYFUNCTION("""COMPUTED_VALUE"""),"cd")</f>
        <v>cd</v>
      </c>
      <c r="H644" s="2" t="str">
        <f>IFERROR(__xludf.DUMMYFUNCTION("""COMPUTED_VALUE"""),"brrlg")</f>
        <v>brrlg</v>
      </c>
      <c r="I644" s="2" t="str">
        <f t="shared" si="3"/>
        <v>#VALUE!</v>
      </c>
      <c r="J644" s="2" t="str">
        <f>IFERROR(__xludf.DUMMYFUNCTION("SPLIT(I644,"" "")"),"#VALUE!")</f>
        <v>#VALUE!</v>
      </c>
      <c r="M644" s="2" t="b">
        <f t="shared" si="4"/>
        <v>0</v>
      </c>
      <c r="N644" s="2" t="b">
        <f>IFERROR(__xludf.DUMMYFUNCTION("IF(AND(REGEXMATCH($G$4, ""cd""),M644),N643+J644)"),FALSE)</f>
        <v>0</v>
      </c>
      <c r="O644" s="2" t="str">
        <f t="shared" si="5"/>
        <v>#N/A</v>
      </c>
    </row>
    <row r="645">
      <c r="A645" s="1" t="s">
        <v>2</v>
      </c>
      <c r="B645" s="2" t="str">
        <f t="shared" si="1"/>
        <v>#VALUE!</v>
      </c>
      <c r="C645" s="2" t="str">
        <f>IFERROR(__xludf.DUMMYFUNCTION("SPLIT(B645,"" "")"),"#VALUE!")</f>
        <v>#VALUE!</v>
      </c>
      <c r="E645" s="2" t="str">
        <f t="shared" si="2"/>
        <v>#VALUE!</v>
      </c>
      <c r="F645" s="2" t="str">
        <f>IFERROR(__xludf.DUMMYFUNCTION("SPLIT(E645,"" "")"),"#VALUE!")</f>
        <v>#VALUE!</v>
      </c>
      <c r="I645" s="2" t="str">
        <f t="shared" si="3"/>
        <v>#VALUE!</v>
      </c>
      <c r="J645" s="2" t="str">
        <f>IFERROR(__xludf.DUMMYFUNCTION("SPLIT(I645,"" "")"),"#VALUE!")</f>
        <v>#VALUE!</v>
      </c>
      <c r="M645" s="2" t="b">
        <f t="shared" si="4"/>
        <v>0</v>
      </c>
      <c r="N645" s="2" t="b">
        <f>IFERROR(__xludf.DUMMYFUNCTION("IF(AND(REGEXMATCH($G$4, ""cd""),M645),N644+J645)"),FALSE)</f>
        <v>0</v>
      </c>
      <c r="O645" s="2" t="str">
        <f t="shared" si="5"/>
        <v>#N/A</v>
      </c>
    </row>
    <row r="646">
      <c r="A646" s="1" t="s">
        <v>377</v>
      </c>
      <c r="B646" s="2" t="str">
        <f t="shared" si="1"/>
        <v>#VALUE!</v>
      </c>
      <c r="C646" s="2" t="str">
        <f>IFERROR(__xludf.DUMMYFUNCTION("SPLIT(B646,"" "")"),"#VALUE!")</f>
        <v>#VALUE!</v>
      </c>
      <c r="E646" s="2" t="str">
        <f t="shared" si="2"/>
        <v>#VALUE!</v>
      </c>
      <c r="F646" s="2" t="str">
        <f>IFERROR(__xludf.DUMMYFUNCTION("SPLIT(E646,"" "")"),"#VALUE!")</f>
        <v>#VALUE!</v>
      </c>
      <c r="I646" s="2" t="str">
        <f t="shared" si="3"/>
        <v>17776 jnwr.qqz</v>
      </c>
      <c r="J646" s="2">
        <f>IFERROR(__xludf.DUMMYFUNCTION("SPLIT(I646,"" "")"),17776.0)</f>
        <v>17776</v>
      </c>
      <c r="K646" s="2" t="str">
        <f>IFERROR(__xludf.DUMMYFUNCTION("""COMPUTED_VALUE"""),"jnwr.qqz")</f>
        <v>jnwr.qqz</v>
      </c>
      <c r="M646" s="2" t="b">
        <f t="shared" si="4"/>
        <v>1</v>
      </c>
      <c r="N646" s="2">
        <f>IFERROR(__xludf.DUMMYFUNCTION("IF(AND(REGEXMATCH($G$4, ""cd""),M646),N645+J646)"),17776.0)</f>
        <v>17776</v>
      </c>
      <c r="O646" s="2" t="str">
        <f t="shared" si="5"/>
        <v>#N/A</v>
      </c>
    </row>
    <row r="647">
      <c r="A647" s="1" t="s">
        <v>17</v>
      </c>
      <c r="B647" s="2" t="str">
        <f t="shared" si="1"/>
        <v>#VALUE!</v>
      </c>
      <c r="C647" s="2" t="str">
        <f>IFERROR(__xludf.DUMMYFUNCTION("SPLIT(B647,"" "")"),"#VALUE!")</f>
        <v>#VALUE!</v>
      </c>
      <c r="E647" s="2" t="str">
        <f t="shared" si="2"/>
        <v>$ cd ..</v>
      </c>
      <c r="F647" s="2" t="str">
        <f>IFERROR(__xludf.DUMMYFUNCTION("SPLIT(E647,"" "")"),"$")</f>
        <v>$</v>
      </c>
      <c r="G647" s="2" t="str">
        <f>IFERROR(__xludf.DUMMYFUNCTION("""COMPUTED_VALUE"""),"cd")</f>
        <v>cd</v>
      </c>
      <c r="H647" s="2" t="str">
        <f>IFERROR(__xludf.DUMMYFUNCTION("""COMPUTED_VALUE"""),"..")</f>
        <v>..</v>
      </c>
      <c r="I647" s="2" t="str">
        <f t="shared" si="3"/>
        <v>$ cd ..</v>
      </c>
      <c r="J647" s="2" t="str">
        <f>IFERROR(__xludf.DUMMYFUNCTION("SPLIT(I647,"" "")"),"$")</f>
        <v>$</v>
      </c>
      <c r="K647" s="2" t="str">
        <f>IFERROR(__xludf.DUMMYFUNCTION("""COMPUTED_VALUE"""),"cd")</f>
        <v>cd</v>
      </c>
      <c r="L647" s="2" t="str">
        <f>IFERROR(__xludf.DUMMYFUNCTION("""COMPUTED_VALUE"""),"..")</f>
        <v>..</v>
      </c>
      <c r="M647" s="2" t="b">
        <f t="shared" si="4"/>
        <v>0</v>
      </c>
      <c r="N647" s="2" t="b">
        <f>IFERROR(__xludf.DUMMYFUNCTION("IF(AND(REGEXMATCH($G$4, ""cd""),M647),N646+J647)"),FALSE)</f>
        <v>0</v>
      </c>
      <c r="O647" s="2" t="str">
        <f t="shared" si="5"/>
        <v>#N/A</v>
      </c>
    </row>
    <row r="648">
      <c r="A648" s="1" t="s">
        <v>378</v>
      </c>
      <c r="B648" s="2" t="str">
        <f t="shared" si="1"/>
        <v>#VALUE!</v>
      </c>
      <c r="C648" s="2" t="str">
        <f>IFERROR(__xludf.DUMMYFUNCTION("SPLIT(B648,"" "")"),"#VALUE!")</f>
        <v>#VALUE!</v>
      </c>
      <c r="E648" s="2" t="str">
        <f t="shared" si="2"/>
        <v>$ cd crm</v>
      </c>
      <c r="F648" s="2" t="str">
        <f>IFERROR(__xludf.DUMMYFUNCTION("SPLIT(E648,"" "")"),"$")</f>
        <v>$</v>
      </c>
      <c r="G648" s="2" t="str">
        <f>IFERROR(__xludf.DUMMYFUNCTION("""COMPUTED_VALUE"""),"cd")</f>
        <v>cd</v>
      </c>
      <c r="H648" s="2" t="str">
        <f>IFERROR(__xludf.DUMMYFUNCTION("""COMPUTED_VALUE"""),"crm")</f>
        <v>crm</v>
      </c>
      <c r="I648" s="2" t="str">
        <f t="shared" si="3"/>
        <v>#VALUE!</v>
      </c>
      <c r="J648" s="2" t="str">
        <f>IFERROR(__xludf.DUMMYFUNCTION("SPLIT(I648,"" "")"),"#VALUE!")</f>
        <v>#VALUE!</v>
      </c>
      <c r="M648" s="2" t="b">
        <f t="shared" si="4"/>
        <v>0</v>
      </c>
      <c r="N648" s="2" t="b">
        <f>IFERROR(__xludf.DUMMYFUNCTION("IF(AND(REGEXMATCH($G$4, ""cd""),M648),N647+J648)"),FALSE)</f>
        <v>0</v>
      </c>
      <c r="O648" s="2" t="str">
        <f t="shared" si="5"/>
        <v>#N/A</v>
      </c>
    </row>
    <row r="649">
      <c r="A649" s="1" t="s">
        <v>2</v>
      </c>
      <c r="B649" s="2" t="str">
        <f t="shared" si="1"/>
        <v>#VALUE!</v>
      </c>
      <c r="C649" s="2" t="str">
        <f>IFERROR(__xludf.DUMMYFUNCTION("SPLIT(B649,"" "")"),"#VALUE!")</f>
        <v>#VALUE!</v>
      </c>
      <c r="E649" s="2" t="str">
        <f t="shared" si="2"/>
        <v>#VALUE!</v>
      </c>
      <c r="F649" s="2" t="str">
        <f>IFERROR(__xludf.DUMMYFUNCTION("SPLIT(E649,"" "")"),"#VALUE!")</f>
        <v>#VALUE!</v>
      </c>
      <c r="I649" s="2" t="str">
        <f t="shared" si="3"/>
        <v>#VALUE!</v>
      </c>
      <c r="J649" s="2" t="str">
        <f>IFERROR(__xludf.DUMMYFUNCTION("SPLIT(I649,"" "")"),"#VALUE!")</f>
        <v>#VALUE!</v>
      </c>
      <c r="M649" s="2" t="b">
        <f t="shared" si="4"/>
        <v>0</v>
      </c>
      <c r="N649" s="2" t="b">
        <f>IFERROR(__xludf.DUMMYFUNCTION("IF(AND(REGEXMATCH($G$4, ""cd""),M649),N648+J649)"),FALSE)</f>
        <v>0</v>
      </c>
      <c r="O649" s="2" t="str">
        <f t="shared" si="5"/>
        <v>#N/A</v>
      </c>
    </row>
    <row r="650">
      <c r="A650" s="1" t="s">
        <v>379</v>
      </c>
      <c r="B650" s="2" t="str">
        <f t="shared" si="1"/>
        <v>#VALUE!</v>
      </c>
      <c r="C650" s="2" t="str">
        <f>IFERROR(__xludf.DUMMYFUNCTION("SPLIT(B650,"" "")"),"#VALUE!")</f>
        <v>#VALUE!</v>
      </c>
      <c r="E650" s="2" t="str">
        <f t="shared" si="2"/>
        <v>#VALUE!</v>
      </c>
      <c r="F650" s="2" t="str">
        <f>IFERROR(__xludf.DUMMYFUNCTION("SPLIT(E650,"" "")"),"#VALUE!")</f>
        <v>#VALUE!</v>
      </c>
      <c r="I650" s="2" t="str">
        <f t="shared" si="3"/>
        <v>#VALUE!</v>
      </c>
      <c r="J650" s="2" t="str">
        <f>IFERROR(__xludf.DUMMYFUNCTION("SPLIT(I650,"" "")"),"#VALUE!")</f>
        <v>#VALUE!</v>
      </c>
      <c r="M650" s="2" t="b">
        <f t="shared" si="4"/>
        <v>0</v>
      </c>
      <c r="N650" s="2" t="b">
        <f>IFERROR(__xludf.DUMMYFUNCTION("IF(AND(REGEXMATCH($G$4, ""cd""),M650),N649+J650)"),FALSE)</f>
        <v>0</v>
      </c>
      <c r="O650" s="2" t="str">
        <f t="shared" si="5"/>
        <v>#N/A</v>
      </c>
    </row>
    <row r="651">
      <c r="A651" s="1" t="s">
        <v>380</v>
      </c>
      <c r="B651" s="2" t="str">
        <f t="shared" si="1"/>
        <v>#VALUE!</v>
      </c>
      <c r="C651" s="2" t="str">
        <f>IFERROR(__xludf.DUMMYFUNCTION("SPLIT(B651,"" "")"),"#VALUE!")</f>
        <v>#VALUE!</v>
      </c>
      <c r="E651" s="2" t="str">
        <f t="shared" si="2"/>
        <v>#VALUE!</v>
      </c>
      <c r="F651" s="2" t="str">
        <f>IFERROR(__xludf.DUMMYFUNCTION("SPLIT(E651,"" "")"),"#VALUE!")</f>
        <v>#VALUE!</v>
      </c>
      <c r="I651" s="2" t="str">
        <f t="shared" si="3"/>
        <v>177044 mzsfcvgv.thj</v>
      </c>
      <c r="J651" s="2">
        <f>IFERROR(__xludf.DUMMYFUNCTION("SPLIT(I651,"" "")"),177044.0)</f>
        <v>177044</v>
      </c>
      <c r="K651" s="2" t="str">
        <f>IFERROR(__xludf.DUMMYFUNCTION("""COMPUTED_VALUE"""),"mzsfcvgv.thj")</f>
        <v>mzsfcvgv.thj</v>
      </c>
      <c r="M651" s="2" t="b">
        <f t="shared" si="4"/>
        <v>1</v>
      </c>
      <c r="N651" s="2">
        <f>IFERROR(__xludf.DUMMYFUNCTION("IF(AND(REGEXMATCH($G$4, ""cd""),M651),N650+J651)"),177044.0)</f>
        <v>177044</v>
      </c>
      <c r="O651" s="2" t="str">
        <f t="shared" si="5"/>
        <v>#N/A</v>
      </c>
    </row>
    <row r="652">
      <c r="A652" s="1" t="s">
        <v>17</v>
      </c>
      <c r="B652" s="2" t="str">
        <f t="shared" si="1"/>
        <v>#VALUE!</v>
      </c>
      <c r="C652" s="2" t="str">
        <f>IFERROR(__xludf.DUMMYFUNCTION("SPLIT(B652,"" "")"),"#VALUE!")</f>
        <v>#VALUE!</v>
      </c>
      <c r="E652" s="2" t="str">
        <f t="shared" si="2"/>
        <v>$ cd ..</v>
      </c>
      <c r="F652" s="2" t="str">
        <f>IFERROR(__xludf.DUMMYFUNCTION("SPLIT(E652,"" "")"),"$")</f>
        <v>$</v>
      </c>
      <c r="G652" s="2" t="str">
        <f>IFERROR(__xludf.DUMMYFUNCTION("""COMPUTED_VALUE"""),"cd")</f>
        <v>cd</v>
      </c>
      <c r="H652" s="2" t="str">
        <f>IFERROR(__xludf.DUMMYFUNCTION("""COMPUTED_VALUE"""),"..")</f>
        <v>..</v>
      </c>
      <c r="I652" s="2" t="str">
        <f t="shared" si="3"/>
        <v>$ cd ..</v>
      </c>
      <c r="J652" s="2" t="str">
        <f>IFERROR(__xludf.DUMMYFUNCTION("SPLIT(I652,"" "")"),"$")</f>
        <v>$</v>
      </c>
      <c r="K652" s="2" t="str">
        <f>IFERROR(__xludf.DUMMYFUNCTION("""COMPUTED_VALUE"""),"cd")</f>
        <v>cd</v>
      </c>
      <c r="L652" s="2" t="str">
        <f>IFERROR(__xludf.DUMMYFUNCTION("""COMPUTED_VALUE"""),"..")</f>
        <v>..</v>
      </c>
      <c r="M652" s="2" t="b">
        <f t="shared" si="4"/>
        <v>0</v>
      </c>
      <c r="N652" s="2" t="b">
        <f>IFERROR(__xludf.DUMMYFUNCTION("IF(AND(REGEXMATCH($G$4, ""cd""),M652),N651+J652)"),FALSE)</f>
        <v>0</v>
      </c>
      <c r="O652" s="2" t="str">
        <f t="shared" si="5"/>
        <v>#N/A</v>
      </c>
    </row>
    <row r="653">
      <c r="A653" s="1" t="s">
        <v>131</v>
      </c>
      <c r="B653" s="2" t="str">
        <f t="shared" si="1"/>
        <v>#VALUE!</v>
      </c>
      <c r="C653" s="2" t="str">
        <f>IFERROR(__xludf.DUMMYFUNCTION("SPLIT(B653,"" "")"),"#VALUE!")</f>
        <v>#VALUE!</v>
      </c>
      <c r="E653" s="2" t="str">
        <f t="shared" si="2"/>
        <v>$ cd mzsfcvgv</v>
      </c>
      <c r="F653" s="2" t="str">
        <f>IFERROR(__xludf.DUMMYFUNCTION("SPLIT(E653,"" "")"),"$")</f>
        <v>$</v>
      </c>
      <c r="G653" s="2" t="str">
        <f>IFERROR(__xludf.DUMMYFUNCTION("""COMPUTED_VALUE"""),"cd")</f>
        <v>cd</v>
      </c>
      <c r="H653" s="2" t="str">
        <f>IFERROR(__xludf.DUMMYFUNCTION("""COMPUTED_VALUE"""),"mzsfcvgv")</f>
        <v>mzsfcvgv</v>
      </c>
      <c r="I653" s="2" t="str">
        <f t="shared" si="3"/>
        <v>#VALUE!</v>
      </c>
      <c r="J653" s="2" t="str">
        <f>IFERROR(__xludf.DUMMYFUNCTION("SPLIT(I653,"" "")"),"#VALUE!")</f>
        <v>#VALUE!</v>
      </c>
      <c r="M653" s="2" t="b">
        <f t="shared" si="4"/>
        <v>0</v>
      </c>
      <c r="N653" s="2" t="b">
        <f>IFERROR(__xludf.DUMMYFUNCTION("IF(AND(REGEXMATCH($G$4, ""cd""),M653),N652+J653)"),FALSE)</f>
        <v>0</v>
      </c>
      <c r="O653" s="2" t="str">
        <f t="shared" si="5"/>
        <v>#N/A</v>
      </c>
    </row>
    <row r="654">
      <c r="A654" s="1" t="s">
        <v>2</v>
      </c>
      <c r="B654" s="2" t="str">
        <f t="shared" si="1"/>
        <v>#VALUE!</v>
      </c>
      <c r="C654" s="2" t="str">
        <f>IFERROR(__xludf.DUMMYFUNCTION("SPLIT(B654,"" "")"),"#VALUE!")</f>
        <v>#VALUE!</v>
      </c>
      <c r="E654" s="2" t="str">
        <f t="shared" si="2"/>
        <v>#VALUE!</v>
      </c>
      <c r="F654" s="2" t="str">
        <f>IFERROR(__xludf.DUMMYFUNCTION("SPLIT(E654,"" "")"),"#VALUE!")</f>
        <v>#VALUE!</v>
      </c>
      <c r="I654" s="2" t="str">
        <f t="shared" si="3"/>
        <v>#VALUE!</v>
      </c>
      <c r="J654" s="2" t="str">
        <f>IFERROR(__xludf.DUMMYFUNCTION("SPLIT(I654,"" "")"),"#VALUE!")</f>
        <v>#VALUE!</v>
      </c>
      <c r="M654" s="2" t="b">
        <f t="shared" si="4"/>
        <v>0</v>
      </c>
      <c r="N654" s="2" t="b">
        <f>IFERROR(__xludf.DUMMYFUNCTION("IF(AND(REGEXMATCH($G$4, ""cd""),M654),N653+J654)"),FALSE)</f>
        <v>0</v>
      </c>
      <c r="O654" s="2" t="str">
        <f t="shared" si="5"/>
        <v>#N/A</v>
      </c>
    </row>
    <row r="655">
      <c r="A655" s="1" t="s">
        <v>381</v>
      </c>
      <c r="B655" s="2" t="str">
        <f t="shared" si="1"/>
        <v>#VALUE!</v>
      </c>
      <c r="C655" s="2" t="str">
        <f>IFERROR(__xludf.DUMMYFUNCTION("SPLIT(B655,"" "")"),"#VALUE!")</f>
        <v>#VALUE!</v>
      </c>
      <c r="E655" s="2" t="str">
        <f t="shared" si="2"/>
        <v>#VALUE!</v>
      </c>
      <c r="F655" s="2" t="str">
        <f>IFERROR(__xludf.DUMMYFUNCTION("SPLIT(E655,"" "")"),"#VALUE!")</f>
        <v>#VALUE!</v>
      </c>
      <c r="I655" s="2" t="str">
        <f t="shared" si="3"/>
        <v>51223 pdnbml.qpg</v>
      </c>
      <c r="J655" s="2">
        <f>IFERROR(__xludf.DUMMYFUNCTION("SPLIT(I655,"" "")"),51223.0)</f>
        <v>51223</v>
      </c>
      <c r="K655" s="2" t="str">
        <f>IFERROR(__xludf.DUMMYFUNCTION("""COMPUTED_VALUE"""),"pdnbml.qpg")</f>
        <v>pdnbml.qpg</v>
      </c>
      <c r="M655" s="2" t="b">
        <f t="shared" si="4"/>
        <v>1</v>
      </c>
      <c r="N655" s="2">
        <f>IFERROR(__xludf.DUMMYFUNCTION("IF(AND(REGEXMATCH($G$4, ""cd""),M655),N654+J655)"),51223.0)</f>
        <v>51223</v>
      </c>
      <c r="O655" s="2" t="str">
        <f t="shared" si="5"/>
        <v>#N/A</v>
      </c>
    </row>
    <row r="656">
      <c r="A656" s="1" t="s">
        <v>17</v>
      </c>
      <c r="B656" s="2" t="str">
        <f t="shared" si="1"/>
        <v>#VALUE!</v>
      </c>
      <c r="C656" s="2" t="str">
        <f>IFERROR(__xludf.DUMMYFUNCTION("SPLIT(B656,"" "")"),"#VALUE!")</f>
        <v>#VALUE!</v>
      </c>
      <c r="E656" s="2" t="str">
        <f t="shared" si="2"/>
        <v>$ cd ..</v>
      </c>
      <c r="F656" s="2" t="str">
        <f>IFERROR(__xludf.DUMMYFUNCTION("SPLIT(E656,"" "")"),"$")</f>
        <v>$</v>
      </c>
      <c r="G656" s="2" t="str">
        <f>IFERROR(__xludf.DUMMYFUNCTION("""COMPUTED_VALUE"""),"cd")</f>
        <v>cd</v>
      </c>
      <c r="H656" s="2" t="str">
        <f>IFERROR(__xludf.DUMMYFUNCTION("""COMPUTED_VALUE"""),"..")</f>
        <v>..</v>
      </c>
      <c r="I656" s="2" t="str">
        <f t="shared" si="3"/>
        <v>$ cd ..</v>
      </c>
      <c r="J656" s="2" t="str">
        <f>IFERROR(__xludf.DUMMYFUNCTION("SPLIT(I656,"" "")"),"$")</f>
        <v>$</v>
      </c>
      <c r="K656" s="2" t="str">
        <f>IFERROR(__xludf.DUMMYFUNCTION("""COMPUTED_VALUE"""),"cd")</f>
        <v>cd</v>
      </c>
      <c r="L656" s="2" t="str">
        <f>IFERROR(__xludf.DUMMYFUNCTION("""COMPUTED_VALUE"""),"..")</f>
        <v>..</v>
      </c>
      <c r="M656" s="2" t="b">
        <f t="shared" si="4"/>
        <v>0</v>
      </c>
      <c r="N656" s="2" t="b">
        <f>IFERROR(__xludf.DUMMYFUNCTION("IF(AND(REGEXMATCH($G$4, ""cd""),M656),N655+J656)"),FALSE)</f>
        <v>0</v>
      </c>
      <c r="O656" s="2" t="str">
        <f t="shared" si="5"/>
        <v>#N/A</v>
      </c>
    </row>
    <row r="657">
      <c r="A657" s="1" t="s">
        <v>17</v>
      </c>
      <c r="B657" s="2" t="str">
        <f t="shared" si="1"/>
        <v>#VALUE!</v>
      </c>
      <c r="C657" s="2" t="str">
        <f>IFERROR(__xludf.DUMMYFUNCTION("SPLIT(B657,"" "")"),"#VALUE!")</f>
        <v>#VALUE!</v>
      </c>
      <c r="E657" s="2" t="str">
        <f t="shared" si="2"/>
        <v>$ cd ..</v>
      </c>
      <c r="F657" s="2" t="str">
        <f>IFERROR(__xludf.DUMMYFUNCTION("SPLIT(E657,"" "")"),"$")</f>
        <v>$</v>
      </c>
      <c r="G657" s="2" t="str">
        <f>IFERROR(__xludf.DUMMYFUNCTION("""COMPUTED_VALUE"""),"cd")</f>
        <v>cd</v>
      </c>
      <c r="H657" s="2" t="str">
        <f>IFERROR(__xludf.DUMMYFUNCTION("""COMPUTED_VALUE"""),"..")</f>
        <v>..</v>
      </c>
      <c r="I657" s="2" t="str">
        <f t="shared" si="3"/>
        <v>$ cd ..</v>
      </c>
      <c r="J657" s="2" t="str">
        <f>IFERROR(__xludf.DUMMYFUNCTION("SPLIT(I657,"" "")"),"$")</f>
        <v>$</v>
      </c>
      <c r="K657" s="2" t="str">
        <f>IFERROR(__xludf.DUMMYFUNCTION("""COMPUTED_VALUE"""),"cd")</f>
        <v>cd</v>
      </c>
      <c r="L657" s="2" t="str">
        <f>IFERROR(__xludf.DUMMYFUNCTION("""COMPUTED_VALUE"""),"..")</f>
        <v>..</v>
      </c>
      <c r="M657" s="2" t="b">
        <f t="shared" si="4"/>
        <v>0</v>
      </c>
      <c r="N657" s="2" t="b">
        <f>IFERROR(__xludf.DUMMYFUNCTION("IF(AND(REGEXMATCH($G$4, ""cd""),M657),N656+J657)"),FALSE)</f>
        <v>0</v>
      </c>
      <c r="O657" s="2" t="str">
        <f t="shared" si="5"/>
        <v>#N/A</v>
      </c>
    </row>
    <row r="658">
      <c r="A658" s="1" t="s">
        <v>382</v>
      </c>
      <c r="B658" s="2" t="str">
        <f t="shared" si="1"/>
        <v>#VALUE!</v>
      </c>
      <c r="C658" s="2" t="str">
        <f>IFERROR(__xludf.DUMMYFUNCTION("SPLIT(B658,"" "")"),"#VALUE!")</f>
        <v>#VALUE!</v>
      </c>
      <c r="E658" s="2" t="str">
        <f t="shared" si="2"/>
        <v>$ cd prdfldrf</v>
      </c>
      <c r="F658" s="2" t="str">
        <f>IFERROR(__xludf.DUMMYFUNCTION("SPLIT(E658,"" "")"),"$")</f>
        <v>$</v>
      </c>
      <c r="G658" s="2" t="str">
        <f>IFERROR(__xludf.DUMMYFUNCTION("""COMPUTED_VALUE"""),"cd")</f>
        <v>cd</v>
      </c>
      <c r="H658" s="2" t="str">
        <f>IFERROR(__xludf.DUMMYFUNCTION("""COMPUTED_VALUE"""),"prdfldrf")</f>
        <v>prdfldrf</v>
      </c>
      <c r="I658" s="2" t="str">
        <f t="shared" si="3"/>
        <v>#VALUE!</v>
      </c>
      <c r="J658" s="2" t="str">
        <f>IFERROR(__xludf.DUMMYFUNCTION("SPLIT(I658,"" "")"),"#VALUE!")</f>
        <v>#VALUE!</v>
      </c>
      <c r="M658" s="2" t="b">
        <f t="shared" si="4"/>
        <v>0</v>
      </c>
      <c r="N658" s="2" t="b">
        <f>IFERROR(__xludf.DUMMYFUNCTION("IF(AND(REGEXMATCH($G$4, ""cd""),M658),N657+J658)"),FALSE)</f>
        <v>0</v>
      </c>
      <c r="O658" s="2" t="str">
        <f t="shared" si="5"/>
        <v>#N/A</v>
      </c>
    </row>
    <row r="659">
      <c r="A659" s="1" t="s">
        <v>2</v>
      </c>
      <c r="B659" s="2" t="str">
        <f t="shared" si="1"/>
        <v>#VALUE!</v>
      </c>
      <c r="C659" s="2" t="str">
        <f>IFERROR(__xludf.DUMMYFUNCTION("SPLIT(B659,"" "")"),"#VALUE!")</f>
        <v>#VALUE!</v>
      </c>
      <c r="E659" s="2" t="str">
        <f t="shared" si="2"/>
        <v>#VALUE!</v>
      </c>
      <c r="F659" s="2" t="str">
        <f>IFERROR(__xludf.DUMMYFUNCTION("SPLIT(E659,"" "")"),"#VALUE!")</f>
        <v>#VALUE!</v>
      </c>
      <c r="I659" s="2" t="str">
        <f t="shared" si="3"/>
        <v>#VALUE!</v>
      </c>
      <c r="J659" s="2" t="str">
        <f>IFERROR(__xludf.DUMMYFUNCTION("SPLIT(I659,"" "")"),"#VALUE!")</f>
        <v>#VALUE!</v>
      </c>
      <c r="M659" s="2" t="b">
        <f t="shared" si="4"/>
        <v>0</v>
      </c>
      <c r="N659" s="2" t="b">
        <f>IFERROR(__xludf.DUMMYFUNCTION("IF(AND(REGEXMATCH($G$4, ""cd""),M659),N658+J659)"),FALSE)</f>
        <v>0</v>
      </c>
      <c r="O659" s="2" t="str">
        <f t="shared" si="5"/>
        <v>#N/A</v>
      </c>
    </row>
    <row r="660">
      <c r="A660" s="1" t="s">
        <v>383</v>
      </c>
      <c r="B660" s="2" t="str">
        <f t="shared" si="1"/>
        <v>#VALUE!</v>
      </c>
      <c r="C660" s="2" t="str">
        <f>IFERROR(__xludf.DUMMYFUNCTION("SPLIT(B660,"" "")"),"#VALUE!")</f>
        <v>#VALUE!</v>
      </c>
      <c r="E660" s="2" t="str">
        <f t="shared" si="2"/>
        <v>#VALUE!</v>
      </c>
      <c r="F660" s="2" t="str">
        <f>IFERROR(__xludf.DUMMYFUNCTION("SPLIT(E660,"" "")"),"#VALUE!")</f>
        <v>#VALUE!</v>
      </c>
      <c r="I660" s="2" t="str">
        <f t="shared" si="3"/>
        <v>#VALUE!</v>
      </c>
      <c r="J660" s="2" t="str">
        <f>IFERROR(__xludf.DUMMYFUNCTION("SPLIT(I660,"" "")"),"#VALUE!")</f>
        <v>#VALUE!</v>
      </c>
      <c r="M660" s="2" t="b">
        <f t="shared" si="4"/>
        <v>0</v>
      </c>
      <c r="N660" s="2" t="b">
        <f>IFERROR(__xludf.DUMMYFUNCTION("IF(AND(REGEXMATCH($G$4, ""cd""),M660),N659+J660)"),FALSE)</f>
        <v>0</v>
      </c>
      <c r="O660" s="2" t="str">
        <f t="shared" si="5"/>
        <v>#N/A</v>
      </c>
    </row>
    <row r="661">
      <c r="A661" s="1" t="s">
        <v>17</v>
      </c>
      <c r="B661" s="2" t="str">
        <f t="shared" si="1"/>
        <v>#VALUE!</v>
      </c>
      <c r="C661" s="2" t="str">
        <f>IFERROR(__xludf.DUMMYFUNCTION("SPLIT(B661,"" "")"),"#VALUE!")</f>
        <v>#VALUE!</v>
      </c>
      <c r="E661" s="2" t="str">
        <f t="shared" si="2"/>
        <v>$ cd ..</v>
      </c>
      <c r="F661" s="2" t="str">
        <f>IFERROR(__xludf.DUMMYFUNCTION("SPLIT(E661,"" "")"),"$")</f>
        <v>$</v>
      </c>
      <c r="G661" s="2" t="str">
        <f>IFERROR(__xludf.DUMMYFUNCTION("""COMPUTED_VALUE"""),"cd")</f>
        <v>cd</v>
      </c>
      <c r="H661" s="2" t="str">
        <f>IFERROR(__xludf.DUMMYFUNCTION("""COMPUTED_VALUE"""),"..")</f>
        <v>..</v>
      </c>
      <c r="I661" s="2" t="str">
        <f t="shared" si="3"/>
        <v>$ cd ..</v>
      </c>
      <c r="J661" s="2" t="str">
        <f>IFERROR(__xludf.DUMMYFUNCTION("SPLIT(I661,"" "")"),"$")</f>
        <v>$</v>
      </c>
      <c r="K661" s="2" t="str">
        <f>IFERROR(__xludf.DUMMYFUNCTION("""COMPUTED_VALUE"""),"cd")</f>
        <v>cd</v>
      </c>
      <c r="L661" s="2" t="str">
        <f>IFERROR(__xludf.DUMMYFUNCTION("""COMPUTED_VALUE"""),"..")</f>
        <v>..</v>
      </c>
      <c r="M661" s="2" t="b">
        <f t="shared" si="4"/>
        <v>0</v>
      </c>
      <c r="N661" s="2" t="b">
        <f>IFERROR(__xludf.DUMMYFUNCTION("IF(AND(REGEXMATCH($G$4, ""cd""),M661),N660+J661)"),FALSE)</f>
        <v>0</v>
      </c>
      <c r="O661" s="2" t="str">
        <f t="shared" si="5"/>
        <v>#N/A</v>
      </c>
    </row>
    <row r="662">
      <c r="A662" s="1" t="s">
        <v>384</v>
      </c>
      <c r="B662" s="2" t="str">
        <f t="shared" si="1"/>
        <v>#VALUE!</v>
      </c>
      <c r="C662" s="2" t="str">
        <f>IFERROR(__xludf.DUMMYFUNCTION("SPLIT(B662,"" "")"),"#VALUE!")</f>
        <v>#VALUE!</v>
      </c>
      <c r="E662" s="2" t="str">
        <f t="shared" si="2"/>
        <v>$ cd sgpdqw</v>
      </c>
      <c r="F662" s="2" t="str">
        <f>IFERROR(__xludf.DUMMYFUNCTION("SPLIT(E662,"" "")"),"$")</f>
        <v>$</v>
      </c>
      <c r="G662" s="2" t="str">
        <f>IFERROR(__xludf.DUMMYFUNCTION("""COMPUTED_VALUE"""),"cd")</f>
        <v>cd</v>
      </c>
      <c r="H662" s="2" t="str">
        <f>IFERROR(__xludf.DUMMYFUNCTION("""COMPUTED_VALUE"""),"sgpdqw")</f>
        <v>sgpdqw</v>
      </c>
      <c r="I662" s="2" t="str">
        <f t="shared" si="3"/>
        <v>#VALUE!</v>
      </c>
      <c r="J662" s="2" t="str">
        <f>IFERROR(__xludf.DUMMYFUNCTION("SPLIT(I662,"" "")"),"#VALUE!")</f>
        <v>#VALUE!</v>
      </c>
      <c r="M662" s="2" t="b">
        <f t="shared" si="4"/>
        <v>0</v>
      </c>
      <c r="N662" s="2" t="b">
        <f>IFERROR(__xludf.DUMMYFUNCTION("IF(AND(REGEXMATCH($G$4, ""cd""),M662),N661+J662)"),FALSE)</f>
        <v>0</v>
      </c>
      <c r="O662" s="2" t="str">
        <f t="shared" si="5"/>
        <v>#N/A</v>
      </c>
    </row>
    <row r="663">
      <c r="A663" s="1" t="s">
        <v>2</v>
      </c>
      <c r="B663" s="2" t="str">
        <f t="shared" si="1"/>
        <v>#VALUE!</v>
      </c>
      <c r="C663" s="2" t="str">
        <f>IFERROR(__xludf.DUMMYFUNCTION("SPLIT(B663,"" "")"),"#VALUE!")</f>
        <v>#VALUE!</v>
      </c>
      <c r="E663" s="2" t="str">
        <f t="shared" si="2"/>
        <v>#VALUE!</v>
      </c>
      <c r="F663" s="2" t="str">
        <f>IFERROR(__xludf.DUMMYFUNCTION("SPLIT(E663,"" "")"),"#VALUE!")</f>
        <v>#VALUE!</v>
      </c>
      <c r="I663" s="2" t="str">
        <f t="shared" si="3"/>
        <v>#VALUE!</v>
      </c>
      <c r="J663" s="2" t="str">
        <f>IFERROR(__xludf.DUMMYFUNCTION("SPLIT(I663,"" "")"),"#VALUE!")</f>
        <v>#VALUE!</v>
      </c>
      <c r="M663" s="2" t="b">
        <f t="shared" si="4"/>
        <v>0</v>
      </c>
      <c r="N663" s="2" t="b">
        <f>IFERROR(__xludf.DUMMYFUNCTION("IF(AND(REGEXMATCH($G$4, ""cd""),M663),N662+J663)"),FALSE)</f>
        <v>0</v>
      </c>
      <c r="O663" s="2" t="str">
        <f t="shared" si="5"/>
        <v>#N/A</v>
      </c>
    </row>
    <row r="664">
      <c r="A664" s="1" t="s">
        <v>385</v>
      </c>
      <c r="B664" s="2" t="str">
        <f t="shared" si="1"/>
        <v>#VALUE!</v>
      </c>
      <c r="C664" s="2" t="str">
        <f>IFERROR(__xludf.DUMMYFUNCTION("SPLIT(B664,"" "")"),"#VALUE!")</f>
        <v>#VALUE!</v>
      </c>
      <c r="E664" s="2" t="str">
        <f t="shared" si="2"/>
        <v>#VALUE!</v>
      </c>
      <c r="F664" s="2" t="str">
        <f>IFERROR(__xludf.DUMMYFUNCTION("SPLIT(E664,"" "")"),"#VALUE!")</f>
        <v>#VALUE!</v>
      </c>
      <c r="I664" s="2" t="str">
        <f t="shared" si="3"/>
        <v>205684 whrfvw.dph</v>
      </c>
      <c r="J664" s="2">
        <f>IFERROR(__xludf.DUMMYFUNCTION("SPLIT(I664,"" "")"),205684.0)</f>
        <v>205684</v>
      </c>
      <c r="K664" s="2" t="str">
        <f>IFERROR(__xludf.DUMMYFUNCTION("""COMPUTED_VALUE"""),"whrfvw.dph")</f>
        <v>whrfvw.dph</v>
      </c>
      <c r="M664" s="2" t="b">
        <f t="shared" si="4"/>
        <v>1</v>
      </c>
      <c r="N664" s="2">
        <f>IFERROR(__xludf.DUMMYFUNCTION("IF(AND(REGEXMATCH($G$4, ""cd""),M664),N663+J664)"),205684.0)</f>
        <v>205684</v>
      </c>
      <c r="O664" s="2" t="str">
        <f t="shared" si="5"/>
        <v>#N/A</v>
      </c>
    </row>
    <row r="665">
      <c r="A665" s="1" t="s">
        <v>17</v>
      </c>
      <c r="B665" s="2" t="str">
        <f t="shared" si="1"/>
        <v>#VALUE!</v>
      </c>
      <c r="C665" s="2" t="str">
        <f>IFERROR(__xludf.DUMMYFUNCTION("SPLIT(B665,"" "")"),"#VALUE!")</f>
        <v>#VALUE!</v>
      </c>
      <c r="E665" s="2" t="str">
        <f t="shared" si="2"/>
        <v>$ cd ..</v>
      </c>
      <c r="F665" s="2" t="str">
        <f>IFERROR(__xludf.DUMMYFUNCTION("SPLIT(E665,"" "")"),"$")</f>
        <v>$</v>
      </c>
      <c r="G665" s="2" t="str">
        <f>IFERROR(__xludf.DUMMYFUNCTION("""COMPUTED_VALUE"""),"cd")</f>
        <v>cd</v>
      </c>
      <c r="H665" s="2" t="str">
        <f>IFERROR(__xludf.DUMMYFUNCTION("""COMPUTED_VALUE"""),"..")</f>
        <v>..</v>
      </c>
      <c r="I665" s="2" t="str">
        <f t="shared" si="3"/>
        <v>$ cd ..</v>
      </c>
      <c r="J665" s="2" t="str">
        <f>IFERROR(__xludf.DUMMYFUNCTION("SPLIT(I665,"" "")"),"$")</f>
        <v>$</v>
      </c>
      <c r="K665" s="2" t="str">
        <f>IFERROR(__xludf.DUMMYFUNCTION("""COMPUTED_VALUE"""),"cd")</f>
        <v>cd</v>
      </c>
      <c r="L665" s="2" t="str">
        <f>IFERROR(__xludf.DUMMYFUNCTION("""COMPUTED_VALUE"""),"..")</f>
        <v>..</v>
      </c>
      <c r="M665" s="2" t="b">
        <f t="shared" si="4"/>
        <v>0</v>
      </c>
      <c r="N665" s="2" t="b">
        <f>IFERROR(__xludf.DUMMYFUNCTION("IF(AND(REGEXMATCH($G$4, ""cd""),M665),N664+J665)"),FALSE)</f>
        <v>0</v>
      </c>
      <c r="O665" s="2" t="str">
        <f t="shared" si="5"/>
        <v>#N/A</v>
      </c>
    </row>
    <row r="666">
      <c r="A666" s="1" t="s">
        <v>386</v>
      </c>
      <c r="B666" s="2" t="str">
        <f t="shared" si="1"/>
        <v>#VALUE!</v>
      </c>
      <c r="C666" s="2" t="str">
        <f>IFERROR(__xludf.DUMMYFUNCTION("SPLIT(B666,"" "")"),"#VALUE!")</f>
        <v>#VALUE!</v>
      </c>
      <c r="E666" s="2" t="str">
        <f t="shared" si="2"/>
        <v>$ cd wjdpws</v>
      </c>
      <c r="F666" s="2" t="str">
        <f>IFERROR(__xludf.DUMMYFUNCTION("SPLIT(E666,"" "")"),"$")</f>
        <v>$</v>
      </c>
      <c r="G666" s="2" t="str">
        <f>IFERROR(__xludf.DUMMYFUNCTION("""COMPUTED_VALUE"""),"cd")</f>
        <v>cd</v>
      </c>
      <c r="H666" s="2" t="str">
        <f>IFERROR(__xludf.DUMMYFUNCTION("""COMPUTED_VALUE"""),"wjdpws")</f>
        <v>wjdpws</v>
      </c>
      <c r="I666" s="2" t="str">
        <f t="shared" si="3"/>
        <v>#VALUE!</v>
      </c>
      <c r="J666" s="2" t="str">
        <f>IFERROR(__xludf.DUMMYFUNCTION("SPLIT(I666,"" "")"),"#VALUE!")</f>
        <v>#VALUE!</v>
      </c>
      <c r="M666" s="2" t="b">
        <f t="shared" si="4"/>
        <v>0</v>
      </c>
      <c r="N666" s="2" t="b">
        <f>IFERROR(__xludf.DUMMYFUNCTION("IF(AND(REGEXMATCH($G$4, ""cd""),M666),N665+J666)"),FALSE)</f>
        <v>0</v>
      </c>
      <c r="O666" s="2" t="str">
        <f t="shared" si="5"/>
        <v>#N/A</v>
      </c>
    </row>
    <row r="667">
      <c r="A667" s="1" t="s">
        <v>2</v>
      </c>
      <c r="B667" s="2" t="str">
        <f t="shared" si="1"/>
        <v>#VALUE!</v>
      </c>
      <c r="C667" s="2" t="str">
        <f>IFERROR(__xludf.DUMMYFUNCTION("SPLIT(B667,"" "")"),"#VALUE!")</f>
        <v>#VALUE!</v>
      </c>
      <c r="E667" s="2" t="str">
        <f t="shared" si="2"/>
        <v>#VALUE!</v>
      </c>
      <c r="F667" s="2" t="str">
        <f>IFERROR(__xludf.DUMMYFUNCTION("SPLIT(E667,"" "")"),"#VALUE!")</f>
        <v>#VALUE!</v>
      </c>
      <c r="I667" s="2" t="str">
        <f t="shared" si="3"/>
        <v>#VALUE!</v>
      </c>
      <c r="J667" s="2" t="str">
        <f>IFERROR(__xludf.DUMMYFUNCTION("SPLIT(I667,"" "")"),"#VALUE!")</f>
        <v>#VALUE!</v>
      </c>
      <c r="M667" s="2" t="b">
        <f t="shared" si="4"/>
        <v>0</v>
      </c>
      <c r="N667" s="2" t="b">
        <f>IFERROR(__xludf.DUMMYFUNCTION("IF(AND(REGEXMATCH($G$4, ""cd""),M667),N666+J667)"),FALSE)</f>
        <v>0</v>
      </c>
      <c r="O667" s="2" t="str">
        <f t="shared" si="5"/>
        <v>#N/A</v>
      </c>
    </row>
    <row r="668">
      <c r="A668" s="1" t="s">
        <v>50</v>
      </c>
      <c r="B668" s="2" t="str">
        <f t="shared" si="1"/>
        <v>dir hlvpfw</v>
      </c>
      <c r="C668" s="2" t="str">
        <f>IFERROR(__xludf.DUMMYFUNCTION("SPLIT(B668,"" "")"),"dir")</f>
        <v>dir</v>
      </c>
      <c r="D668" s="2" t="str">
        <f>IFERROR(__xludf.DUMMYFUNCTION("""COMPUTED_VALUE"""),"hlvpfw")</f>
        <v>hlvpfw</v>
      </c>
      <c r="E668" s="2" t="str">
        <f t="shared" si="2"/>
        <v>#VALUE!</v>
      </c>
      <c r="F668" s="2" t="str">
        <f>IFERROR(__xludf.DUMMYFUNCTION("SPLIT(E668,"" "")"),"#VALUE!")</f>
        <v>#VALUE!</v>
      </c>
      <c r="I668" s="2" t="str">
        <f t="shared" si="3"/>
        <v>#VALUE!</v>
      </c>
      <c r="J668" s="2" t="str">
        <f>IFERROR(__xludf.DUMMYFUNCTION("SPLIT(I668,"" "")"),"#VALUE!")</f>
        <v>#VALUE!</v>
      </c>
      <c r="M668" s="2" t="b">
        <f t="shared" si="4"/>
        <v>0</v>
      </c>
      <c r="N668" s="2" t="b">
        <f>IFERROR(__xludf.DUMMYFUNCTION("IF(AND(REGEXMATCH($G$4, ""cd""),M668),N667+J668)"),FALSE)</f>
        <v>0</v>
      </c>
      <c r="O668" s="2" t="str">
        <f t="shared" si="5"/>
        <v>#N/A</v>
      </c>
    </row>
    <row r="669">
      <c r="A669" s="1" t="s">
        <v>52</v>
      </c>
      <c r="B669" s="2" t="str">
        <f t="shared" si="1"/>
        <v>#VALUE!</v>
      </c>
      <c r="C669" s="2" t="str">
        <f>IFERROR(__xludf.DUMMYFUNCTION("SPLIT(B669,"" "")"),"#VALUE!")</f>
        <v>#VALUE!</v>
      </c>
      <c r="E669" s="2" t="str">
        <f t="shared" si="2"/>
        <v>$ cd hlvpfw</v>
      </c>
      <c r="F669" s="2" t="str">
        <f>IFERROR(__xludf.DUMMYFUNCTION("SPLIT(E669,"" "")"),"$")</f>
        <v>$</v>
      </c>
      <c r="G669" s="2" t="str">
        <f>IFERROR(__xludf.DUMMYFUNCTION("""COMPUTED_VALUE"""),"cd")</f>
        <v>cd</v>
      </c>
      <c r="H669" s="2" t="str">
        <f>IFERROR(__xludf.DUMMYFUNCTION("""COMPUTED_VALUE"""),"hlvpfw")</f>
        <v>hlvpfw</v>
      </c>
      <c r="I669" s="2" t="str">
        <f t="shared" si="3"/>
        <v>#VALUE!</v>
      </c>
      <c r="J669" s="2" t="str">
        <f>IFERROR(__xludf.DUMMYFUNCTION("SPLIT(I669,"" "")"),"#VALUE!")</f>
        <v>#VALUE!</v>
      </c>
      <c r="M669" s="2" t="b">
        <f t="shared" si="4"/>
        <v>0</v>
      </c>
      <c r="N669" s="2" t="b">
        <f>IFERROR(__xludf.DUMMYFUNCTION("IF(AND(REGEXMATCH($G$4, ""cd""),M669),N668+J669)"),FALSE)</f>
        <v>0</v>
      </c>
      <c r="O669" s="2" t="str">
        <f t="shared" si="5"/>
        <v>#N/A</v>
      </c>
    </row>
    <row r="670">
      <c r="A670" s="1" t="s">
        <v>2</v>
      </c>
      <c r="B670" s="2" t="str">
        <f t="shared" si="1"/>
        <v>#VALUE!</v>
      </c>
      <c r="C670" s="2" t="str">
        <f>IFERROR(__xludf.DUMMYFUNCTION("SPLIT(B670,"" "")"),"#VALUE!")</f>
        <v>#VALUE!</v>
      </c>
      <c r="E670" s="2" t="str">
        <f t="shared" si="2"/>
        <v>#VALUE!</v>
      </c>
      <c r="F670" s="2" t="str">
        <f>IFERROR(__xludf.DUMMYFUNCTION("SPLIT(E670,"" "")"),"#VALUE!")</f>
        <v>#VALUE!</v>
      </c>
      <c r="I670" s="2" t="str">
        <f t="shared" si="3"/>
        <v>#VALUE!</v>
      </c>
      <c r="J670" s="2" t="str">
        <f>IFERROR(__xludf.DUMMYFUNCTION("SPLIT(I670,"" "")"),"#VALUE!")</f>
        <v>#VALUE!</v>
      </c>
      <c r="M670" s="2" t="b">
        <f t="shared" si="4"/>
        <v>0</v>
      </c>
      <c r="N670" s="2" t="b">
        <f>IFERROR(__xludf.DUMMYFUNCTION("IF(AND(REGEXMATCH($G$4, ""cd""),M670),N669+J670)"),FALSE)</f>
        <v>0</v>
      </c>
      <c r="O670" s="2" t="str">
        <f t="shared" si="5"/>
        <v>#N/A</v>
      </c>
    </row>
    <row r="671">
      <c r="A671" s="1" t="s">
        <v>387</v>
      </c>
      <c r="B671" s="2" t="str">
        <f t="shared" si="1"/>
        <v>#VALUE!</v>
      </c>
      <c r="C671" s="2" t="str">
        <f>IFERROR(__xludf.DUMMYFUNCTION("SPLIT(B671,"" "")"),"#VALUE!")</f>
        <v>#VALUE!</v>
      </c>
      <c r="E671" s="2" t="str">
        <f t="shared" si="2"/>
        <v>#VALUE!</v>
      </c>
      <c r="F671" s="2" t="str">
        <f>IFERROR(__xludf.DUMMYFUNCTION("SPLIT(E671,"" "")"),"#VALUE!")</f>
        <v>#VALUE!</v>
      </c>
      <c r="I671" s="2" t="str">
        <f t="shared" si="3"/>
        <v>324522 zbdp.gqb</v>
      </c>
      <c r="J671" s="2">
        <f>IFERROR(__xludf.DUMMYFUNCTION("SPLIT(I671,"" "")"),324522.0)</f>
        <v>324522</v>
      </c>
      <c r="K671" s="2" t="str">
        <f>IFERROR(__xludf.DUMMYFUNCTION("""COMPUTED_VALUE"""),"zbdp.gqb")</f>
        <v>zbdp.gqb</v>
      </c>
      <c r="M671" s="2" t="b">
        <f t="shared" si="4"/>
        <v>1</v>
      </c>
      <c r="N671" s="2">
        <f>IFERROR(__xludf.DUMMYFUNCTION("IF(AND(REGEXMATCH($G$4, ""cd""),M671),N670+J671)"),324522.0)</f>
        <v>324522</v>
      </c>
      <c r="O671" s="2" t="str">
        <f t="shared" si="5"/>
        <v>#N/A</v>
      </c>
    </row>
    <row r="672">
      <c r="A672" s="1" t="s">
        <v>17</v>
      </c>
      <c r="B672" s="2" t="str">
        <f t="shared" si="1"/>
        <v>#VALUE!</v>
      </c>
      <c r="C672" s="2" t="str">
        <f>IFERROR(__xludf.DUMMYFUNCTION("SPLIT(B672,"" "")"),"#VALUE!")</f>
        <v>#VALUE!</v>
      </c>
      <c r="E672" s="2" t="str">
        <f t="shared" si="2"/>
        <v>$ cd ..</v>
      </c>
      <c r="F672" s="2" t="str">
        <f>IFERROR(__xludf.DUMMYFUNCTION("SPLIT(E672,"" "")"),"$")</f>
        <v>$</v>
      </c>
      <c r="G672" s="2" t="str">
        <f>IFERROR(__xludf.DUMMYFUNCTION("""COMPUTED_VALUE"""),"cd")</f>
        <v>cd</v>
      </c>
      <c r="H672" s="2" t="str">
        <f>IFERROR(__xludf.DUMMYFUNCTION("""COMPUTED_VALUE"""),"..")</f>
        <v>..</v>
      </c>
      <c r="I672" s="2" t="str">
        <f t="shared" si="3"/>
        <v>$ cd ..</v>
      </c>
      <c r="J672" s="2" t="str">
        <f>IFERROR(__xludf.DUMMYFUNCTION("SPLIT(I672,"" "")"),"$")</f>
        <v>$</v>
      </c>
      <c r="K672" s="2" t="str">
        <f>IFERROR(__xludf.DUMMYFUNCTION("""COMPUTED_VALUE"""),"cd")</f>
        <v>cd</v>
      </c>
      <c r="L672" s="2" t="str">
        <f>IFERROR(__xludf.DUMMYFUNCTION("""COMPUTED_VALUE"""),"..")</f>
        <v>..</v>
      </c>
      <c r="M672" s="2" t="b">
        <f t="shared" si="4"/>
        <v>0</v>
      </c>
      <c r="N672" s="2" t="b">
        <f>IFERROR(__xludf.DUMMYFUNCTION("IF(AND(REGEXMATCH($G$4, ""cd""),M672),N671+J672)"),FALSE)</f>
        <v>0</v>
      </c>
      <c r="O672" s="2" t="str">
        <f t="shared" si="5"/>
        <v>#N/A</v>
      </c>
    </row>
    <row r="673">
      <c r="A673" s="1" t="s">
        <v>17</v>
      </c>
      <c r="B673" s="2" t="str">
        <f t="shared" si="1"/>
        <v>#VALUE!</v>
      </c>
      <c r="C673" s="2" t="str">
        <f>IFERROR(__xludf.DUMMYFUNCTION("SPLIT(B673,"" "")"),"#VALUE!")</f>
        <v>#VALUE!</v>
      </c>
      <c r="E673" s="2" t="str">
        <f t="shared" si="2"/>
        <v>$ cd ..</v>
      </c>
      <c r="F673" s="2" t="str">
        <f>IFERROR(__xludf.DUMMYFUNCTION("SPLIT(E673,"" "")"),"$")</f>
        <v>$</v>
      </c>
      <c r="G673" s="2" t="str">
        <f>IFERROR(__xludf.DUMMYFUNCTION("""COMPUTED_VALUE"""),"cd")</f>
        <v>cd</v>
      </c>
      <c r="H673" s="2" t="str">
        <f>IFERROR(__xludf.DUMMYFUNCTION("""COMPUTED_VALUE"""),"..")</f>
        <v>..</v>
      </c>
      <c r="I673" s="2" t="str">
        <f t="shared" si="3"/>
        <v>$ cd ..</v>
      </c>
      <c r="J673" s="2" t="str">
        <f>IFERROR(__xludf.DUMMYFUNCTION("SPLIT(I673,"" "")"),"$")</f>
        <v>$</v>
      </c>
      <c r="K673" s="2" t="str">
        <f>IFERROR(__xludf.DUMMYFUNCTION("""COMPUTED_VALUE"""),"cd")</f>
        <v>cd</v>
      </c>
      <c r="L673" s="2" t="str">
        <f>IFERROR(__xludf.DUMMYFUNCTION("""COMPUTED_VALUE"""),"..")</f>
        <v>..</v>
      </c>
      <c r="M673" s="2" t="b">
        <f t="shared" si="4"/>
        <v>0</v>
      </c>
      <c r="N673" s="2" t="b">
        <f>IFERROR(__xludf.DUMMYFUNCTION("IF(AND(REGEXMATCH($G$4, ""cd""),M673),N672+J673)"),FALSE)</f>
        <v>0</v>
      </c>
      <c r="O673" s="2" t="str">
        <f t="shared" si="5"/>
        <v>#N/A</v>
      </c>
    </row>
    <row r="674">
      <c r="A674" s="1" t="s">
        <v>17</v>
      </c>
      <c r="B674" s="2" t="str">
        <f t="shared" si="1"/>
        <v>#VALUE!</v>
      </c>
      <c r="C674" s="2" t="str">
        <f>IFERROR(__xludf.DUMMYFUNCTION("SPLIT(B674,"" "")"),"#VALUE!")</f>
        <v>#VALUE!</v>
      </c>
      <c r="E674" s="2" t="str">
        <f t="shared" si="2"/>
        <v>$ cd ..</v>
      </c>
      <c r="F674" s="2" t="str">
        <f>IFERROR(__xludf.DUMMYFUNCTION("SPLIT(E674,"" "")"),"$")</f>
        <v>$</v>
      </c>
      <c r="G674" s="2" t="str">
        <f>IFERROR(__xludf.DUMMYFUNCTION("""COMPUTED_VALUE"""),"cd")</f>
        <v>cd</v>
      </c>
      <c r="H674" s="2" t="str">
        <f>IFERROR(__xludf.DUMMYFUNCTION("""COMPUTED_VALUE"""),"..")</f>
        <v>..</v>
      </c>
      <c r="I674" s="2" t="str">
        <f t="shared" si="3"/>
        <v>$ cd ..</v>
      </c>
      <c r="J674" s="2" t="str">
        <f>IFERROR(__xludf.DUMMYFUNCTION("SPLIT(I674,"" "")"),"$")</f>
        <v>$</v>
      </c>
      <c r="K674" s="2" t="str">
        <f>IFERROR(__xludf.DUMMYFUNCTION("""COMPUTED_VALUE"""),"cd")</f>
        <v>cd</v>
      </c>
      <c r="L674" s="2" t="str">
        <f>IFERROR(__xludf.DUMMYFUNCTION("""COMPUTED_VALUE"""),"..")</f>
        <v>..</v>
      </c>
      <c r="M674" s="2" t="b">
        <f t="shared" si="4"/>
        <v>0</v>
      </c>
      <c r="N674" s="2" t="b">
        <f>IFERROR(__xludf.DUMMYFUNCTION("IF(AND(REGEXMATCH($G$4, ""cd""),M674),N673+J674)"),FALSE)</f>
        <v>0</v>
      </c>
      <c r="O674" s="2" t="str">
        <f t="shared" si="5"/>
        <v>#N/A</v>
      </c>
    </row>
    <row r="675">
      <c r="A675" s="1" t="s">
        <v>17</v>
      </c>
      <c r="B675" s="2" t="str">
        <f t="shared" si="1"/>
        <v>#VALUE!</v>
      </c>
      <c r="C675" s="2" t="str">
        <f>IFERROR(__xludf.DUMMYFUNCTION("SPLIT(B675,"" "")"),"#VALUE!")</f>
        <v>#VALUE!</v>
      </c>
      <c r="E675" s="2" t="str">
        <f t="shared" si="2"/>
        <v>$ cd ..</v>
      </c>
      <c r="F675" s="2" t="str">
        <f>IFERROR(__xludf.DUMMYFUNCTION("SPLIT(E675,"" "")"),"$")</f>
        <v>$</v>
      </c>
      <c r="G675" s="2" t="str">
        <f>IFERROR(__xludf.DUMMYFUNCTION("""COMPUTED_VALUE"""),"cd")</f>
        <v>cd</v>
      </c>
      <c r="H675" s="2" t="str">
        <f>IFERROR(__xludf.DUMMYFUNCTION("""COMPUTED_VALUE"""),"..")</f>
        <v>..</v>
      </c>
      <c r="I675" s="2" t="str">
        <f t="shared" si="3"/>
        <v>$ cd ..</v>
      </c>
      <c r="J675" s="2" t="str">
        <f>IFERROR(__xludf.DUMMYFUNCTION("SPLIT(I675,"" "")"),"$")</f>
        <v>$</v>
      </c>
      <c r="K675" s="2" t="str">
        <f>IFERROR(__xludf.DUMMYFUNCTION("""COMPUTED_VALUE"""),"cd")</f>
        <v>cd</v>
      </c>
      <c r="L675" s="2" t="str">
        <f>IFERROR(__xludf.DUMMYFUNCTION("""COMPUTED_VALUE"""),"..")</f>
        <v>..</v>
      </c>
      <c r="M675" s="2" t="b">
        <f t="shared" si="4"/>
        <v>0</v>
      </c>
      <c r="N675" s="2" t="b">
        <f>IFERROR(__xludf.DUMMYFUNCTION("IF(AND(REGEXMATCH($G$4, ""cd""),M675),N674+J675)"),FALSE)</f>
        <v>0</v>
      </c>
      <c r="O675" s="2" t="str">
        <f t="shared" si="5"/>
        <v>#N/A</v>
      </c>
    </row>
    <row r="676">
      <c r="A676" s="1" t="s">
        <v>388</v>
      </c>
      <c r="B676" s="2" t="str">
        <f t="shared" si="1"/>
        <v>#VALUE!</v>
      </c>
      <c r="C676" s="2" t="str">
        <f>IFERROR(__xludf.DUMMYFUNCTION("SPLIT(B676,"" "")"),"#VALUE!")</f>
        <v>#VALUE!</v>
      </c>
      <c r="E676" s="2" t="str">
        <f t="shared" si="2"/>
        <v>$ cd zddrb</v>
      </c>
      <c r="F676" s="2" t="str">
        <f>IFERROR(__xludf.DUMMYFUNCTION("SPLIT(E676,"" "")"),"$")</f>
        <v>$</v>
      </c>
      <c r="G676" s="2" t="str">
        <f>IFERROR(__xludf.DUMMYFUNCTION("""COMPUTED_VALUE"""),"cd")</f>
        <v>cd</v>
      </c>
      <c r="H676" s="2" t="str">
        <f>IFERROR(__xludf.DUMMYFUNCTION("""COMPUTED_VALUE"""),"zddrb")</f>
        <v>zddrb</v>
      </c>
      <c r="I676" s="2" t="str">
        <f t="shared" si="3"/>
        <v>#VALUE!</v>
      </c>
      <c r="J676" s="2" t="str">
        <f>IFERROR(__xludf.DUMMYFUNCTION("SPLIT(I676,"" "")"),"#VALUE!")</f>
        <v>#VALUE!</v>
      </c>
      <c r="M676" s="2" t="b">
        <f t="shared" si="4"/>
        <v>0</v>
      </c>
      <c r="N676" s="2" t="b">
        <f>IFERROR(__xludf.DUMMYFUNCTION("IF(AND(REGEXMATCH($G$4, ""cd""),M676),N675+J676)"),FALSE)</f>
        <v>0</v>
      </c>
      <c r="O676" s="2" t="str">
        <f t="shared" si="5"/>
        <v>#N/A</v>
      </c>
    </row>
    <row r="677">
      <c r="A677" s="1" t="s">
        <v>2</v>
      </c>
      <c r="B677" s="2" t="str">
        <f t="shared" si="1"/>
        <v>#VALUE!</v>
      </c>
      <c r="C677" s="2" t="str">
        <f>IFERROR(__xludf.DUMMYFUNCTION("SPLIT(B677,"" "")"),"#VALUE!")</f>
        <v>#VALUE!</v>
      </c>
      <c r="E677" s="2" t="str">
        <f t="shared" si="2"/>
        <v>#VALUE!</v>
      </c>
      <c r="F677" s="2" t="str">
        <f>IFERROR(__xludf.DUMMYFUNCTION("SPLIT(E677,"" "")"),"#VALUE!")</f>
        <v>#VALUE!</v>
      </c>
      <c r="I677" s="2" t="str">
        <f t="shared" si="3"/>
        <v>#VALUE!</v>
      </c>
      <c r="J677" s="2" t="str">
        <f>IFERROR(__xludf.DUMMYFUNCTION("SPLIT(I677,"" "")"),"#VALUE!")</f>
        <v>#VALUE!</v>
      </c>
      <c r="M677" s="2" t="b">
        <f t="shared" si="4"/>
        <v>0</v>
      </c>
      <c r="N677" s="2" t="b">
        <f>IFERROR(__xludf.DUMMYFUNCTION("IF(AND(REGEXMATCH($G$4, ""cd""),M677),N676+J677)"),FALSE)</f>
        <v>0</v>
      </c>
      <c r="O677" s="2" t="str">
        <f t="shared" si="5"/>
        <v>#N/A</v>
      </c>
    </row>
    <row r="678">
      <c r="A678" s="1" t="s">
        <v>389</v>
      </c>
      <c r="B678" s="2" t="str">
        <f t="shared" si="1"/>
        <v>#VALUE!</v>
      </c>
      <c r="C678" s="2" t="str">
        <f>IFERROR(__xludf.DUMMYFUNCTION("SPLIT(B678,"" "")"),"#VALUE!")</f>
        <v>#VALUE!</v>
      </c>
      <c r="E678" s="2" t="str">
        <f t="shared" si="2"/>
        <v>#VALUE!</v>
      </c>
      <c r="F678" s="2" t="str">
        <f>IFERROR(__xludf.DUMMYFUNCTION("SPLIT(E678,"" "")"),"#VALUE!")</f>
        <v>#VALUE!</v>
      </c>
      <c r="I678" s="2" t="str">
        <f t="shared" si="3"/>
        <v>238213 dhrdjfzl.npj</v>
      </c>
      <c r="J678" s="2">
        <f>IFERROR(__xludf.DUMMYFUNCTION("SPLIT(I678,"" "")"),238213.0)</f>
        <v>238213</v>
      </c>
      <c r="K678" s="2" t="str">
        <f>IFERROR(__xludf.DUMMYFUNCTION("""COMPUTED_VALUE"""),"dhrdjfzl.npj")</f>
        <v>dhrdjfzl.npj</v>
      </c>
      <c r="M678" s="2" t="b">
        <f t="shared" si="4"/>
        <v>1</v>
      </c>
      <c r="N678" s="2">
        <f>IFERROR(__xludf.DUMMYFUNCTION("IF(AND(REGEXMATCH($G$4, ""cd""),M678),N677+J678)"),238213.0)</f>
        <v>238213</v>
      </c>
      <c r="O678" s="2" t="str">
        <f t="shared" si="5"/>
        <v>#N/A</v>
      </c>
    </row>
    <row r="679">
      <c r="A679" s="1" t="s">
        <v>390</v>
      </c>
      <c r="B679" s="2" t="str">
        <f t="shared" si="1"/>
        <v>#VALUE!</v>
      </c>
      <c r="C679" s="2" t="str">
        <f>IFERROR(__xludf.DUMMYFUNCTION("SPLIT(B679,"" "")"),"#VALUE!")</f>
        <v>#VALUE!</v>
      </c>
      <c r="E679" s="2" t="str">
        <f t="shared" si="2"/>
        <v>#VALUE!</v>
      </c>
      <c r="F679" s="2" t="str">
        <f>IFERROR(__xludf.DUMMYFUNCTION("SPLIT(E679,"" "")"),"#VALUE!")</f>
        <v>#VALUE!</v>
      </c>
      <c r="I679" s="2" t="str">
        <f t="shared" si="3"/>
        <v>#VALUE!</v>
      </c>
      <c r="J679" s="2" t="str">
        <f>IFERROR(__xludf.DUMMYFUNCTION("SPLIT(I679,"" "")"),"#VALUE!")</f>
        <v>#VALUE!</v>
      </c>
      <c r="M679" s="2" t="b">
        <f t="shared" si="4"/>
        <v>0</v>
      </c>
      <c r="N679" s="2" t="b">
        <f>IFERROR(__xludf.DUMMYFUNCTION("IF(AND(REGEXMATCH($G$4, ""cd""),M679),N678+J679)"),FALSE)</f>
        <v>0</v>
      </c>
      <c r="O679" s="2" t="str">
        <f t="shared" si="5"/>
        <v>#N/A</v>
      </c>
    </row>
    <row r="680">
      <c r="A680" s="1" t="s">
        <v>391</v>
      </c>
      <c r="B680" s="2" t="str">
        <f t="shared" si="1"/>
        <v>#VALUE!</v>
      </c>
      <c r="C680" s="2" t="str">
        <f>IFERROR(__xludf.DUMMYFUNCTION("SPLIT(B680,"" "")"),"#VALUE!")</f>
        <v>#VALUE!</v>
      </c>
      <c r="E680" s="2" t="str">
        <f t="shared" si="2"/>
        <v>#VALUE!</v>
      </c>
      <c r="F680" s="2" t="str">
        <f>IFERROR(__xludf.DUMMYFUNCTION("SPLIT(E680,"" "")"),"#VALUE!")</f>
        <v>#VALUE!</v>
      </c>
      <c r="I680" s="2" t="str">
        <f t="shared" si="3"/>
        <v>313900 hlvpfw.bwd</v>
      </c>
      <c r="J680" s="2">
        <f>IFERROR(__xludf.DUMMYFUNCTION("SPLIT(I680,"" "")"),313900.0)</f>
        <v>313900</v>
      </c>
      <c r="K680" s="2" t="str">
        <f>IFERROR(__xludf.DUMMYFUNCTION("""COMPUTED_VALUE"""),"hlvpfw.bwd")</f>
        <v>hlvpfw.bwd</v>
      </c>
      <c r="M680" s="2" t="b">
        <f t="shared" si="4"/>
        <v>1</v>
      </c>
      <c r="N680" s="2">
        <f>IFERROR(__xludf.DUMMYFUNCTION("IF(AND(REGEXMATCH($G$4, ""cd""),M680),N679+J680)"),313900.0)</f>
        <v>313900</v>
      </c>
      <c r="O680" s="2" t="str">
        <f t="shared" si="5"/>
        <v>#N/A</v>
      </c>
    </row>
    <row r="681">
      <c r="A681" s="1" t="s">
        <v>392</v>
      </c>
      <c r="B681" s="2" t="str">
        <f t="shared" si="1"/>
        <v>dir pgbgpn</v>
      </c>
      <c r="C681" s="2" t="str">
        <f>IFERROR(__xludf.DUMMYFUNCTION("SPLIT(B681,"" "")"),"dir")</f>
        <v>dir</v>
      </c>
      <c r="D681" s="2" t="str">
        <f>IFERROR(__xludf.DUMMYFUNCTION("""COMPUTED_VALUE"""),"pgbgpn")</f>
        <v>pgbgpn</v>
      </c>
      <c r="E681" s="2" t="str">
        <f t="shared" si="2"/>
        <v>#VALUE!</v>
      </c>
      <c r="F681" s="2" t="str">
        <f>IFERROR(__xludf.DUMMYFUNCTION("SPLIT(E681,"" "")"),"#VALUE!")</f>
        <v>#VALUE!</v>
      </c>
      <c r="I681" s="2" t="str">
        <f t="shared" si="3"/>
        <v>#VALUE!</v>
      </c>
      <c r="J681" s="2" t="str">
        <f>IFERROR(__xludf.DUMMYFUNCTION("SPLIT(I681,"" "")"),"#VALUE!")</f>
        <v>#VALUE!</v>
      </c>
      <c r="M681" s="2" t="b">
        <f t="shared" si="4"/>
        <v>0</v>
      </c>
      <c r="N681" s="2" t="b">
        <f>IFERROR(__xludf.DUMMYFUNCTION("IF(AND(REGEXMATCH($G$4, ""cd""),M681),N680+J681)"),FALSE)</f>
        <v>0</v>
      </c>
      <c r="O681" s="2" t="str">
        <f t="shared" si="5"/>
        <v>#N/A</v>
      </c>
    </row>
    <row r="682">
      <c r="A682" s="1" t="s">
        <v>393</v>
      </c>
      <c r="B682" s="2" t="str">
        <f t="shared" si="1"/>
        <v>#VALUE!</v>
      </c>
      <c r="C682" s="2" t="str">
        <f>IFERROR(__xludf.DUMMYFUNCTION("SPLIT(B682,"" "")"),"#VALUE!")</f>
        <v>#VALUE!</v>
      </c>
      <c r="E682" s="2" t="str">
        <f t="shared" si="2"/>
        <v>#VALUE!</v>
      </c>
      <c r="F682" s="2" t="str">
        <f>IFERROR(__xludf.DUMMYFUNCTION("SPLIT(E682,"" "")"),"#VALUE!")</f>
        <v>#VALUE!</v>
      </c>
      <c r="I682" s="2" t="str">
        <f t="shared" si="3"/>
        <v>#VALUE!</v>
      </c>
      <c r="J682" s="2" t="str">
        <f>IFERROR(__xludf.DUMMYFUNCTION("SPLIT(I682,"" "")"),"#VALUE!")</f>
        <v>#VALUE!</v>
      </c>
      <c r="M682" s="2" t="b">
        <f t="shared" si="4"/>
        <v>0</v>
      </c>
      <c r="N682" s="2" t="b">
        <f>IFERROR(__xludf.DUMMYFUNCTION("IF(AND(REGEXMATCH($G$4, ""cd""),M682),N681+J682)"),FALSE)</f>
        <v>0</v>
      </c>
      <c r="O682" s="2" t="str">
        <f t="shared" si="5"/>
        <v>#N/A</v>
      </c>
    </row>
    <row r="683">
      <c r="A683" s="1" t="s">
        <v>39</v>
      </c>
      <c r="B683" s="2" t="str">
        <f t="shared" si="1"/>
        <v>dir slzdbm</v>
      </c>
      <c r="C683" s="2" t="str">
        <f>IFERROR(__xludf.DUMMYFUNCTION("SPLIT(B683,"" "")"),"dir")</f>
        <v>dir</v>
      </c>
      <c r="D683" s="2" t="str">
        <f>IFERROR(__xludf.DUMMYFUNCTION("""COMPUTED_VALUE"""),"slzdbm")</f>
        <v>slzdbm</v>
      </c>
      <c r="E683" s="2" t="str">
        <f t="shared" si="2"/>
        <v>#VALUE!</v>
      </c>
      <c r="F683" s="2" t="str">
        <f>IFERROR(__xludf.DUMMYFUNCTION("SPLIT(E683,"" "")"),"#VALUE!")</f>
        <v>#VALUE!</v>
      </c>
      <c r="I683" s="2" t="str">
        <f t="shared" si="3"/>
        <v>#VALUE!</v>
      </c>
      <c r="J683" s="2" t="str">
        <f>IFERROR(__xludf.DUMMYFUNCTION("SPLIT(I683,"" "")"),"#VALUE!")</f>
        <v>#VALUE!</v>
      </c>
      <c r="M683" s="2" t="b">
        <f t="shared" si="4"/>
        <v>0</v>
      </c>
      <c r="N683" s="2" t="b">
        <f>IFERROR(__xludf.DUMMYFUNCTION("IF(AND(REGEXMATCH($G$4, ""cd""),M683),N682+J683)"),FALSE)</f>
        <v>0</v>
      </c>
      <c r="O683" s="2" t="str">
        <f t="shared" si="5"/>
        <v>#N/A</v>
      </c>
    </row>
    <row r="684">
      <c r="A684" s="1" t="s">
        <v>394</v>
      </c>
      <c r="B684" s="2" t="str">
        <f t="shared" si="1"/>
        <v>#VALUE!</v>
      </c>
      <c r="C684" s="2" t="str">
        <f>IFERROR(__xludf.DUMMYFUNCTION("SPLIT(B684,"" "")"),"#VALUE!")</f>
        <v>#VALUE!</v>
      </c>
      <c r="E684" s="2" t="str">
        <f t="shared" si="2"/>
        <v>#VALUE!</v>
      </c>
      <c r="F684" s="2" t="str">
        <f>IFERROR(__xludf.DUMMYFUNCTION("SPLIT(E684,"" "")"),"#VALUE!")</f>
        <v>#VALUE!</v>
      </c>
      <c r="I684" s="2" t="str">
        <f t="shared" si="3"/>
        <v>#VALUE!</v>
      </c>
      <c r="J684" s="2" t="str">
        <f>IFERROR(__xludf.DUMMYFUNCTION("SPLIT(I684,"" "")"),"#VALUE!")</f>
        <v>#VALUE!</v>
      </c>
      <c r="M684" s="2" t="b">
        <f t="shared" si="4"/>
        <v>0</v>
      </c>
      <c r="N684" s="2" t="b">
        <f>IFERROR(__xludf.DUMMYFUNCTION("IF(AND(REGEXMATCH($G$4, ""cd""),M684),N683+J684)"),FALSE)</f>
        <v>0</v>
      </c>
      <c r="O684" s="2" t="str">
        <f t="shared" si="5"/>
        <v>#N/A</v>
      </c>
    </row>
    <row r="685">
      <c r="A685" s="1" t="s">
        <v>395</v>
      </c>
      <c r="B685" s="2" t="str">
        <f t="shared" si="1"/>
        <v>dir zdhcp</v>
      </c>
      <c r="C685" s="2" t="str">
        <f>IFERROR(__xludf.DUMMYFUNCTION("SPLIT(B685,"" "")"),"dir")</f>
        <v>dir</v>
      </c>
      <c r="D685" s="2" t="str">
        <f>IFERROR(__xludf.DUMMYFUNCTION("""COMPUTED_VALUE"""),"zdhcp")</f>
        <v>zdhcp</v>
      </c>
      <c r="E685" s="2" t="str">
        <f t="shared" si="2"/>
        <v>#VALUE!</v>
      </c>
      <c r="F685" s="2" t="str">
        <f>IFERROR(__xludf.DUMMYFUNCTION("SPLIT(E685,"" "")"),"#VALUE!")</f>
        <v>#VALUE!</v>
      </c>
      <c r="I685" s="2" t="str">
        <f t="shared" si="3"/>
        <v>#VALUE!</v>
      </c>
      <c r="J685" s="2" t="str">
        <f>IFERROR(__xludf.DUMMYFUNCTION("SPLIT(I685,"" "")"),"#VALUE!")</f>
        <v>#VALUE!</v>
      </c>
      <c r="M685" s="2" t="b">
        <f t="shared" si="4"/>
        <v>0</v>
      </c>
      <c r="N685" s="2" t="b">
        <f>IFERROR(__xludf.DUMMYFUNCTION("IF(AND(REGEXMATCH($G$4, ""cd""),M685),N684+J685)"),FALSE)</f>
        <v>0</v>
      </c>
      <c r="O685" s="2" t="str">
        <f t="shared" si="5"/>
        <v>#N/A</v>
      </c>
    </row>
    <row r="686">
      <c r="A686" s="1" t="s">
        <v>396</v>
      </c>
      <c r="B686" s="2" t="str">
        <f t="shared" si="1"/>
        <v>#VALUE!</v>
      </c>
      <c r="C686" s="2" t="str">
        <f>IFERROR(__xludf.DUMMYFUNCTION("SPLIT(B686,"" "")"),"#VALUE!")</f>
        <v>#VALUE!</v>
      </c>
      <c r="E686" s="2" t="str">
        <f t="shared" si="2"/>
        <v>$ cd pgbgpn</v>
      </c>
      <c r="F686" s="2" t="str">
        <f>IFERROR(__xludf.DUMMYFUNCTION("SPLIT(E686,"" "")"),"$")</f>
        <v>$</v>
      </c>
      <c r="G686" s="2" t="str">
        <f>IFERROR(__xludf.DUMMYFUNCTION("""COMPUTED_VALUE"""),"cd")</f>
        <v>cd</v>
      </c>
      <c r="H686" s="2" t="str">
        <f>IFERROR(__xludf.DUMMYFUNCTION("""COMPUTED_VALUE"""),"pgbgpn")</f>
        <v>pgbgpn</v>
      </c>
      <c r="I686" s="2" t="str">
        <f t="shared" si="3"/>
        <v>#VALUE!</v>
      </c>
      <c r="J686" s="2" t="str">
        <f>IFERROR(__xludf.DUMMYFUNCTION("SPLIT(I686,"" "")"),"#VALUE!")</f>
        <v>#VALUE!</v>
      </c>
      <c r="M686" s="2" t="b">
        <f t="shared" si="4"/>
        <v>0</v>
      </c>
      <c r="N686" s="2" t="b">
        <f>IFERROR(__xludf.DUMMYFUNCTION("IF(AND(REGEXMATCH($G$4, ""cd""),M686),N685+J686)"),FALSE)</f>
        <v>0</v>
      </c>
      <c r="O686" s="2" t="str">
        <f t="shared" si="5"/>
        <v>#N/A</v>
      </c>
    </row>
    <row r="687">
      <c r="A687" s="1" t="s">
        <v>2</v>
      </c>
      <c r="B687" s="2" t="str">
        <f t="shared" si="1"/>
        <v>#VALUE!</v>
      </c>
      <c r="C687" s="2" t="str">
        <f>IFERROR(__xludf.DUMMYFUNCTION("SPLIT(B687,"" "")"),"#VALUE!")</f>
        <v>#VALUE!</v>
      </c>
      <c r="E687" s="2" t="str">
        <f t="shared" si="2"/>
        <v>#VALUE!</v>
      </c>
      <c r="F687" s="2" t="str">
        <f>IFERROR(__xludf.DUMMYFUNCTION("SPLIT(E687,"" "")"),"#VALUE!")</f>
        <v>#VALUE!</v>
      </c>
      <c r="I687" s="2" t="str">
        <f t="shared" si="3"/>
        <v>#VALUE!</v>
      </c>
      <c r="J687" s="2" t="str">
        <f>IFERROR(__xludf.DUMMYFUNCTION("SPLIT(I687,"" "")"),"#VALUE!")</f>
        <v>#VALUE!</v>
      </c>
      <c r="M687" s="2" t="b">
        <f t="shared" si="4"/>
        <v>0</v>
      </c>
      <c r="N687" s="2" t="b">
        <f>IFERROR(__xludf.DUMMYFUNCTION("IF(AND(REGEXMATCH($G$4, ""cd""),M687),N686+J687)"),FALSE)</f>
        <v>0</v>
      </c>
      <c r="O687" s="2" t="str">
        <f t="shared" si="5"/>
        <v>#N/A</v>
      </c>
    </row>
    <row r="688">
      <c r="A688" s="1" t="s">
        <v>397</v>
      </c>
      <c r="B688" s="2" t="str">
        <f t="shared" si="1"/>
        <v>dir jpmvrvt</v>
      </c>
      <c r="C688" s="2" t="str">
        <f>IFERROR(__xludf.DUMMYFUNCTION("SPLIT(B688,"" "")"),"dir")</f>
        <v>dir</v>
      </c>
      <c r="D688" s="2" t="str">
        <f>IFERROR(__xludf.DUMMYFUNCTION("""COMPUTED_VALUE"""),"jpmvrvt")</f>
        <v>jpmvrvt</v>
      </c>
      <c r="E688" s="2" t="str">
        <f t="shared" si="2"/>
        <v>#VALUE!</v>
      </c>
      <c r="F688" s="2" t="str">
        <f>IFERROR(__xludf.DUMMYFUNCTION("SPLIT(E688,"" "")"),"#VALUE!")</f>
        <v>#VALUE!</v>
      </c>
      <c r="I688" s="2" t="str">
        <f t="shared" si="3"/>
        <v>#VALUE!</v>
      </c>
      <c r="J688" s="2" t="str">
        <f>IFERROR(__xludf.DUMMYFUNCTION("SPLIT(I688,"" "")"),"#VALUE!")</f>
        <v>#VALUE!</v>
      </c>
      <c r="M688" s="2" t="b">
        <f t="shared" si="4"/>
        <v>0</v>
      </c>
      <c r="N688" s="2" t="b">
        <f>IFERROR(__xludf.DUMMYFUNCTION("IF(AND(REGEXMATCH($G$4, ""cd""),M688),N687+J688)"),FALSE)</f>
        <v>0</v>
      </c>
      <c r="O688" s="2" t="str">
        <f t="shared" si="5"/>
        <v>#N/A</v>
      </c>
    </row>
    <row r="689">
      <c r="A689" s="1" t="s">
        <v>398</v>
      </c>
      <c r="B689" s="2" t="str">
        <f t="shared" si="1"/>
        <v>#VALUE!</v>
      </c>
      <c r="C689" s="2" t="str">
        <f>IFERROR(__xludf.DUMMYFUNCTION("SPLIT(B689,"" "")"),"#VALUE!")</f>
        <v>#VALUE!</v>
      </c>
      <c r="E689" s="2" t="str">
        <f t="shared" si="2"/>
        <v>154268 mpq.cdn</v>
      </c>
      <c r="F689" s="2">
        <f>IFERROR(__xludf.DUMMYFUNCTION("SPLIT(E689,"" "")"),154268.0)</f>
        <v>154268</v>
      </c>
      <c r="G689" s="2" t="str">
        <f>IFERROR(__xludf.DUMMYFUNCTION("""COMPUTED_VALUE"""),"mpq.cdn")</f>
        <v>mpq.cdn</v>
      </c>
      <c r="I689" s="2" t="str">
        <f t="shared" si="3"/>
        <v>154268 mpq.cdn</v>
      </c>
      <c r="J689" s="2">
        <f>IFERROR(__xludf.DUMMYFUNCTION("SPLIT(I689,"" "")"),154268.0)</f>
        <v>154268</v>
      </c>
      <c r="K689" s="2" t="str">
        <f>IFERROR(__xludf.DUMMYFUNCTION("""COMPUTED_VALUE"""),"mpq.cdn")</f>
        <v>mpq.cdn</v>
      </c>
      <c r="M689" s="2" t="b">
        <f t="shared" si="4"/>
        <v>1</v>
      </c>
      <c r="N689" s="2">
        <f>IFERROR(__xludf.DUMMYFUNCTION("IF(AND(REGEXMATCH($G$4, ""cd""),M689),N688+J689)"),154268.0)</f>
        <v>154268</v>
      </c>
      <c r="O689" s="2" t="str">
        <f t="shared" si="5"/>
        <v>#N/A</v>
      </c>
    </row>
    <row r="690">
      <c r="A690" s="1" t="s">
        <v>128</v>
      </c>
      <c r="B690" s="2" t="str">
        <f t="shared" si="1"/>
        <v>dir mzsfcvgv</v>
      </c>
      <c r="C690" s="2" t="str">
        <f>IFERROR(__xludf.DUMMYFUNCTION("SPLIT(B690,"" "")"),"dir")</f>
        <v>dir</v>
      </c>
      <c r="D690" s="2" t="str">
        <f>IFERROR(__xludf.DUMMYFUNCTION("""COMPUTED_VALUE"""),"mzsfcvgv")</f>
        <v>mzsfcvgv</v>
      </c>
      <c r="E690" s="2" t="str">
        <f t="shared" si="2"/>
        <v>#VALUE!</v>
      </c>
      <c r="F690" s="2" t="str">
        <f>IFERROR(__xludf.DUMMYFUNCTION("SPLIT(E690,"" "")"),"#VALUE!")</f>
        <v>#VALUE!</v>
      </c>
      <c r="I690" s="2" t="str">
        <f t="shared" si="3"/>
        <v>#VALUE!</v>
      </c>
      <c r="J690" s="2" t="str">
        <f>IFERROR(__xludf.DUMMYFUNCTION("SPLIT(I690,"" "")"),"#VALUE!")</f>
        <v>#VALUE!</v>
      </c>
      <c r="M690" s="2" t="b">
        <f t="shared" si="4"/>
        <v>0</v>
      </c>
      <c r="N690" s="2" t="b">
        <f>IFERROR(__xludf.DUMMYFUNCTION("IF(AND(REGEXMATCH($G$4, ""cd""),M690),N689+J690)"),FALSE)</f>
        <v>0</v>
      </c>
      <c r="O690" s="2" t="str">
        <f t="shared" si="5"/>
        <v>#N/A</v>
      </c>
    </row>
    <row r="691">
      <c r="A691" s="1" t="s">
        <v>399</v>
      </c>
      <c r="B691" s="2" t="str">
        <f t="shared" si="1"/>
        <v>dir vvmwgngv</v>
      </c>
      <c r="C691" s="2" t="str">
        <f>IFERROR(__xludf.DUMMYFUNCTION("SPLIT(B691,"" "")"),"dir")</f>
        <v>dir</v>
      </c>
      <c r="D691" s="2" t="str">
        <f>IFERROR(__xludf.DUMMYFUNCTION("""COMPUTED_VALUE"""),"vvmwgngv")</f>
        <v>vvmwgngv</v>
      </c>
      <c r="E691" s="2" t="str">
        <f t="shared" si="2"/>
        <v>#VALUE!</v>
      </c>
      <c r="F691" s="2" t="str">
        <f>IFERROR(__xludf.DUMMYFUNCTION("SPLIT(E691,"" "")"),"#VALUE!")</f>
        <v>#VALUE!</v>
      </c>
      <c r="I691" s="2" t="str">
        <f t="shared" si="3"/>
        <v>#VALUE!</v>
      </c>
      <c r="J691" s="2" t="str">
        <f>IFERROR(__xludf.DUMMYFUNCTION("SPLIT(I691,"" "")"),"#VALUE!")</f>
        <v>#VALUE!</v>
      </c>
      <c r="M691" s="2" t="b">
        <f t="shared" si="4"/>
        <v>0</v>
      </c>
      <c r="N691" s="2" t="b">
        <f>IFERROR(__xludf.DUMMYFUNCTION("IF(AND(REGEXMATCH($G$4, ""cd""),M691),N690+J691)"),FALSE)</f>
        <v>0</v>
      </c>
      <c r="O691" s="2" t="str">
        <f t="shared" si="5"/>
        <v>#N/A</v>
      </c>
    </row>
    <row r="692">
      <c r="A692" s="1" t="s">
        <v>400</v>
      </c>
      <c r="B692" s="2" t="str">
        <f t="shared" si="1"/>
        <v>#VALUE!</v>
      </c>
      <c r="C692" s="2" t="str">
        <f>IFERROR(__xludf.DUMMYFUNCTION("SPLIT(B692,"" "")"),"#VALUE!")</f>
        <v>#VALUE!</v>
      </c>
      <c r="E692" s="2" t="str">
        <f t="shared" si="2"/>
        <v>$ cd jpmvrvt</v>
      </c>
      <c r="F692" s="2" t="str">
        <f>IFERROR(__xludf.DUMMYFUNCTION("SPLIT(E692,"" "")"),"$")</f>
        <v>$</v>
      </c>
      <c r="G692" s="2" t="str">
        <f>IFERROR(__xludf.DUMMYFUNCTION("""COMPUTED_VALUE"""),"cd")</f>
        <v>cd</v>
      </c>
      <c r="H692" s="2" t="str">
        <f>IFERROR(__xludf.DUMMYFUNCTION("""COMPUTED_VALUE"""),"jpmvrvt")</f>
        <v>jpmvrvt</v>
      </c>
      <c r="I692" s="2" t="str">
        <f t="shared" si="3"/>
        <v>#VALUE!</v>
      </c>
      <c r="J692" s="2" t="str">
        <f>IFERROR(__xludf.DUMMYFUNCTION("SPLIT(I692,"" "")"),"#VALUE!")</f>
        <v>#VALUE!</v>
      </c>
      <c r="M692" s="2" t="b">
        <f t="shared" si="4"/>
        <v>0</v>
      </c>
      <c r="N692" s="2" t="b">
        <f>IFERROR(__xludf.DUMMYFUNCTION("IF(AND(REGEXMATCH($G$4, ""cd""),M692),N691+J692)"),FALSE)</f>
        <v>0</v>
      </c>
      <c r="O692" s="2" t="str">
        <f t="shared" si="5"/>
        <v>#N/A</v>
      </c>
    </row>
    <row r="693">
      <c r="A693" s="1" t="s">
        <v>2</v>
      </c>
      <c r="B693" s="2" t="str">
        <f t="shared" si="1"/>
        <v>#VALUE!</v>
      </c>
      <c r="C693" s="2" t="str">
        <f>IFERROR(__xludf.DUMMYFUNCTION("SPLIT(B693,"" "")"),"#VALUE!")</f>
        <v>#VALUE!</v>
      </c>
      <c r="E693" s="2" t="str">
        <f t="shared" si="2"/>
        <v>#VALUE!</v>
      </c>
      <c r="F693" s="2" t="str">
        <f>IFERROR(__xludf.DUMMYFUNCTION("SPLIT(E693,"" "")"),"#VALUE!")</f>
        <v>#VALUE!</v>
      </c>
      <c r="I693" s="2" t="str">
        <f t="shared" si="3"/>
        <v>#VALUE!</v>
      </c>
      <c r="J693" s="2" t="str">
        <f>IFERROR(__xludf.DUMMYFUNCTION("SPLIT(I693,"" "")"),"#VALUE!")</f>
        <v>#VALUE!</v>
      </c>
      <c r="M693" s="2" t="b">
        <f t="shared" si="4"/>
        <v>0</v>
      </c>
      <c r="N693" s="2" t="b">
        <f>IFERROR(__xludf.DUMMYFUNCTION("IF(AND(REGEXMATCH($G$4, ""cd""),M693),N692+J693)"),FALSE)</f>
        <v>0</v>
      </c>
      <c r="O693" s="2" t="str">
        <f t="shared" si="5"/>
        <v>#N/A</v>
      </c>
    </row>
    <row r="694">
      <c r="A694" s="1" t="s">
        <v>401</v>
      </c>
      <c r="B694" s="2" t="str">
        <f t="shared" si="1"/>
        <v>#VALUE!</v>
      </c>
      <c r="C694" s="2" t="str">
        <f>IFERROR(__xludf.DUMMYFUNCTION("SPLIT(B694,"" "")"),"#VALUE!")</f>
        <v>#VALUE!</v>
      </c>
      <c r="E694" s="2" t="str">
        <f t="shared" si="2"/>
        <v>#VALUE!</v>
      </c>
      <c r="F694" s="2" t="str">
        <f>IFERROR(__xludf.DUMMYFUNCTION("SPLIT(E694,"" "")"),"#VALUE!")</f>
        <v>#VALUE!</v>
      </c>
      <c r="I694" s="2" t="str">
        <f t="shared" si="3"/>
        <v>#VALUE!</v>
      </c>
      <c r="J694" s="2" t="str">
        <f>IFERROR(__xludf.DUMMYFUNCTION("SPLIT(I694,"" "")"),"#VALUE!")</f>
        <v>#VALUE!</v>
      </c>
      <c r="M694" s="2" t="b">
        <f t="shared" si="4"/>
        <v>0</v>
      </c>
      <c r="N694" s="2" t="b">
        <f>IFERROR(__xludf.DUMMYFUNCTION("IF(AND(REGEXMATCH($G$4, ""cd""),M694),N693+J694)"),FALSE)</f>
        <v>0</v>
      </c>
      <c r="O694" s="2" t="str">
        <f t="shared" si="5"/>
        <v>#N/A</v>
      </c>
    </row>
    <row r="695">
      <c r="A695" s="1" t="s">
        <v>17</v>
      </c>
      <c r="B695" s="2" t="str">
        <f t="shared" si="1"/>
        <v>#VALUE!</v>
      </c>
      <c r="C695" s="2" t="str">
        <f>IFERROR(__xludf.DUMMYFUNCTION("SPLIT(B695,"" "")"),"#VALUE!")</f>
        <v>#VALUE!</v>
      </c>
      <c r="E695" s="2" t="str">
        <f t="shared" si="2"/>
        <v>$ cd ..</v>
      </c>
      <c r="F695" s="2" t="str">
        <f>IFERROR(__xludf.DUMMYFUNCTION("SPLIT(E695,"" "")"),"$")</f>
        <v>$</v>
      </c>
      <c r="G695" s="2" t="str">
        <f>IFERROR(__xludf.DUMMYFUNCTION("""COMPUTED_VALUE"""),"cd")</f>
        <v>cd</v>
      </c>
      <c r="H695" s="2" t="str">
        <f>IFERROR(__xludf.DUMMYFUNCTION("""COMPUTED_VALUE"""),"..")</f>
        <v>..</v>
      </c>
      <c r="I695" s="2" t="str">
        <f t="shared" si="3"/>
        <v>$ cd ..</v>
      </c>
      <c r="J695" s="2" t="str">
        <f>IFERROR(__xludf.DUMMYFUNCTION("SPLIT(I695,"" "")"),"$")</f>
        <v>$</v>
      </c>
      <c r="K695" s="2" t="str">
        <f>IFERROR(__xludf.DUMMYFUNCTION("""COMPUTED_VALUE"""),"cd")</f>
        <v>cd</v>
      </c>
      <c r="L695" s="2" t="str">
        <f>IFERROR(__xludf.DUMMYFUNCTION("""COMPUTED_VALUE"""),"..")</f>
        <v>..</v>
      </c>
      <c r="M695" s="2" t="b">
        <f t="shared" si="4"/>
        <v>0</v>
      </c>
      <c r="N695" s="2" t="b">
        <f>IFERROR(__xludf.DUMMYFUNCTION("IF(AND(REGEXMATCH($G$4, ""cd""),M695),N694+J695)"),FALSE)</f>
        <v>0</v>
      </c>
      <c r="O695" s="2" t="str">
        <f t="shared" si="5"/>
        <v>#N/A</v>
      </c>
    </row>
    <row r="696">
      <c r="A696" s="1" t="s">
        <v>131</v>
      </c>
      <c r="B696" s="2" t="str">
        <f t="shared" si="1"/>
        <v>#VALUE!</v>
      </c>
      <c r="C696" s="2" t="str">
        <f>IFERROR(__xludf.DUMMYFUNCTION("SPLIT(B696,"" "")"),"#VALUE!")</f>
        <v>#VALUE!</v>
      </c>
      <c r="E696" s="2" t="str">
        <f t="shared" si="2"/>
        <v>$ cd mzsfcvgv</v>
      </c>
      <c r="F696" s="2" t="str">
        <f>IFERROR(__xludf.DUMMYFUNCTION("SPLIT(E696,"" "")"),"$")</f>
        <v>$</v>
      </c>
      <c r="G696" s="2" t="str">
        <f>IFERROR(__xludf.DUMMYFUNCTION("""COMPUTED_VALUE"""),"cd")</f>
        <v>cd</v>
      </c>
      <c r="H696" s="2" t="str">
        <f>IFERROR(__xludf.DUMMYFUNCTION("""COMPUTED_VALUE"""),"mzsfcvgv")</f>
        <v>mzsfcvgv</v>
      </c>
      <c r="I696" s="2" t="str">
        <f t="shared" si="3"/>
        <v>#VALUE!</v>
      </c>
      <c r="J696" s="2" t="str">
        <f>IFERROR(__xludf.DUMMYFUNCTION("SPLIT(I696,"" "")"),"#VALUE!")</f>
        <v>#VALUE!</v>
      </c>
      <c r="M696" s="2" t="b">
        <f t="shared" si="4"/>
        <v>0</v>
      </c>
      <c r="N696" s="2" t="b">
        <f>IFERROR(__xludf.DUMMYFUNCTION("IF(AND(REGEXMATCH($G$4, ""cd""),M696),N695+J696)"),FALSE)</f>
        <v>0</v>
      </c>
      <c r="O696" s="2" t="str">
        <f t="shared" si="5"/>
        <v>#N/A</v>
      </c>
    </row>
    <row r="697">
      <c r="A697" s="1" t="s">
        <v>2</v>
      </c>
      <c r="B697" s="2" t="str">
        <f t="shared" si="1"/>
        <v>#VALUE!</v>
      </c>
      <c r="C697" s="2" t="str">
        <f>IFERROR(__xludf.DUMMYFUNCTION("SPLIT(B697,"" "")"),"#VALUE!")</f>
        <v>#VALUE!</v>
      </c>
      <c r="E697" s="2" t="str">
        <f t="shared" si="2"/>
        <v>#VALUE!</v>
      </c>
      <c r="F697" s="2" t="str">
        <f>IFERROR(__xludf.DUMMYFUNCTION("SPLIT(E697,"" "")"),"#VALUE!")</f>
        <v>#VALUE!</v>
      </c>
      <c r="I697" s="2" t="str">
        <f t="shared" si="3"/>
        <v>#VALUE!</v>
      </c>
      <c r="J697" s="2" t="str">
        <f>IFERROR(__xludf.DUMMYFUNCTION("SPLIT(I697,"" "")"),"#VALUE!")</f>
        <v>#VALUE!</v>
      </c>
      <c r="M697" s="2" t="b">
        <f t="shared" si="4"/>
        <v>0</v>
      </c>
      <c r="N697" s="2" t="b">
        <f>IFERROR(__xludf.DUMMYFUNCTION("IF(AND(REGEXMATCH($G$4, ""cd""),M697),N696+J697)"),FALSE)</f>
        <v>0</v>
      </c>
      <c r="O697" s="2" t="str">
        <f t="shared" si="5"/>
        <v>#N/A</v>
      </c>
    </row>
    <row r="698">
      <c r="A698" s="1" t="s">
        <v>402</v>
      </c>
      <c r="B698" s="2" t="str">
        <f t="shared" si="1"/>
        <v>#VALUE!</v>
      </c>
      <c r="C698" s="2" t="str">
        <f>IFERROR(__xludf.DUMMYFUNCTION("SPLIT(B698,"" "")"),"#VALUE!")</f>
        <v>#VALUE!</v>
      </c>
      <c r="E698" s="2" t="str">
        <f t="shared" si="2"/>
        <v>#VALUE!</v>
      </c>
      <c r="F698" s="2" t="str">
        <f>IFERROR(__xludf.DUMMYFUNCTION("SPLIT(E698,"" "")"),"#VALUE!")</f>
        <v>#VALUE!</v>
      </c>
      <c r="I698" s="2" t="str">
        <f t="shared" si="3"/>
        <v>93810 mjglpwbc.tvt</v>
      </c>
      <c r="J698" s="2">
        <f>IFERROR(__xludf.DUMMYFUNCTION("SPLIT(I698,"" "")"),93810.0)</f>
        <v>93810</v>
      </c>
      <c r="K698" s="2" t="str">
        <f>IFERROR(__xludf.DUMMYFUNCTION("""COMPUTED_VALUE"""),"mjglpwbc.tvt")</f>
        <v>mjglpwbc.tvt</v>
      </c>
      <c r="M698" s="2" t="b">
        <f t="shared" si="4"/>
        <v>1</v>
      </c>
      <c r="N698" s="2">
        <f>IFERROR(__xludf.DUMMYFUNCTION("IF(AND(REGEXMATCH($G$4, ""cd""),M698),N697+J698)"),93810.0)</f>
        <v>93810</v>
      </c>
      <c r="O698" s="2" t="str">
        <f t="shared" si="5"/>
        <v>#N/A</v>
      </c>
    </row>
    <row r="699">
      <c r="A699" s="1" t="s">
        <v>39</v>
      </c>
      <c r="B699" s="2" t="str">
        <f t="shared" si="1"/>
        <v>dir slzdbm</v>
      </c>
      <c r="C699" s="2" t="str">
        <f>IFERROR(__xludf.DUMMYFUNCTION("SPLIT(B699,"" "")"),"dir")</f>
        <v>dir</v>
      </c>
      <c r="D699" s="2" t="str">
        <f>IFERROR(__xludf.DUMMYFUNCTION("""COMPUTED_VALUE"""),"slzdbm")</f>
        <v>slzdbm</v>
      </c>
      <c r="E699" s="2" t="str">
        <f t="shared" si="2"/>
        <v>#VALUE!</v>
      </c>
      <c r="F699" s="2" t="str">
        <f>IFERROR(__xludf.DUMMYFUNCTION("SPLIT(E699,"" "")"),"#VALUE!")</f>
        <v>#VALUE!</v>
      </c>
      <c r="I699" s="2" t="str">
        <f t="shared" si="3"/>
        <v>#VALUE!</v>
      </c>
      <c r="J699" s="2" t="str">
        <f>IFERROR(__xludf.DUMMYFUNCTION("SPLIT(I699,"" "")"),"#VALUE!")</f>
        <v>#VALUE!</v>
      </c>
      <c r="M699" s="2" t="b">
        <f t="shared" si="4"/>
        <v>0</v>
      </c>
      <c r="N699" s="2" t="b">
        <f>IFERROR(__xludf.DUMMYFUNCTION("IF(AND(REGEXMATCH($G$4, ""cd""),M699),N698+J699)"),FALSE)</f>
        <v>0</v>
      </c>
      <c r="O699" s="2" t="str">
        <f t="shared" si="5"/>
        <v>#N/A</v>
      </c>
    </row>
    <row r="700">
      <c r="A700" s="1" t="s">
        <v>60</v>
      </c>
      <c r="B700" s="2" t="str">
        <f t="shared" si="1"/>
        <v>#VALUE!</v>
      </c>
      <c r="C700" s="2" t="str">
        <f>IFERROR(__xludf.DUMMYFUNCTION("SPLIT(B700,"" "")"),"#VALUE!")</f>
        <v>#VALUE!</v>
      </c>
      <c r="E700" s="2" t="str">
        <f t="shared" si="2"/>
        <v>$ cd slzdbm</v>
      </c>
      <c r="F700" s="2" t="str">
        <f>IFERROR(__xludf.DUMMYFUNCTION("SPLIT(E700,"" "")"),"$")</f>
        <v>$</v>
      </c>
      <c r="G700" s="2" t="str">
        <f>IFERROR(__xludf.DUMMYFUNCTION("""COMPUTED_VALUE"""),"cd")</f>
        <v>cd</v>
      </c>
      <c r="H700" s="2" t="str">
        <f>IFERROR(__xludf.DUMMYFUNCTION("""COMPUTED_VALUE"""),"slzdbm")</f>
        <v>slzdbm</v>
      </c>
      <c r="I700" s="2" t="str">
        <f t="shared" si="3"/>
        <v>#VALUE!</v>
      </c>
      <c r="J700" s="2" t="str">
        <f>IFERROR(__xludf.DUMMYFUNCTION("SPLIT(I700,"" "")"),"#VALUE!")</f>
        <v>#VALUE!</v>
      </c>
      <c r="M700" s="2" t="b">
        <f t="shared" si="4"/>
        <v>0</v>
      </c>
      <c r="N700" s="2" t="b">
        <f>IFERROR(__xludf.DUMMYFUNCTION("IF(AND(REGEXMATCH($G$4, ""cd""),M700),N699+J700)"),FALSE)</f>
        <v>0</v>
      </c>
      <c r="O700" s="2" t="str">
        <f t="shared" si="5"/>
        <v>#N/A</v>
      </c>
    </row>
    <row r="701">
      <c r="A701" s="1" t="s">
        <v>2</v>
      </c>
      <c r="B701" s="2" t="str">
        <f t="shared" si="1"/>
        <v>#VALUE!</v>
      </c>
      <c r="C701" s="2" t="str">
        <f>IFERROR(__xludf.DUMMYFUNCTION("SPLIT(B701,"" "")"),"#VALUE!")</f>
        <v>#VALUE!</v>
      </c>
      <c r="E701" s="2" t="str">
        <f t="shared" si="2"/>
        <v>#VALUE!</v>
      </c>
      <c r="F701" s="2" t="str">
        <f>IFERROR(__xludf.DUMMYFUNCTION("SPLIT(E701,"" "")"),"#VALUE!")</f>
        <v>#VALUE!</v>
      </c>
      <c r="I701" s="2" t="str">
        <f t="shared" si="3"/>
        <v>#VALUE!</v>
      </c>
      <c r="J701" s="2" t="str">
        <f>IFERROR(__xludf.DUMMYFUNCTION("SPLIT(I701,"" "")"),"#VALUE!")</f>
        <v>#VALUE!</v>
      </c>
      <c r="M701" s="2" t="b">
        <f t="shared" si="4"/>
        <v>0</v>
      </c>
      <c r="N701" s="2" t="b">
        <f>IFERROR(__xludf.DUMMYFUNCTION("IF(AND(REGEXMATCH($G$4, ""cd""),M701),N700+J701)"),FALSE)</f>
        <v>0</v>
      </c>
      <c r="O701" s="2" t="str">
        <f t="shared" si="5"/>
        <v>#N/A</v>
      </c>
    </row>
    <row r="702">
      <c r="A702" s="1" t="s">
        <v>4</v>
      </c>
      <c r="B702" s="2" t="str">
        <f t="shared" si="1"/>
        <v>dir jnwr</v>
      </c>
      <c r="C702" s="2" t="str">
        <f>IFERROR(__xludf.DUMMYFUNCTION("SPLIT(B702,"" "")"),"dir")</f>
        <v>dir</v>
      </c>
      <c r="D702" s="2" t="str">
        <f>IFERROR(__xludf.DUMMYFUNCTION("""COMPUTED_VALUE"""),"jnwr")</f>
        <v>jnwr</v>
      </c>
      <c r="E702" s="2" t="str">
        <f t="shared" si="2"/>
        <v>#VALUE!</v>
      </c>
      <c r="F702" s="2" t="str">
        <f>IFERROR(__xludf.DUMMYFUNCTION("SPLIT(E702,"" "")"),"#VALUE!")</f>
        <v>#VALUE!</v>
      </c>
      <c r="I702" s="2" t="str">
        <f t="shared" si="3"/>
        <v>#VALUE!</v>
      </c>
      <c r="J702" s="2" t="str">
        <f>IFERROR(__xludf.DUMMYFUNCTION("SPLIT(I702,"" "")"),"#VALUE!")</f>
        <v>#VALUE!</v>
      </c>
      <c r="M702" s="2" t="b">
        <f t="shared" si="4"/>
        <v>0</v>
      </c>
      <c r="N702" s="2" t="b">
        <f>IFERROR(__xludf.DUMMYFUNCTION("IF(AND(REGEXMATCH($G$4, ""cd""),M702),N701+J702)"),FALSE)</f>
        <v>0</v>
      </c>
      <c r="O702" s="2" t="str">
        <f t="shared" si="5"/>
        <v>#N/A</v>
      </c>
    </row>
    <row r="703">
      <c r="A703" s="1" t="s">
        <v>403</v>
      </c>
      <c r="B703" s="2" t="str">
        <f t="shared" si="1"/>
        <v>#VALUE!</v>
      </c>
      <c r="C703" s="2" t="str">
        <f>IFERROR(__xludf.DUMMYFUNCTION("SPLIT(B703,"" "")"),"#VALUE!")</f>
        <v>#VALUE!</v>
      </c>
      <c r="E703" s="2" t="str">
        <f t="shared" si="2"/>
        <v>#VALUE!</v>
      </c>
      <c r="F703" s="2" t="str">
        <f>IFERROR(__xludf.DUMMYFUNCTION("SPLIT(E703,"" "")"),"#VALUE!")</f>
        <v>#VALUE!</v>
      </c>
      <c r="I703" s="2" t="str">
        <f t="shared" si="3"/>
        <v>174522 slzdbm.ncl</v>
      </c>
      <c r="J703" s="2">
        <f>IFERROR(__xludf.DUMMYFUNCTION("SPLIT(I703,"" "")"),174522.0)</f>
        <v>174522</v>
      </c>
      <c r="K703" s="2" t="str">
        <f>IFERROR(__xludf.DUMMYFUNCTION("""COMPUTED_VALUE"""),"slzdbm.ncl")</f>
        <v>slzdbm.ncl</v>
      </c>
      <c r="M703" s="2" t="b">
        <f t="shared" si="4"/>
        <v>1</v>
      </c>
      <c r="N703" s="2">
        <f>IFERROR(__xludf.DUMMYFUNCTION("IF(AND(REGEXMATCH($G$4, ""cd""),M703),N702+J703)"),174522.0)</f>
        <v>174522</v>
      </c>
      <c r="O703" s="2" t="str">
        <f t="shared" si="5"/>
        <v>#N/A</v>
      </c>
    </row>
    <row r="704">
      <c r="A704" s="1" t="s">
        <v>20</v>
      </c>
      <c r="B704" s="2" t="str">
        <f t="shared" si="1"/>
        <v>#VALUE!</v>
      </c>
      <c r="C704" s="2" t="str">
        <f>IFERROR(__xludf.DUMMYFUNCTION("SPLIT(B704,"" "")"),"#VALUE!")</f>
        <v>#VALUE!</v>
      </c>
      <c r="E704" s="2" t="str">
        <f t="shared" si="2"/>
        <v>$ cd jnwr</v>
      </c>
      <c r="F704" s="2" t="str">
        <f>IFERROR(__xludf.DUMMYFUNCTION("SPLIT(E704,"" "")"),"$")</f>
        <v>$</v>
      </c>
      <c r="G704" s="2" t="str">
        <f>IFERROR(__xludf.DUMMYFUNCTION("""COMPUTED_VALUE"""),"cd")</f>
        <v>cd</v>
      </c>
      <c r="H704" s="2" t="str">
        <f>IFERROR(__xludf.DUMMYFUNCTION("""COMPUTED_VALUE"""),"jnwr")</f>
        <v>jnwr</v>
      </c>
      <c r="I704" s="2" t="str">
        <f t="shared" si="3"/>
        <v>#VALUE!</v>
      </c>
      <c r="J704" s="2" t="str">
        <f>IFERROR(__xludf.DUMMYFUNCTION("SPLIT(I704,"" "")"),"#VALUE!")</f>
        <v>#VALUE!</v>
      </c>
      <c r="M704" s="2" t="b">
        <f t="shared" si="4"/>
        <v>0</v>
      </c>
      <c r="N704" s="2" t="b">
        <f>IFERROR(__xludf.DUMMYFUNCTION("IF(AND(REGEXMATCH($G$4, ""cd""),M704),N703+J704)"),FALSE)</f>
        <v>0</v>
      </c>
      <c r="O704" s="2" t="str">
        <f t="shared" si="5"/>
        <v>#N/A</v>
      </c>
    </row>
    <row r="705">
      <c r="A705" s="1" t="s">
        <v>2</v>
      </c>
      <c r="B705" s="2" t="str">
        <f t="shared" si="1"/>
        <v>#VALUE!</v>
      </c>
      <c r="C705" s="2" t="str">
        <f>IFERROR(__xludf.DUMMYFUNCTION("SPLIT(B705,"" "")"),"#VALUE!")</f>
        <v>#VALUE!</v>
      </c>
      <c r="E705" s="2" t="str">
        <f t="shared" si="2"/>
        <v>#VALUE!</v>
      </c>
      <c r="F705" s="2" t="str">
        <f>IFERROR(__xludf.DUMMYFUNCTION("SPLIT(E705,"" "")"),"#VALUE!")</f>
        <v>#VALUE!</v>
      </c>
      <c r="I705" s="2" t="str">
        <f t="shared" si="3"/>
        <v>#VALUE!</v>
      </c>
      <c r="J705" s="2" t="str">
        <f>IFERROR(__xludf.DUMMYFUNCTION("SPLIT(I705,"" "")"),"#VALUE!")</f>
        <v>#VALUE!</v>
      </c>
      <c r="M705" s="2" t="b">
        <f t="shared" si="4"/>
        <v>0</v>
      </c>
      <c r="N705" s="2" t="b">
        <f>IFERROR(__xludf.DUMMYFUNCTION("IF(AND(REGEXMATCH($G$4, ""cd""),M705),N704+J705)"),FALSE)</f>
        <v>0</v>
      </c>
      <c r="O705" s="2" t="str">
        <f t="shared" si="5"/>
        <v>#N/A</v>
      </c>
    </row>
    <row r="706">
      <c r="A706" s="1" t="s">
        <v>404</v>
      </c>
      <c r="B706" s="2" t="str">
        <f t="shared" si="1"/>
        <v>#VALUE!</v>
      </c>
      <c r="C706" s="2" t="str">
        <f>IFERROR(__xludf.DUMMYFUNCTION("SPLIT(B706,"" "")"),"#VALUE!")</f>
        <v>#VALUE!</v>
      </c>
      <c r="E706" s="2" t="str">
        <f t="shared" si="2"/>
        <v>#VALUE!</v>
      </c>
      <c r="F706" s="2" t="str">
        <f>IFERROR(__xludf.DUMMYFUNCTION("SPLIT(E706,"" "")"),"#VALUE!")</f>
        <v>#VALUE!</v>
      </c>
      <c r="I706" s="2" t="str">
        <f t="shared" si="3"/>
        <v>#VALUE!</v>
      </c>
      <c r="J706" s="2" t="str">
        <f>IFERROR(__xludf.DUMMYFUNCTION("SPLIT(I706,"" "")"),"#VALUE!")</f>
        <v>#VALUE!</v>
      </c>
      <c r="M706" s="2" t="b">
        <f t="shared" si="4"/>
        <v>0</v>
      </c>
      <c r="N706" s="2" t="b">
        <f>IFERROR(__xludf.DUMMYFUNCTION("IF(AND(REGEXMATCH($G$4, ""cd""),M706),N705+J706)"),FALSE)</f>
        <v>0</v>
      </c>
      <c r="O706" s="2" t="str">
        <f t="shared" si="5"/>
        <v>#N/A</v>
      </c>
    </row>
    <row r="707">
      <c r="A707" s="1" t="s">
        <v>17</v>
      </c>
      <c r="B707" s="2" t="str">
        <f t="shared" si="1"/>
        <v>#VALUE!</v>
      </c>
      <c r="C707" s="2" t="str">
        <f>IFERROR(__xludf.DUMMYFUNCTION("SPLIT(B707,"" "")"),"#VALUE!")</f>
        <v>#VALUE!</v>
      </c>
      <c r="E707" s="2" t="str">
        <f t="shared" si="2"/>
        <v>$ cd ..</v>
      </c>
      <c r="F707" s="2" t="str">
        <f>IFERROR(__xludf.DUMMYFUNCTION("SPLIT(E707,"" "")"),"$")</f>
        <v>$</v>
      </c>
      <c r="G707" s="2" t="str">
        <f>IFERROR(__xludf.DUMMYFUNCTION("""COMPUTED_VALUE"""),"cd")</f>
        <v>cd</v>
      </c>
      <c r="H707" s="2" t="str">
        <f>IFERROR(__xludf.DUMMYFUNCTION("""COMPUTED_VALUE"""),"..")</f>
        <v>..</v>
      </c>
      <c r="I707" s="2" t="str">
        <f t="shared" si="3"/>
        <v>$ cd ..</v>
      </c>
      <c r="J707" s="2" t="str">
        <f>IFERROR(__xludf.DUMMYFUNCTION("SPLIT(I707,"" "")"),"$")</f>
        <v>$</v>
      </c>
      <c r="K707" s="2" t="str">
        <f>IFERROR(__xludf.DUMMYFUNCTION("""COMPUTED_VALUE"""),"cd")</f>
        <v>cd</v>
      </c>
      <c r="L707" s="2" t="str">
        <f>IFERROR(__xludf.DUMMYFUNCTION("""COMPUTED_VALUE"""),"..")</f>
        <v>..</v>
      </c>
      <c r="M707" s="2" t="b">
        <f t="shared" si="4"/>
        <v>0</v>
      </c>
      <c r="N707" s="2" t="b">
        <f>IFERROR(__xludf.DUMMYFUNCTION("IF(AND(REGEXMATCH($G$4, ""cd""),M707),N706+J707)"),FALSE)</f>
        <v>0</v>
      </c>
      <c r="O707" s="2" t="str">
        <f t="shared" si="5"/>
        <v>#N/A</v>
      </c>
    </row>
    <row r="708">
      <c r="A708" s="1" t="s">
        <v>17</v>
      </c>
      <c r="B708" s="2" t="str">
        <f t="shared" si="1"/>
        <v>#VALUE!</v>
      </c>
      <c r="C708" s="2" t="str">
        <f>IFERROR(__xludf.DUMMYFUNCTION("SPLIT(B708,"" "")"),"#VALUE!")</f>
        <v>#VALUE!</v>
      </c>
      <c r="E708" s="2" t="str">
        <f t="shared" si="2"/>
        <v>$ cd ..</v>
      </c>
      <c r="F708" s="2" t="str">
        <f>IFERROR(__xludf.DUMMYFUNCTION("SPLIT(E708,"" "")"),"$")</f>
        <v>$</v>
      </c>
      <c r="G708" s="2" t="str">
        <f>IFERROR(__xludf.DUMMYFUNCTION("""COMPUTED_VALUE"""),"cd")</f>
        <v>cd</v>
      </c>
      <c r="H708" s="2" t="str">
        <f>IFERROR(__xludf.DUMMYFUNCTION("""COMPUTED_VALUE"""),"..")</f>
        <v>..</v>
      </c>
      <c r="I708" s="2" t="str">
        <f t="shared" si="3"/>
        <v>$ cd ..</v>
      </c>
      <c r="J708" s="2" t="str">
        <f>IFERROR(__xludf.DUMMYFUNCTION("SPLIT(I708,"" "")"),"$")</f>
        <v>$</v>
      </c>
      <c r="K708" s="2" t="str">
        <f>IFERROR(__xludf.DUMMYFUNCTION("""COMPUTED_VALUE"""),"cd")</f>
        <v>cd</v>
      </c>
      <c r="L708" s="2" t="str">
        <f>IFERROR(__xludf.DUMMYFUNCTION("""COMPUTED_VALUE"""),"..")</f>
        <v>..</v>
      </c>
      <c r="M708" s="2" t="b">
        <f t="shared" si="4"/>
        <v>0</v>
      </c>
      <c r="N708" s="2" t="b">
        <f>IFERROR(__xludf.DUMMYFUNCTION("IF(AND(REGEXMATCH($G$4, ""cd""),M708),N707+J708)"),FALSE)</f>
        <v>0</v>
      </c>
      <c r="O708" s="2" t="str">
        <f t="shared" si="5"/>
        <v>#N/A</v>
      </c>
    </row>
    <row r="709">
      <c r="A709" s="1" t="s">
        <v>17</v>
      </c>
      <c r="B709" s="2" t="str">
        <f t="shared" si="1"/>
        <v>#VALUE!</v>
      </c>
      <c r="C709" s="2" t="str">
        <f>IFERROR(__xludf.DUMMYFUNCTION("SPLIT(B709,"" "")"),"#VALUE!")</f>
        <v>#VALUE!</v>
      </c>
      <c r="E709" s="2" t="str">
        <f t="shared" si="2"/>
        <v>$ cd ..</v>
      </c>
      <c r="F709" s="2" t="str">
        <f>IFERROR(__xludf.DUMMYFUNCTION("SPLIT(E709,"" "")"),"$")</f>
        <v>$</v>
      </c>
      <c r="G709" s="2" t="str">
        <f>IFERROR(__xludf.DUMMYFUNCTION("""COMPUTED_VALUE"""),"cd")</f>
        <v>cd</v>
      </c>
      <c r="H709" s="2" t="str">
        <f>IFERROR(__xludf.DUMMYFUNCTION("""COMPUTED_VALUE"""),"..")</f>
        <v>..</v>
      </c>
      <c r="I709" s="2" t="str">
        <f t="shared" si="3"/>
        <v>$ cd ..</v>
      </c>
      <c r="J709" s="2" t="str">
        <f>IFERROR(__xludf.DUMMYFUNCTION("SPLIT(I709,"" "")"),"$")</f>
        <v>$</v>
      </c>
      <c r="K709" s="2" t="str">
        <f>IFERROR(__xludf.DUMMYFUNCTION("""COMPUTED_VALUE"""),"cd")</f>
        <v>cd</v>
      </c>
      <c r="L709" s="2" t="str">
        <f>IFERROR(__xludf.DUMMYFUNCTION("""COMPUTED_VALUE"""),"..")</f>
        <v>..</v>
      </c>
      <c r="M709" s="2" t="b">
        <f t="shared" si="4"/>
        <v>0</v>
      </c>
      <c r="N709" s="2" t="b">
        <f>IFERROR(__xludf.DUMMYFUNCTION("IF(AND(REGEXMATCH($G$4, ""cd""),M709),N708+J709)"),FALSE)</f>
        <v>0</v>
      </c>
      <c r="O709" s="2" t="str">
        <f t="shared" si="5"/>
        <v>#N/A</v>
      </c>
    </row>
    <row r="710">
      <c r="A710" s="1" t="s">
        <v>405</v>
      </c>
      <c r="B710" s="2" t="str">
        <f t="shared" si="1"/>
        <v>#VALUE!</v>
      </c>
      <c r="C710" s="2" t="str">
        <f>IFERROR(__xludf.DUMMYFUNCTION("SPLIT(B710,"" "")"),"#VALUE!")</f>
        <v>#VALUE!</v>
      </c>
      <c r="E710" s="2" t="str">
        <f t="shared" si="2"/>
        <v>$ cd vvmwgngv</v>
      </c>
      <c r="F710" s="2" t="str">
        <f>IFERROR(__xludf.DUMMYFUNCTION("SPLIT(E710,"" "")"),"$")</f>
        <v>$</v>
      </c>
      <c r="G710" s="2" t="str">
        <f>IFERROR(__xludf.DUMMYFUNCTION("""COMPUTED_VALUE"""),"cd")</f>
        <v>cd</v>
      </c>
      <c r="H710" s="2" t="str">
        <f>IFERROR(__xludf.DUMMYFUNCTION("""COMPUTED_VALUE"""),"vvmwgngv")</f>
        <v>vvmwgngv</v>
      </c>
      <c r="I710" s="2" t="str">
        <f t="shared" si="3"/>
        <v>#VALUE!</v>
      </c>
      <c r="J710" s="2" t="str">
        <f>IFERROR(__xludf.DUMMYFUNCTION("SPLIT(I710,"" "")"),"#VALUE!")</f>
        <v>#VALUE!</v>
      </c>
      <c r="M710" s="2" t="b">
        <f t="shared" si="4"/>
        <v>0</v>
      </c>
      <c r="N710" s="2" t="b">
        <f>IFERROR(__xludf.DUMMYFUNCTION("IF(AND(REGEXMATCH($G$4, ""cd""),M710),N709+J710)"),FALSE)</f>
        <v>0</v>
      </c>
      <c r="O710" s="2" t="str">
        <f t="shared" si="5"/>
        <v>#N/A</v>
      </c>
    </row>
    <row r="711">
      <c r="A711" s="1" t="s">
        <v>2</v>
      </c>
      <c r="B711" s="2" t="str">
        <f t="shared" si="1"/>
        <v>#VALUE!</v>
      </c>
      <c r="C711" s="2" t="str">
        <f>IFERROR(__xludf.DUMMYFUNCTION("SPLIT(B711,"" "")"),"#VALUE!")</f>
        <v>#VALUE!</v>
      </c>
      <c r="E711" s="2" t="str">
        <f t="shared" si="2"/>
        <v>#VALUE!</v>
      </c>
      <c r="F711" s="2" t="str">
        <f>IFERROR(__xludf.DUMMYFUNCTION("SPLIT(E711,"" "")"),"#VALUE!")</f>
        <v>#VALUE!</v>
      </c>
      <c r="I711" s="2" t="str">
        <f t="shared" si="3"/>
        <v>#VALUE!</v>
      </c>
      <c r="J711" s="2" t="str">
        <f>IFERROR(__xludf.DUMMYFUNCTION("SPLIT(I711,"" "")"),"#VALUE!")</f>
        <v>#VALUE!</v>
      </c>
      <c r="M711" s="2" t="b">
        <f t="shared" si="4"/>
        <v>0</v>
      </c>
      <c r="N711" s="2" t="b">
        <f>IFERROR(__xludf.DUMMYFUNCTION("IF(AND(REGEXMATCH($G$4, ""cd""),M711),N710+J711)"),FALSE)</f>
        <v>0</v>
      </c>
      <c r="O711" s="2" t="str">
        <f t="shared" si="5"/>
        <v>#N/A</v>
      </c>
    </row>
    <row r="712">
      <c r="A712" s="1" t="s">
        <v>406</v>
      </c>
      <c r="B712" s="2" t="str">
        <f t="shared" si="1"/>
        <v>dir bqc</v>
      </c>
      <c r="C712" s="2" t="str">
        <f>IFERROR(__xludf.DUMMYFUNCTION("SPLIT(B712,"" "")"),"dir")</f>
        <v>dir</v>
      </c>
      <c r="D712" s="2" t="str">
        <f>IFERROR(__xludf.DUMMYFUNCTION("""COMPUTED_VALUE"""),"bqc")</f>
        <v>bqc</v>
      </c>
      <c r="E712" s="2" t="str">
        <f t="shared" si="2"/>
        <v>#VALUE!</v>
      </c>
      <c r="F712" s="2" t="str">
        <f>IFERROR(__xludf.DUMMYFUNCTION("SPLIT(E712,"" "")"),"#VALUE!")</f>
        <v>#VALUE!</v>
      </c>
      <c r="I712" s="2" t="str">
        <f t="shared" si="3"/>
        <v>#VALUE!</v>
      </c>
      <c r="J712" s="2" t="str">
        <f>IFERROR(__xludf.DUMMYFUNCTION("SPLIT(I712,"" "")"),"#VALUE!")</f>
        <v>#VALUE!</v>
      </c>
      <c r="M712" s="2" t="b">
        <f t="shared" si="4"/>
        <v>0</v>
      </c>
      <c r="N712" s="2" t="b">
        <f>IFERROR(__xludf.DUMMYFUNCTION("IF(AND(REGEXMATCH($G$4, ""cd""),M712),N711+J712)"),FALSE)</f>
        <v>0</v>
      </c>
      <c r="O712" s="2" t="str">
        <f t="shared" si="5"/>
        <v>#N/A</v>
      </c>
    </row>
    <row r="713">
      <c r="A713" s="1" t="s">
        <v>128</v>
      </c>
      <c r="B713" s="2" t="str">
        <f t="shared" si="1"/>
        <v>dir mzsfcvgv</v>
      </c>
      <c r="C713" s="2" t="str">
        <f>IFERROR(__xludf.DUMMYFUNCTION("SPLIT(B713,"" "")"),"dir")</f>
        <v>dir</v>
      </c>
      <c r="D713" s="2" t="str">
        <f>IFERROR(__xludf.DUMMYFUNCTION("""COMPUTED_VALUE"""),"mzsfcvgv")</f>
        <v>mzsfcvgv</v>
      </c>
      <c r="E713" s="2" t="str">
        <f t="shared" si="2"/>
        <v>#VALUE!</v>
      </c>
      <c r="F713" s="2" t="str">
        <f>IFERROR(__xludf.DUMMYFUNCTION("SPLIT(E713,"" "")"),"#VALUE!")</f>
        <v>#VALUE!</v>
      </c>
      <c r="I713" s="2" t="str">
        <f t="shared" si="3"/>
        <v>#VALUE!</v>
      </c>
      <c r="J713" s="2" t="str">
        <f>IFERROR(__xludf.DUMMYFUNCTION("SPLIT(I713,"" "")"),"#VALUE!")</f>
        <v>#VALUE!</v>
      </c>
      <c r="M713" s="2" t="b">
        <f t="shared" si="4"/>
        <v>0</v>
      </c>
      <c r="N713" s="2" t="b">
        <f>IFERROR(__xludf.DUMMYFUNCTION("IF(AND(REGEXMATCH($G$4, ""cd""),M713),N712+J713)"),FALSE)</f>
        <v>0</v>
      </c>
      <c r="O713" s="2" t="str">
        <f t="shared" si="5"/>
        <v>#N/A</v>
      </c>
    </row>
    <row r="714">
      <c r="A714" s="1" t="s">
        <v>407</v>
      </c>
      <c r="B714" s="2" t="str">
        <f t="shared" si="1"/>
        <v>dir qgj</v>
      </c>
      <c r="C714" s="2" t="str">
        <f>IFERROR(__xludf.DUMMYFUNCTION("SPLIT(B714,"" "")"),"dir")</f>
        <v>dir</v>
      </c>
      <c r="D714" s="2" t="str">
        <f>IFERROR(__xludf.DUMMYFUNCTION("""COMPUTED_VALUE"""),"qgj")</f>
        <v>qgj</v>
      </c>
      <c r="E714" s="2" t="str">
        <f t="shared" si="2"/>
        <v>#VALUE!</v>
      </c>
      <c r="F714" s="2" t="str">
        <f>IFERROR(__xludf.DUMMYFUNCTION("SPLIT(E714,"" "")"),"#VALUE!")</f>
        <v>#VALUE!</v>
      </c>
      <c r="I714" s="2" t="str">
        <f t="shared" si="3"/>
        <v>#VALUE!</v>
      </c>
      <c r="J714" s="2" t="str">
        <f>IFERROR(__xludf.DUMMYFUNCTION("SPLIT(I714,"" "")"),"#VALUE!")</f>
        <v>#VALUE!</v>
      </c>
      <c r="M714" s="2" t="b">
        <f t="shared" si="4"/>
        <v>0</v>
      </c>
      <c r="N714" s="2" t="b">
        <f>IFERROR(__xludf.DUMMYFUNCTION("IF(AND(REGEXMATCH($G$4, ""cd""),M714),N713+J714)"),FALSE)</f>
        <v>0</v>
      </c>
      <c r="O714" s="2" t="str">
        <f t="shared" si="5"/>
        <v>#N/A</v>
      </c>
    </row>
    <row r="715">
      <c r="A715" s="1" t="s">
        <v>408</v>
      </c>
      <c r="B715" s="2" t="str">
        <f t="shared" si="1"/>
        <v>dir wfjzls</v>
      </c>
      <c r="C715" s="2" t="str">
        <f>IFERROR(__xludf.DUMMYFUNCTION("SPLIT(B715,"" "")"),"dir")</f>
        <v>dir</v>
      </c>
      <c r="D715" s="2" t="str">
        <f>IFERROR(__xludf.DUMMYFUNCTION("""COMPUTED_VALUE"""),"wfjzls")</f>
        <v>wfjzls</v>
      </c>
      <c r="E715" s="2" t="str">
        <f t="shared" si="2"/>
        <v>#VALUE!</v>
      </c>
      <c r="F715" s="2" t="str">
        <f>IFERROR(__xludf.DUMMYFUNCTION("SPLIT(E715,"" "")"),"#VALUE!")</f>
        <v>#VALUE!</v>
      </c>
      <c r="I715" s="2" t="str">
        <f t="shared" si="3"/>
        <v>#VALUE!</v>
      </c>
      <c r="J715" s="2" t="str">
        <f>IFERROR(__xludf.DUMMYFUNCTION("SPLIT(I715,"" "")"),"#VALUE!")</f>
        <v>#VALUE!</v>
      </c>
      <c r="M715" s="2" t="b">
        <f t="shared" si="4"/>
        <v>0</v>
      </c>
      <c r="N715" s="2" t="b">
        <f>IFERROR(__xludf.DUMMYFUNCTION("IF(AND(REGEXMATCH($G$4, ""cd""),M715),N714+J715)"),FALSE)</f>
        <v>0</v>
      </c>
      <c r="O715" s="2" t="str">
        <f t="shared" si="5"/>
        <v>#N/A</v>
      </c>
    </row>
    <row r="716">
      <c r="A716" s="1" t="s">
        <v>409</v>
      </c>
      <c r="B716" s="2" t="str">
        <f t="shared" si="1"/>
        <v>#VALUE!</v>
      </c>
      <c r="C716" s="2" t="str">
        <f>IFERROR(__xludf.DUMMYFUNCTION("SPLIT(B716,"" "")"),"#VALUE!")</f>
        <v>#VALUE!</v>
      </c>
      <c r="E716" s="2" t="str">
        <f t="shared" si="2"/>
        <v>$ cd bqc</v>
      </c>
      <c r="F716" s="2" t="str">
        <f>IFERROR(__xludf.DUMMYFUNCTION("SPLIT(E716,"" "")"),"$")</f>
        <v>$</v>
      </c>
      <c r="G716" s="2" t="str">
        <f>IFERROR(__xludf.DUMMYFUNCTION("""COMPUTED_VALUE"""),"cd")</f>
        <v>cd</v>
      </c>
      <c r="H716" s="2" t="str">
        <f>IFERROR(__xludf.DUMMYFUNCTION("""COMPUTED_VALUE"""),"bqc")</f>
        <v>bqc</v>
      </c>
      <c r="I716" s="2" t="str">
        <f t="shared" si="3"/>
        <v>#VALUE!</v>
      </c>
      <c r="J716" s="2" t="str">
        <f>IFERROR(__xludf.DUMMYFUNCTION("SPLIT(I716,"" "")"),"#VALUE!")</f>
        <v>#VALUE!</v>
      </c>
      <c r="M716" s="2" t="b">
        <f t="shared" si="4"/>
        <v>0</v>
      </c>
      <c r="N716" s="2" t="b">
        <f>IFERROR(__xludf.DUMMYFUNCTION("IF(AND(REGEXMATCH($G$4, ""cd""),M716),N715+J716)"),FALSE)</f>
        <v>0</v>
      </c>
      <c r="O716" s="2" t="str">
        <f t="shared" si="5"/>
        <v>#N/A</v>
      </c>
    </row>
    <row r="717">
      <c r="A717" s="1" t="s">
        <v>2</v>
      </c>
      <c r="B717" s="2" t="str">
        <f t="shared" si="1"/>
        <v>#VALUE!</v>
      </c>
      <c r="C717" s="2" t="str">
        <f>IFERROR(__xludf.DUMMYFUNCTION("SPLIT(B717,"" "")"),"#VALUE!")</f>
        <v>#VALUE!</v>
      </c>
      <c r="E717" s="2" t="str">
        <f t="shared" si="2"/>
        <v>#VALUE!</v>
      </c>
      <c r="F717" s="2" t="str">
        <f>IFERROR(__xludf.DUMMYFUNCTION("SPLIT(E717,"" "")"),"#VALUE!")</f>
        <v>#VALUE!</v>
      </c>
      <c r="I717" s="2" t="str">
        <f t="shared" si="3"/>
        <v>#VALUE!</v>
      </c>
      <c r="J717" s="2" t="str">
        <f>IFERROR(__xludf.DUMMYFUNCTION("SPLIT(I717,"" "")"),"#VALUE!")</f>
        <v>#VALUE!</v>
      </c>
      <c r="M717" s="2" t="b">
        <f t="shared" si="4"/>
        <v>0</v>
      </c>
      <c r="N717" s="2" t="b">
        <f>IFERROR(__xludf.DUMMYFUNCTION("IF(AND(REGEXMATCH($G$4, ""cd""),M717),N716+J717)"),FALSE)</f>
        <v>0</v>
      </c>
      <c r="O717" s="2" t="str">
        <f t="shared" si="5"/>
        <v>#N/A</v>
      </c>
    </row>
    <row r="718">
      <c r="A718" s="1" t="s">
        <v>410</v>
      </c>
      <c r="B718" s="2" t="str">
        <f t="shared" si="1"/>
        <v>#VALUE!</v>
      </c>
      <c r="C718" s="2" t="str">
        <f>IFERROR(__xludf.DUMMYFUNCTION("SPLIT(B718,"" "")"),"#VALUE!")</f>
        <v>#VALUE!</v>
      </c>
      <c r="E718" s="2" t="str">
        <f t="shared" si="2"/>
        <v>#VALUE!</v>
      </c>
      <c r="F718" s="2" t="str">
        <f>IFERROR(__xludf.DUMMYFUNCTION("SPLIT(E718,"" "")"),"#VALUE!")</f>
        <v>#VALUE!</v>
      </c>
      <c r="I718" s="2" t="str">
        <f t="shared" si="3"/>
        <v>#VALUE!</v>
      </c>
      <c r="J718" s="2" t="str">
        <f>IFERROR(__xludf.DUMMYFUNCTION("SPLIT(I718,"" "")"),"#VALUE!")</f>
        <v>#VALUE!</v>
      </c>
      <c r="M718" s="2" t="b">
        <f t="shared" si="4"/>
        <v>0</v>
      </c>
      <c r="N718" s="2" t="b">
        <f>IFERROR(__xludf.DUMMYFUNCTION("IF(AND(REGEXMATCH($G$4, ""cd""),M718),N717+J718)"),FALSE)</f>
        <v>0</v>
      </c>
      <c r="O718" s="2" t="str">
        <f t="shared" si="5"/>
        <v>#N/A</v>
      </c>
    </row>
    <row r="719">
      <c r="A719" s="1" t="s">
        <v>411</v>
      </c>
      <c r="B719" s="2" t="str">
        <f t="shared" si="1"/>
        <v>dir lmnvtg</v>
      </c>
      <c r="C719" s="2" t="str">
        <f>IFERROR(__xludf.DUMMYFUNCTION("SPLIT(B719,"" "")"),"dir")</f>
        <v>dir</v>
      </c>
      <c r="D719" s="2" t="str">
        <f>IFERROR(__xludf.DUMMYFUNCTION("""COMPUTED_VALUE"""),"lmnvtg")</f>
        <v>lmnvtg</v>
      </c>
      <c r="E719" s="2" t="str">
        <f t="shared" si="2"/>
        <v>#VALUE!</v>
      </c>
      <c r="F719" s="2" t="str">
        <f>IFERROR(__xludf.DUMMYFUNCTION("SPLIT(E719,"" "")"),"#VALUE!")</f>
        <v>#VALUE!</v>
      </c>
      <c r="I719" s="2" t="str">
        <f t="shared" si="3"/>
        <v>#VALUE!</v>
      </c>
      <c r="J719" s="2" t="str">
        <f>IFERROR(__xludf.DUMMYFUNCTION("SPLIT(I719,"" "")"),"#VALUE!")</f>
        <v>#VALUE!</v>
      </c>
      <c r="M719" s="2" t="b">
        <f t="shared" si="4"/>
        <v>0</v>
      </c>
      <c r="N719" s="2" t="b">
        <f>IFERROR(__xludf.DUMMYFUNCTION("IF(AND(REGEXMATCH($G$4, ""cd""),M719),N718+J719)"),FALSE)</f>
        <v>0</v>
      </c>
      <c r="O719" s="2" t="str">
        <f t="shared" si="5"/>
        <v>#N/A</v>
      </c>
    </row>
    <row r="720">
      <c r="A720" s="1" t="s">
        <v>412</v>
      </c>
      <c r="B720" s="2" t="str">
        <f t="shared" si="1"/>
        <v>#VALUE!</v>
      </c>
      <c r="C720" s="2" t="str">
        <f>IFERROR(__xludf.DUMMYFUNCTION("SPLIT(B720,"" "")"),"#VALUE!")</f>
        <v>#VALUE!</v>
      </c>
      <c r="E720" s="2" t="str">
        <f t="shared" si="2"/>
        <v>278861 mpq.cdn</v>
      </c>
      <c r="F720" s="2">
        <f>IFERROR(__xludf.DUMMYFUNCTION("SPLIT(E720,"" "")"),278861.0)</f>
        <v>278861</v>
      </c>
      <c r="G720" s="2" t="str">
        <f>IFERROR(__xludf.DUMMYFUNCTION("""COMPUTED_VALUE"""),"mpq.cdn")</f>
        <v>mpq.cdn</v>
      </c>
      <c r="I720" s="2" t="str">
        <f t="shared" si="3"/>
        <v>278861 mpq.cdn</v>
      </c>
      <c r="J720" s="2">
        <f>IFERROR(__xludf.DUMMYFUNCTION("SPLIT(I720,"" "")"),278861.0)</f>
        <v>278861</v>
      </c>
      <c r="K720" s="2" t="str">
        <f>IFERROR(__xludf.DUMMYFUNCTION("""COMPUTED_VALUE"""),"mpq.cdn")</f>
        <v>mpq.cdn</v>
      </c>
      <c r="M720" s="2" t="b">
        <f t="shared" si="4"/>
        <v>1</v>
      </c>
      <c r="N720" s="2">
        <f>IFERROR(__xludf.DUMMYFUNCTION("IF(AND(REGEXMATCH($G$4, ""cd""),M720),N719+J720)"),278861.0)</f>
        <v>278861</v>
      </c>
      <c r="O720" s="2" t="str">
        <f t="shared" si="5"/>
        <v>#N/A</v>
      </c>
    </row>
    <row r="721">
      <c r="A721" s="1" t="s">
        <v>413</v>
      </c>
      <c r="B721" s="2" t="str">
        <f t="shared" si="1"/>
        <v>#VALUE!</v>
      </c>
      <c r="C721" s="2" t="str">
        <f>IFERROR(__xludf.DUMMYFUNCTION("SPLIT(B721,"" "")"),"#VALUE!")</f>
        <v>#VALUE!</v>
      </c>
      <c r="E721" s="2" t="str">
        <f t="shared" si="2"/>
        <v>#VALUE!</v>
      </c>
      <c r="F721" s="2" t="str">
        <f>IFERROR(__xludf.DUMMYFUNCTION("SPLIT(E721,"" "")"),"#VALUE!")</f>
        <v>#VALUE!</v>
      </c>
      <c r="I721" s="2" t="str">
        <f t="shared" si="3"/>
        <v>191779 mthgd.mjp</v>
      </c>
      <c r="J721" s="2">
        <f>IFERROR(__xludf.DUMMYFUNCTION("SPLIT(I721,"" "")"),191779.0)</f>
        <v>191779</v>
      </c>
      <c r="K721" s="2" t="str">
        <f>IFERROR(__xludf.DUMMYFUNCTION("""COMPUTED_VALUE"""),"mthgd.mjp")</f>
        <v>mthgd.mjp</v>
      </c>
      <c r="M721" s="2" t="b">
        <f t="shared" si="4"/>
        <v>1</v>
      </c>
      <c r="N721" s="2">
        <f>IFERROR(__xludf.DUMMYFUNCTION("IF(AND(REGEXMATCH($G$4, ""cd""),M721),N720+J721)"),470640.0)</f>
        <v>470640</v>
      </c>
      <c r="O721" s="2" t="str">
        <f t="shared" si="5"/>
        <v>#N/A</v>
      </c>
    </row>
    <row r="722">
      <c r="A722" s="1" t="s">
        <v>128</v>
      </c>
      <c r="B722" s="2" t="str">
        <f t="shared" si="1"/>
        <v>dir mzsfcvgv</v>
      </c>
      <c r="C722" s="2" t="str">
        <f>IFERROR(__xludf.DUMMYFUNCTION("SPLIT(B722,"" "")"),"dir")</f>
        <v>dir</v>
      </c>
      <c r="D722" s="2" t="str">
        <f>IFERROR(__xludf.DUMMYFUNCTION("""COMPUTED_VALUE"""),"mzsfcvgv")</f>
        <v>mzsfcvgv</v>
      </c>
      <c r="E722" s="2" t="str">
        <f t="shared" si="2"/>
        <v>#VALUE!</v>
      </c>
      <c r="F722" s="2" t="str">
        <f>IFERROR(__xludf.DUMMYFUNCTION("SPLIT(E722,"" "")"),"#VALUE!")</f>
        <v>#VALUE!</v>
      </c>
      <c r="I722" s="2" t="str">
        <f t="shared" si="3"/>
        <v>#VALUE!</v>
      </c>
      <c r="J722" s="2" t="str">
        <f>IFERROR(__xludf.DUMMYFUNCTION("SPLIT(I722,"" "")"),"#VALUE!")</f>
        <v>#VALUE!</v>
      </c>
      <c r="M722" s="2" t="b">
        <f t="shared" si="4"/>
        <v>0</v>
      </c>
      <c r="N722" s="2" t="b">
        <f>IFERROR(__xludf.DUMMYFUNCTION("IF(AND(REGEXMATCH($G$4, ""cd""),M722),N721+J722)"),FALSE)</f>
        <v>0</v>
      </c>
      <c r="O722" s="2" t="str">
        <f t="shared" si="5"/>
        <v>#N/A</v>
      </c>
    </row>
    <row r="723">
      <c r="A723" s="1" t="s">
        <v>414</v>
      </c>
      <c r="B723" s="2" t="str">
        <f t="shared" si="1"/>
        <v>dir twzq</v>
      </c>
      <c r="C723" s="2" t="str">
        <f>IFERROR(__xludf.DUMMYFUNCTION("SPLIT(B723,"" "")"),"dir")</f>
        <v>dir</v>
      </c>
      <c r="D723" s="2" t="str">
        <f>IFERROR(__xludf.DUMMYFUNCTION("""COMPUTED_VALUE"""),"twzq")</f>
        <v>twzq</v>
      </c>
      <c r="E723" s="2" t="str">
        <f t="shared" si="2"/>
        <v>#VALUE!</v>
      </c>
      <c r="F723" s="2" t="str">
        <f>IFERROR(__xludf.DUMMYFUNCTION("SPLIT(E723,"" "")"),"#VALUE!")</f>
        <v>#VALUE!</v>
      </c>
      <c r="I723" s="2" t="str">
        <f t="shared" si="3"/>
        <v>#VALUE!</v>
      </c>
      <c r="J723" s="2" t="str">
        <f>IFERROR(__xludf.DUMMYFUNCTION("SPLIT(I723,"" "")"),"#VALUE!")</f>
        <v>#VALUE!</v>
      </c>
      <c r="M723" s="2" t="b">
        <f t="shared" si="4"/>
        <v>0</v>
      </c>
      <c r="N723" s="2" t="b">
        <f>IFERROR(__xludf.DUMMYFUNCTION("IF(AND(REGEXMATCH($G$4, ""cd""),M723),N722+J723)"),FALSE)</f>
        <v>0</v>
      </c>
      <c r="O723" s="2" t="str">
        <f t="shared" si="5"/>
        <v>#N/A</v>
      </c>
    </row>
    <row r="724">
      <c r="A724" s="1" t="s">
        <v>415</v>
      </c>
      <c r="B724" s="2" t="str">
        <f t="shared" si="1"/>
        <v>#VALUE!</v>
      </c>
      <c r="C724" s="2" t="str">
        <f>IFERROR(__xludf.DUMMYFUNCTION("SPLIT(B724,"" "")"),"#VALUE!")</f>
        <v>#VALUE!</v>
      </c>
      <c r="E724" s="2" t="str">
        <f t="shared" si="2"/>
        <v>$ cd lmnvtg</v>
      </c>
      <c r="F724" s="2" t="str">
        <f>IFERROR(__xludf.DUMMYFUNCTION("SPLIT(E724,"" "")"),"$")</f>
        <v>$</v>
      </c>
      <c r="G724" s="2" t="str">
        <f>IFERROR(__xludf.DUMMYFUNCTION("""COMPUTED_VALUE"""),"cd")</f>
        <v>cd</v>
      </c>
      <c r="H724" s="2" t="str">
        <f>IFERROR(__xludf.DUMMYFUNCTION("""COMPUTED_VALUE"""),"lmnvtg")</f>
        <v>lmnvtg</v>
      </c>
      <c r="I724" s="2" t="str">
        <f t="shared" si="3"/>
        <v>#VALUE!</v>
      </c>
      <c r="J724" s="2" t="str">
        <f>IFERROR(__xludf.DUMMYFUNCTION("SPLIT(I724,"" "")"),"#VALUE!")</f>
        <v>#VALUE!</v>
      </c>
      <c r="M724" s="2" t="b">
        <f t="shared" si="4"/>
        <v>0</v>
      </c>
      <c r="N724" s="2" t="b">
        <f>IFERROR(__xludf.DUMMYFUNCTION("IF(AND(REGEXMATCH($G$4, ""cd""),M724),N723+J724)"),FALSE)</f>
        <v>0</v>
      </c>
      <c r="O724" s="2" t="str">
        <f t="shared" si="5"/>
        <v>#N/A</v>
      </c>
    </row>
    <row r="725">
      <c r="A725" s="1" t="s">
        <v>2</v>
      </c>
      <c r="B725" s="2" t="str">
        <f t="shared" si="1"/>
        <v>#VALUE!</v>
      </c>
      <c r="C725" s="2" t="str">
        <f>IFERROR(__xludf.DUMMYFUNCTION("SPLIT(B725,"" "")"),"#VALUE!")</f>
        <v>#VALUE!</v>
      </c>
      <c r="E725" s="2" t="str">
        <f t="shared" si="2"/>
        <v>#VALUE!</v>
      </c>
      <c r="F725" s="2" t="str">
        <f>IFERROR(__xludf.DUMMYFUNCTION("SPLIT(E725,"" "")"),"#VALUE!")</f>
        <v>#VALUE!</v>
      </c>
      <c r="I725" s="2" t="str">
        <f t="shared" si="3"/>
        <v>#VALUE!</v>
      </c>
      <c r="J725" s="2" t="str">
        <f>IFERROR(__xludf.DUMMYFUNCTION("SPLIT(I725,"" "")"),"#VALUE!")</f>
        <v>#VALUE!</v>
      </c>
      <c r="M725" s="2" t="b">
        <f t="shared" si="4"/>
        <v>0</v>
      </c>
      <c r="N725" s="2" t="b">
        <f>IFERROR(__xludf.DUMMYFUNCTION("IF(AND(REGEXMATCH($G$4, ""cd""),M725),N724+J725)"),FALSE)</f>
        <v>0</v>
      </c>
      <c r="O725" s="2" t="str">
        <f t="shared" si="5"/>
        <v>#N/A</v>
      </c>
    </row>
    <row r="726">
      <c r="A726" s="1" t="s">
        <v>416</v>
      </c>
      <c r="B726" s="2" t="str">
        <f t="shared" si="1"/>
        <v>dir dzdd</v>
      </c>
      <c r="C726" s="2" t="str">
        <f>IFERROR(__xludf.DUMMYFUNCTION("SPLIT(B726,"" "")"),"dir")</f>
        <v>dir</v>
      </c>
      <c r="D726" s="2" t="str">
        <f>IFERROR(__xludf.DUMMYFUNCTION("""COMPUTED_VALUE"""),"dzdd")</f>
        <v>dzdd</v>
      </c>
      <c r="E726" s="2" t="str">
        <f t="shared" si="2"/>
        <v>#VALUE!</v>
      </c>
      <c r="F726" s="2" t="str">
        <f>IFERROR(__xludf.DUMMYFUNCTION("SPLIT(E726,"" "")"),"#VALUE!")</f>
        <v>#VALUE!</v>
      </c>
      <c r="I726" s="2" t="str">
        <f t="shared" si="3"/>
        <v>#VALUE!</v>
      </c>
      <c r="J726" s="2" t="str">
        <f>IFERROR(__xludf.DUMMYFUNCTION("SPLIT(I726,"" "")"),"#VALUE!")</f>
        <v>#VALUE!</v>
      </c>
      <c r="M726" s="2" t="b">
        <f t="shared" si="4"/>
        <v>0</v>
      </c>
      <c r="N726" s="2" t="b">
        <f>IFERROR(__xludf.DUMMYFUNCTION("IF(AND(REGEXMATCH($G$4, ""cd""),M726),N725+J726)"),FALSE)</f>
        <v>0</v>
      </c>
      <c r="O726" s="2" t="str">
        <f t="shared" si="5"/>
        <v>#N/A</v>
      </c>
    </row>
    <row r="727">
      <c r="A727" s="1" t="s">
        <v>417</v>
      </c>
      <c r="B727" s="2" t="str">
        <f t="shared" si="1"/>
        <v>#VALUE!</v>
      </c>
      <c r="C727" s="2" t="str">
        <f>IFERROR(__xludf.DUMMYFUNCTION("SPLIT(B727,"" "")"),"#VALUE!")</f>
        <v>#VALUE!</v>
      </c>
      <c r="E727" s="2" t="str">
        <f t="shared" si="2"/>
        <v>#VALUE!</v>
      </c>
      <c r="F727" s="2" t="str">
        <f>IFERROR(__xludf.DUMMYFUNCTION("SPLIT(E727,"" "")"),"#VALUE!")</f>
        <v>#VALUE!</v>
      </c>
      <c r="I727" s="2" t="str">
        <f t="shared" si="3"/>
        <v>#VALUE!</v>
      </c>
      <c r="J727" s="2" t="str">
        <f>IFERROR(__xludf.DUMMYFUNCTION("SPLIT(I727,"" "")"),"#VALUE!")</f>
        <v>#VALUE!</v>
      </c>
      <c r="M727" s="2" t="b">
        <f t="shared" si="4"/>
        <v>0</v>
      </c>
      <c r="N727" s="2" t="b">
        <f>IFERROR(__xludf.DUMMYFUNCTION("IF(AND(REGEXMATCH($G$4, ""cd""),M727),N726+J727)"),FALSE)</f>
        <v>0</v>
      </c>
      <c r="O727" s="2" t="str">
        <f t="shared" si="5"/>
        <v>#N/A</v>
      </c>
    </row>
    <row r="728">
      <c r="A728" s="1" t="s">
        <v>418</v>
      </c>
      <c r="B728" s="2" t="str">
        <f t="shared" si="1"/>
        <v>dir rnlctfm</v>
      </c>
      <c r="C728" s="2" t="str">
        <f>IFERROR(__xludf.DUMMYFUNCTION("SPLIT(B728,"" "")"),"dir")</f>
        <v>dir</v>
      </c>
      <c r="D728" s="2" t="str">
        <f>IFERROR(__xludf.DUMMYFUNCTION("""COMPUTED_VALUE"""),"rnlctfm")</f>
        <v>rnlctfm</v>
      </c>
      <c r="E728" s="2" t="str">
        <f t="shared" si="2"/>
        <v>#VALUE!</v>
      </c>
      <c r="F728" s="2" t="str">
        <f>IFERROR(__xludf.DUMMYFUNCTION("SPLIT(E728,"" "")"),"#VALUE!")</f>
        <v>#VALUE!</v>
      </c>
      <c r="I728" s="2" t="str">
        <f t="shared" si="3"/>
        <v>#VALUE!</v>
      </c>
      <c r="J728" s="2" t="str">
        <f>IFERROR(__xludf.DUMMYFUNCTION("SPLIT(I728,"" "")"),"#VALUE!")</f>
        <v>#VALUE!</v>
      </c>
      <c r="M728" s="2" t="b">
        <f t="shared" si="4"/>
        <v>0</v>
      </c>
      <c r="N728" s="2" t="b">
        <f>IFERROR(__xludf.DUMMYFUNCTION("IF(AND(REGEXMATCH($G$4, ""cd""),M728),N727+J728)"),FALSE)</f>
        <v>0</v>
      </c>
      <c r="O728" s="2" t="str">
        <f t="shared" si="5"/>
        <v>#N/A</v>
      </c>
    </row>
    <row r="729">
      <c r="A729" s="1" t="s">
        <v>39</v>
      </c>
      <c r="B729" s="2" t="str">
        <f t="shared" si="1"/>
        <v>dir slzdbm</v>
      </c>
      <c r="C729" s="2" t="str">
        <f>IFERROR(__xludf.DUMMYFUNCTION("SPLIT(B729,"" "")"),"dir")</f>
        <v>dir</v>
      </c>
      <c r="D729" s="2" t="str">
        <f>IFERROR(__xludf.DUMMYFUNCTION("""COMPUTED_VALUE"""),"slzdbm")</f>
        <v>slzdbm</v>
      </c>
      <c r="E729" s="2" t="str">
        <f t="shared" si="2"/>
        <v>#VALUE!</v>
      </c>
      <c r="F729" s="2" t="str">
        <f>IFERROR(__xludf.DUMMYFUNCTION("SPLIT(E729,"" "")"),"#VALUE!")</f>
        <v>#VALUE!</v>
      </c>
      <c r="I729" s="2" t="str">
        <f t="shared" si="3"/>
        <v>#VALUE!</v>
      </c>
      <c r="J729" s="2" t="str">
        <f>IFERROR(__xludf.DUMMYFUNCTION("SPLIT(I729,"" "")"),"#VALUE!")</f>
        <v>#VALUE!</v>
      </c>
      <c r="M729" s="2" t="b">
        <f t="shared" si="4"/>
        <v>0</v>
      </c>
      <c r="N729" s="2" t="b">
        <f>IFERROR(__xludf.DUMMYFUNCTION("IF(AND(REGEXMATCH($G$4, ""cd""),M729),N728+J729)"),FALSE)</f>
        <v>0</v>
      </c>
      <c r="O729" s="2" t="str">
        <f t="shared" si="5"/>
        <v>#N/A</v>
      </c>
    </row>
    <row r="730">
      <c r="A730" s="1" t="s">
        <v>419</v>
      </c>
      <c r="B730" s="2" t="str">
        <f t="shared" si="1"/>
        <v>#VALUE!</v>
      </c>
      <c r="C730" s="2" t="str">
        <f>IFERROR(__xludf.DUMMYFUNCTION("SPLIT(B730,"" "")"),"#VALUE!")</f>
        <v>#VALUE!</v>
      </c>
      <c r="E730" s="2" t="str">
        <f t="shared" si="2"/>
        <v>#VALUE!</v>
      </c>
      <c r="F730" s="2" t="str">
        <f>IFERROR(__xludf.DUMMYFUNCTION("SPLIT(E730,"" "")"),"#VALUE!")</f>
        <v>#VALUE!</v>
      </c>
      <c r="I730" s="2" t="str">
        <f t="shared" si="3"/>
        <v>213184 zcgrgff.vln</v>
      </c>
      <c r="J730" s="2">
        <f>IFERROR(__xludf.DUMMYFUNCTION("SPLIT(I730,"" "")"),213184.0)</f>
        <v>213184</v>
      </c>
      <c r="K730" s="2" t="str">
        <f>IFERROR(__xludf.DUMMYFUNCTION("""COMPUTED_VALUE"""),"zcgrgff.vln")</f>
        <v>zcgrgff.vln</v>
      </c>
      <c r="M730" s="2" t="b">
        <f t="shared" si="4"/>
        <v>1</v>
      </c>
      <c r="N730" s="2">
        <f>IFERROR(__xludf.DUMMYFUNCTION("IF(AND(REGEXMATCH($G$4, ""cd""),M730),N729+J730)"),213184.0)</f>
        <v>213184</v>
      </c>
      <c r="O730" s="2" t="str">
        <f t="shared" si="5"/>
        <v>#N/A</v>
      </c>
    </row>
    <row r="731">
      <c r="A731" s="1" t="s">
        <v>420</v>
      </c>
      <c r="B731" s="2" t="str">
        <f t="shared" si="1"/>
        <v>#VALUE!</v>
      </c>
      <c r="C731" s="2" t="str">
        <f>IFERROR(__xludf.DUMMYFUNCTION("SPLIT(B731,"" "")"),"#VALUE!")</f>
        <v>#VALUE!</v>
      </c>
      <c r="E731" s="2" t="str">
        <f t="shared" si="2"/>
        <v>$ cd dzdd</v>
      </c>
      <c r="F731" s="2" t="str">
        <f>IFERROR(__xludf.DUMMYFUNCTION("SPLIT(E731,"" "")"),"$")</f>
        <v>$</v>
      </c>
      <c r="G731" s="2" t="str">
        <f>IFERROR(__xludf.DUMMYFUNCTION("""COMPUTED_VALUE"""),"cd")</f>
        <v>cd</v>
      </c>
      <c r="H731" s="2" t="str">
        <f>IFERROR(__xludf.DUMMYFUNCTION("""COMPUTED_VALUE"""),"dzdd")</f>
        <v>dzdd</v>
      </c>
      <c r="I731" s="2" t="str">
        <f t="shared" si="3"/>
        <v>#VALUE!</v>
      </c>
      <c r="J731" s="2" t="str">
        <f>IFERROR(__xludf.DUMMYFUNCTION("SPLIT(I731,"" "")"),"#VALUE!")</f>
        <v>#VALUE!</v>
      </c>
      <c r="M731" s="2" t="b">
        <f t="shared" si="4"/>
        <v>0</v>
      </c>
      <c r="N731" s="2" t="b">
        <f>IFERROR(__xludf.DUMMYFUNCTION("IF(AND(REGEXMATCH($G$4, ""cd""),M731),N730+J731)"),FALSE)</f>
        <v>0</v>
      </c>
      <c r="O731" s="2" t="str">
        <f t="shared" si="5"/>
        <v>#N/A</v>
      </c>
    </row>
    <row r="732">
      <c r="A732" s="1" t="s">
        <v>2</v>
      </c>
      <c r="B732" s="2" t="str">
        <f t="shared" si="1"/>
        <v>#VALUE!</v>
      </c>
      <c r="C732" s="2" t="str">
        <f>IFERROR(__xludf.DUMMYFUNCTION("SPLIT(B732,"" "")"),"#VALUE!")</f>
        <v>#VALUE!</v>
      </c>
      <c r="E732" s="2" t="str">
        <f t="shared" si="2"/>
        <v>#VALUE!</v>
      </c>
      <c r="F732" s="2" t="str">
        <f>IFERROR(__xludf.DUMMYFUNCTION("SPLIT(E732,"" "")"),"#VALUE!")</f>
        <v>#VALUE!</v>
      </c>
      <c r="I732" s="2" t="str">
        <f t="shared" si="3"/>
        <v>#VALUE!</v>
      </c>
      <c r="J732" s="2" t="str">
        <f>IFERROR(__xludf.DUMMYFUNCTION("SPLIT(I732,"" "")"),"#VALUE!")</f>
        <v>#VALUE!</v>
      </c>
      <c r="M732" s="2" t="b">
        <f t="shared" si="4"/>
        <v>0</v>
      </c>
      <c r="N732" s="2" t="b">
        <f>IFERROR(__xludf.DUMMYFUNCTION("IF(AND(REGEXMATCH($G$4, ""cd""),M732),N731+J732)"),FALSE)</f>
        <v>0</v>
      </c>
      <c r="O732" s="2" t="str">
        <f t="shared" si="5"/>
        <v>#N/A</v>
      </c>
    </row>
    <row r="733">
      <c r="A733" s="1" t="s">
        <v>4</v>
      </c>
      <c r="B733" s="2" t="str">
        <f t="shared" si="1"/>
        <v>dir jnwr</v>
      </c>
      <c r="C733" s="2" t="str">
        <f>IFERROR(__xludf.DUMMYFUNCTION("SPLIT(B733,"" "")"),"dir")</f>
        <v>dir</v>
      </c>
      <c r="D733" s="2" t="str">
        <f>IFERROR(__xludf.DUMMYFUNCTION("""COMPUTED_VALUE"""),"jnwr")</f>
        <v>jnwr</v>
      </c>
      <c r="E733" s="2" t="str">
        <f t="shared" si="2"/>
        <v>#VALUE!</v>
      </c>
      <c r="F733" s="2" t="str">
        <f>IFERROR(__xludf.DUMMYFUNCTION("SPLIT(E733,"" "")"),"#VALUE!")</f>
        <v>#VALUE!</v>
      </c>
      <c r="I733" s="2" t="str">
        <f t="shared" si="3"/>
        <v>#VALUE!</v>
      </c>
      <c r="J733" s="2" t="str">
        <f>IFERROR(__xludf.DUMMYFUNCTION("SPLIT(I733,"" "")"),"#VALUE!")</f>
        <v>#VALUE!</v>
      </c>
      <c r="M733" s="2" t="b">
        <f t="shared" si="4"/>
        <v>0</v>
      </c>
      <c r="N733" s="2" t="b">
        <f>IFERROR(__xludf.DUMMYFUNCTION("IF(AND(REGEXMATCH($G$4, ""cd""),M733),N732+J733)"),FALSE)</f>
        <v>0</v>
      </c>
      <c r="O733" s="2" t="str">
        <f t="shared" si="5"/>
        <v>#N/A</v>
      </c>
    </row>
    <row r="734">
      <c r="A734" s="1" t="s">
        <v>20</v>
      </c>
      <c r="B734" s="2" t="str">
        <f t="shared" si="1"/>
        <v>#VALUE!</v>
      </c>
      <c r="C734" s="2" t="str">
        <f>IFERROR(__xludf.DUMMYFUNCTION("SPLIT(B734,"" "")"),"#VALUE!")</f>
        <v>#VALUE!</v>
      </c>
      <c r="E734" s="2" t="str">
        <f t="shared" si="2"/>
        <v>$ cd jnwr</v>
      </c>
      <c r="F734" s="2" t="str">
        <f>IFERROR(__xludf.DUMMYFUNCTION("SPLIT(E734,"" "")"),"$")</f>
        <v>$</v>
      </c>
      <c r="G734" s="2" t="str">
        <f>IFERROR(__xludf.DUMMYFUNCTION("""COMPUTED_VALUE"""),"cd")</f>
        <v>cd</v>
      </c>
      <c r="H734" s="2" t="str">
        <f>IFERROR(__xludf.DUMMYFUNCTION("""COMPUTED_VALUE"""),"jnwr")</f>
        <v>jnwr</v>
      </c>
      <c r="I734" s="2" t="str">
        <f t="shared" si="3"/>
        <v>#VALUE!</v>
      </c>
      <c r="J734" s="2" t="str">
        <f>IFERROR(__xludf.DUMMYFUNCTION("SPLIT(I734,"" "")"),"#VALUE!")</f>
        <v>#VALUE!</v>
      </c>
      <c r="M734" s="2" t="b">
        <f t="shared" si="4"/>
        <v>0</v>
      </c>
      <c r="N734" s="2" t="b">
        <f>IFERROR(__xludf.DUMMYFUNCTION("IF(AND(REGEXMATCH($G$4, ""cd""),M734),N733+J734)"),FALSE)</f>
        <v>0</v>
      </c>
      <c r="O734" s="2" t="str">
        <f t="shared" si="5"/>
        <v>#N/A</v>
      </c>
    </row>
    <row r="735">
      <c r="A735" s="1" t="s">
        <v>2</v>
      </c>
      <c r="B735" s="2" t="str">
        <f t="shared" si="1"/>
        <v>#VALUE!</v>
      </c>
      <c r="C735" s="2" t="str">
        <f>IFERROR(__xludf.DUMMYFUNCTION("SPLIT(B735,"" "")"),"#VALUE!")</f>
        <v>#VALUE!</v>
      </c>
      <c r="E735" s="2" t="str">
        <f t="shared" si="2"/>
        <v>#VALUE!</v>
      </c>
      <c r="F735" s="2" t="str">
        <f>IFERROR(__xludf.DUMMYFUNCTION("SPLIT(E735,"" "")"),"#VALUE!")</f>
        <v>#VALUE!</v>
      </c>
      <c r="I735" s="2" t="str">
        <f t="shared" si="3"/>
        <v>#VALUE!</v>
      </c>
      <c r="J735" s="2" t="str">
        <f>IFERROR(__xludf.DUMMYFUNCTION("SPLIT(I735,"" "")"),"#VALUE!")</f>
        <v>#VALUE!</v>
      </c>
      <c r="M735" s="2" t="b">
        <f t="shared" si="4"/>
        <v>0</v>
      </c>
      <c r="N735" s="2" t="b">
        <f>IFERROR(__xludf.DUMMYFUNCTION("IF(AND(REGEXMATCH($G$4, ""cd""),M735),N734+J735)"),FALSE)</f>
        <v>0</v>
      </c>
      <c r="O735" s="2" t="str">
        <f t="shared" si="5"/>
        <v>#N/A</v>
      </c>
    </row>
    <row r="736">
      <c r="A736" s="1" t="s">
        <v>421</v>
      </c>
      <c r="B736" s="2" t="str">
        <f t="shared" si="1"/>
        <v>#VALUE!</v>
      </c>
      <c r="C736" s="2" t="str">
        <f>IFERROR(__xludf.DUMMYFUNCTION("SPLIT(B736,"" "")"),"#VALUE!")</f>
        <v>#VALUE!</v>
      </c>
      <c r="E736" s="2" t="str">
        <f t="shared" si="2"/>
        <v>#VALUE!</v>
      </c>
      <c r="F736" s="2" t="str">
        <f>IFERROR(__xludf.DUMMYFUNCTION("SPLIT(E736,"" "")"),"#VALUE!")</f>
        <v>#VALUE!</v>
      </c>
      <c r="I736" s="2" t="str">
        <f t="shared" si="3"/>
        <v>#VALUE!</v>
      </c>
      <c r="J736" s="2" t="str">
        <f>IFERROR(__xludf.DUMMYFUNCTION("SPLIT(I736,"" "")"),"#VALUE!")</f>
        <v>#VALUE!</v>
      </c>
      <c r="M736" s="2" t="b">
        <f t="shared" si="4"/>
        <v>0</v>
      </c>
      <c r="N736" s="2" t="b">
        <f>IFERROR(__xludf.DUMMYFUNCTION("IF(AND(REGEXMATCH($G$4, ""cd""),M736),N735+J736)"),FALSE)</f>
        <v>0</v>
      </c>
      <c r="O736" s="2" t="str">
        <f t="shared" si="5"/>
        <v>#N/A</v>
      </c>
    </row>
    <row r="737">
      <c r="A737" s="1" t="s">
        <v>17</v>
      </c>
      <c r="B737" s="2" t="str">
        <f t="shared" si="1"/>
        <v>#VALUE!</v>
      </c>
      <c r="C737" s="2" t="str">
        <f>IFERROR(__xludf.DUMMYFUNCTION("SPLIT(B737,"" "")"),"#VALUE!")</f>
        <v>#VALUE!</v>
      </c>
      <c r="E737" s="2" t="str">
        <f t="shared" si="2"/>
        <v>$ cd ..</v>
      </c>
      <c r="F737" s="2" t="str">
        <f>IFERROR(__xludf.DUMMYFUNCTION("SPLIT(E737,"" "")"),"$")</f>
        <v>$</v>
      </c>
      <c r="G737" s="2" t="str">
        <f>IFERROR(__xludf.DUMMYFUNCTION("""COMPUTED_VALUE"""),"cd")</f>
        <v>cd</v>
      </c>
      <c r="H737" s="2" t="str">
        <f>IFERROR(__xludf.DUMMYFUNCTION("""COMPUTED_VALUE"""),"..")</f>
        <v>..</v>
      </c>
      <c r="I737" s="2" t="str">
        <f t="shared" si="3"/>
        <v>$ cd ..</v>
      </c>
      <c r="J737" s="2" t="str">
        <f>IFERROR(__xludf.DUMMYFUNCTION("SPLIT(I737,"" "")"),"$")</f>
        <v>$</v>
      </c>
      <c r="K737" s="2" t="str">
        <f>IFERROR(__xludf.DUMMYFUNCTION("""COMPUTED_VALUE"""),"cd")</f>
        <v>cd</v>
      </c>
      <c r="L737" s="2" t="str">
        <f>IFERROR(__xludf.DUMMYFUNCTION("""COMPUTED_VALUE"""),"..")</f>
        <v>..</v>
      </c>
      <c r="M737" s="2" t="b">
        <f t="shared" si="4"/>
        <v>0</v>
      </c>
      <c r="N737" s="2" t="b">
        <f>IFERROR(__xludf.DUMMYFUNCTION("IF(AND(REGEXMATCH($G$4, ""cd""),M737),N736+J737)"),FALSE)</f>
        <v>0</v>
      </c>
      <c r="O737" s="2" t="str">
        <f t="shared" si="5"/>
        <v>#N/A</v>
      </c>
    </row>
    <row r="738">
      <c r="A738" s="1" t="s">
        <v>17</v>
      </c>
      <c r="B738" s="2" t="str">
        <f t="shared" si="1"/>
        <v>#VALUE!</v>
      </c>
      <c r="C738" s="2" t="str">
        <f>IFERROR(__xludf.DUMMYFUNCTION("SPLIT(B738,"" "")"),"#VALUE!")</f>
        <v>#VALUE!</v>
      </c>
      <c r="E738" s="2" t="str">
        <f t="shared" si="2"/>
        <v>$ cd ..</v>
      </c>
      <c r="F738" s="2" t="str">
        <f>IFERROR(__xludf.DUMMYFUNCTION("SPLIT(E738,"" "")"),"$")</f>
        <v>$</v>
      </c>
      <c r="G738" s="2" t="str">
        <f>IFERROR(__xludf.DUMMYFUNCTION("""COMPUTED_VALUE"""),"cd")</f>
        <v>cd</v>
      </c>
      <c r="H738" s="2" t="str">
        <f>IFERROR(__xludf.DUMMYFUNCTION("""COMPUTED_VALUE"""),"..")</f>
        <v>..</v>
      </c>
      <c r="I738" s="2" t="str">
        <f t="shared" si="3"/>
        <v>$ cd ..</v>
      </c>
      <c r="J738" s="2" t="str">
        <f>IFERROR(__xludf.DUMMYFUNCTION("SPLIT(I738,"" "")"),"$")</f>
        <v>$</v>
      </c>
      <c r="K738" s="2" t="str">
        <f>IFERROR(__xludf.DUMMYFUNCTION("""COMPUTED_VALUE"""),"cd")</f>
        <v>cd</v>
      </c>
      <c r="L738" s="2" t="str">
        <f>IFERROR(__xludf.DUMMYFUNCTION("""COMPUTED_VALUE"""),"..")</f>
        <v>..</v>
      </c>
      <c r="M738" s="2" t="b">
        <f t="shared" si="4"/>
        <v>0</v>
      </c>
      <c r="N738" s="2" t="b">
        <f>IFERROR(__xludf.DUMMYFUNCTION("IF(AND(REGEXMATCH($G$4, ""cd""),M738),N737+J738)"),FALSE)</f>
        <v>0</v>
      </c>
      <c r="O738" s="2" t="str">
        <f t="shared" si="5"/>
        <v>#N/A</v>
      </c>
    </row>
    <row r="739">
      <c r="A739" s="1" t="s">
        <v>422</v>
      </c>
      <c r="B739" s="2" t="str">
        <f t="shared" si="1"/>
        <v>#VALUE!</v>
      </c>
      <c r="C739" s="2" t="str">
        <f>IFERROR(__xludf.DUMMYFUNCTION("SPLIT(B739,"" "")"),"#VALUE!")</f>
        <v>#VALUE!</v>
      </c>
      <c r="E739" s="2" t="str">
        <f t="shared" si="2"/>
        <v>$ cd rnlctfm</v>
      </c>
      <c r="F739" s="2" t="str">
        <f>IFERROR(__xludf.DUMMYFUNCTION("SPLIT(E739,"" "")"),"$")</f>
        <v>$</v>
      </c>
      <c r="G739" s="2" t="str">
        <f>IFERROR(__xludf.DUMMYFUNCTION("""COMPUTED_VALUE"""),"cd")</f>
        <v>cd</v>
      </c>
      <c r="H739" s="2" t="str">
        <f>IFERROR(__xludf.DUMMYFUNCTION("""COMPUTED_VALUE"""),"rnlctfm")</f>
        <v>rnlctfm</v>
      </c>
      <c r="I739" s="2" t="str">
        <f t="shared" si="3"/>
        <v>#VALUE!</v>
      </c>
      <c r="J739" s="2" t="str">
        <f>IFERROR(__xludf.DUMMYFUNCTION("SPLIT(I739,"" "")"),"#VALUE!")</f>
        <v>#VALUE!</v>
      </c>
      <c r="M739" s="2" t="b">
        <f t="shared" si="4"/>
        <v>0</v>
      </c>
      <c r="N739" s="2" t="b">
        <f>IFERROR(__xludf.DUMMYFUNCTION("IF(AND(REGEXMATCH($G$4, ""cd""),M739),N738+J739)"),FALSE)</f>
        <v>0</v>
      </c>
      <c r="O739" s="2" t="str">
        <f t="shared" si="5"/>
        <v>#N/A</v>
      </c>
    </row>
    <row r="740">
      <c r="A740" s="1" t="s">
        <v>2</v>
      </c>
      <c r="B740" s="2" t="str">
        <f t="shared" si="1"/>
        <v>#VALUE!</v>
      </c>
      <c r="C740" s="2" t="str">
        <f>IFERROR(__xludf.DUMMYFUNCTION("SPLIT(B740,"" "")"),"#VALUE!")</f>
        <v>#VALUE!</v>
      </c>
      <c r="E740" s="2" t="str">
        <f t="shared" si="2"/>
        <v>#VALUE!</v>
      </c>
      <c r="F740" s="2" t="str">
        <f>IFERROR(__xludf.DUMMYFUNCTION("SPLIT(E740,"" "")"),"#VALUE!")</f>
        <v>#VALUE!</v>
      </c>
      <c r="I740" s="2" t="str">
        <f t="shared" si="3"/>
        <v>#VALUE!</v>
      </c>
      <c r="J740" s="2" t="str">
        <f>IFERROR(__xludf.DUMMYFUNCTION("SPLIT(I740,"" "")"),"#VALUE!")</f>
        <v>#VALUE!</v>
      </c>
      <c r="M740" s="2" t="b">
        <f t="shared" si="4"/>
        <v>0</v>
      </c>
      <c r="N740" s="2" t="b">
        <f>IFERROR(__xludf.DUMMYFUNCTION("IF(AND(REGEXMATCH($G$4, ""cd""),M740),N739+J740)"),FALSE)</f>
        <v>0</v>
      </c>
      <c r="O740" s="2" t="str">
        <f t="shared" si="5"/>
        <v>#N/A</v>
      </c>
    </row>
    <row r="741">
      <c r="A741" s="1" t="s">
        <v>423</v>
      </c>
      <c r="B741" s="2" t="str">
        <f t="shared" si="1"/>
        <v>#VALUE!</v>
      </c>
      <c r="C741" s="2" t="str">
        <f>IFERROR(__xludf.DUMMYFUNCTION("SPLIT(B741,"" "")"),"#VALUE!")</f>
        <v>#VALUE!</v>
      </c>
      <c r="E741" s="2" t="str">
        <f t="shared" si="2"/>
        <v>#VALUE!</v>
      </c>
      <c r="F741" s="2" t="str">
        <f>IFERROR(__xludf.DUMMYFUNCTION("SPLIT(E741,"" "")"),"#VALUE!")</f>
        <v>#VALUE!</v>
      </c>
      <c r="I741" s="2" t="str">
        <f t="shared" si="3"/>
        <v>282289 jvnmblr.mdc</v>
      </c>
      <c r="J741" s="2">
        <f>IFERROR(__xludf.DUMMYFUNCTION("SPLIT(I741,"" "")"),282289.0)</f>
        <v>282289</v>
      </c>
      <c r="K741" s="2" t="str">
        <f>IFERROR(__xludf.DUMMYFUNCTION("""COMPUTED_VALUE"""),"jvnmblr.mdc")</f>
        <v>jvnmblr.mdc</v>
      </c>
      <c r="M741" s="2" t="b">
        <f t="shared" si="4"/>
        <v>1</v>
      </c>
      <c r="N741" s="2">
        <f>IFERROR(__xludf.DUMMYFUNCTION("IF(AND(REGEXMATCH($G$4, ""cd""),M741),N740+J741)"),282289.0)</f>
        <v>282289</v>
      </c>
      <c r="O741" s="2" t="str">
        <f t="shared" si="5"/>
        <v>#N/A</v>
      </c>
    </row>
    <row r="742">
      <c r="A742" s="1" t="s">
        <v>424</v>
      </c>
      <c r="B742" s="2" t="str">
        <f t="shared" si="1"/>
        <v>#VALUE!</v>
      </c>
      <c r="C742" s="2" t="str">
        <f>IFERROR(__xludf.DUMMYFUNCTION("SPLIT(B742,"" "")"),"#VALUE!")</f>
        <v>#VALUE!</v>
      </c>
      <c r="E742" s="2" t="str">
        <f t="shared" si="2"/>
        <v>#VALUE!</v>
      </c>
      <c r="F742" s="2" t="str">
        <f>IFERROR(__xludf.DUMMYFUNCTION("SPLIT(E742,"" "")"),"#VALUE!")</f>
        <v>#VALUE!</v>
      </c>
      <c r="I742" s="2" t="str">
        <f t="shared" si="3"/>
        <v>#VALUE!</v>
      </c>
      <c r="J742" s="2" t="str">
        <f>IFERROR(__xludf.DUMMYFUNCTION("SPLIT(I742,"" "")"),"#VALUE!")</f>
        <v>#VALUE!</v>
      </c>
      <c r="M742" s="2" t="b">
        <f t="shared" si="4"/>
        <v>0</v>
      </c>
      <c r="N742" s="2" t="b">
        <f>IFERROR(__xludf.DUMMYFUNCTION("IF(AND(REGEXMATCH($G$4, ""cd""),M742),N741+J742)"),FALSE)</f>
        <v>0</v>
      </c>
      <c r="O742" s="2" t="str">
        <f t="shared" si="5"/>
        <v>#N/A</v>
      </c>
    </row>
    <row r="743">
      <c r="A743" s="1" t="s">
        <v>17</v>
      </c>
      <c r="B743" s="2" t="str">
        <f t="shared" si="1"/>
        <v>#VALUE!</v>
      </c>
      <c r="C743" s="2" t="str">
        <f>IFERROR(__xludf.DUMMYFUNCTION("SPLIT(B743,"" "")"),"#VALUE!")</f>
        <v>#VALUE!</v>
      </c>
      <c r="E743" s="2" t="str">
        <f t="shared" si="2"/>
        <v>$ cd ..</v>
      </c>
      <c r="F743" s="2" t="str">
        <f>IFERROR(__xludf.DUMMYFUNCTION("SPLIT(E743,"" "")"),"$")</f>
        <v>$</v>
      </c>
      <c r="G743" s="2" t="str">
        <f>IFERROR(__xludf.DUMMYFUNCTION("""COMPUTED_VALUE"""),"cd")</f>
        <v>cd</v>
      </c>
      <c r="H743" s="2" t="str">
        <f>IFERROR(__xludf.DUMMYFUNCTION("""COMPUTED_VALUE"""),"..")</f>
        <v>..</v>
      </c>
      <c r="I743" s="2" t="str">
        <f t="shared" si="3"/>
        <v>$ cd ..</v>
      </c>
      <c r="J743" s="2" t="str">
        <f>IFERROR(__xludf.DUMMYFUNCTION("SPLIT(I743,"" "")"),"$")</f>
        <v>$</v>
      </c>
      <c r="K743" s="2" t="str">
        <f>IFERROR(__xludf.DUMMYFUNCTION("""COMPUTED_VALUE"""),"cd")</f>
        <v>cd</v>
      </c>
      <c r="L743" s="2" t="str">
        <f>IFERROR(__xludf.DUMMYFUNCTION("""COMPUTED_VALUE"""),"..")</f>
        <v>..</v>
      </c>
      <c r="M743" s="2" t="b">
        <f t="shared" si="4"/>
        <v>0</v>
      </c>
      <c r="N743" s="2" t="b">
        <f>IFERROR(__xludf.DUMMYFUNCTION("IF(AND(REGEXMATCH($G$4, ""cd""),M743),N742+J743)"),FALSE)</f>
        <v>0</v>
      </c>
      <c r="O743" s="2" t="str">
        <f t="shared" si="5"/>
        <v>#N/A</v>
      </c>
    </row>
    <row r="744">
      <c r="A744" s="1" t="s">
        <v>60</v>
      </c>
      <c r="B744" s="2" t="str">
        <f t="shared" si="1"/>
        <v>#VALUE!</v>
      </c>
      <c r="C744" s="2" t="str">
        <f>IFERROR(__xludf.DUMMYFUNCTION("SPLIT(B744,"" "")"),"#VALUE!")</f>
        <v>#VALUE!</v>
      </c>
      <c r="E744" s="2" t="str">
        <f t="shared" si="2"/>
        <v>$ cd slzdbm</v>
      </c>
      <c r="F744" s="2" t="str">
        <f>IFERROR(__xludf.DUMMYFUNCTION("SPLIT(E744,"" "")"),"$")</f>
        <v>$</v>
      </c>
      <c r="G744" s="2" t="str">
        <f>IFERROR(__xludf.DUMMYFUNCTION("""COMPUTED_VALUE"""),"cd")</f>
        <v>cd</v>
      </c>
      <c r="H744" s="2" t="str">
        <f>IFERROR(__xludf.DUMMYFUNCTION("""COMPUTED_VALUE"""),"slzdbm")</f>
        <v>slzdbm</v>
      </c>
      <c r="I744" s="2" t="str">
        <f t="shared" si="3"/>
        <v>#VALUE!</v>
      </c>
      <c r="J744" s="2" t="str">
        <f>IFERROR(__xludf.DUMMYFUNCTION("SPLIT(I744,"" "")"),"#VALUE!")</f>
        <v>#VALUE!</v>
      </c>
      <c r="M744" s="2" t="b">
        <f t="shared" si="4"/>
        <v>0</v>
      </c>
      <c r="N744" s="2" t="b">
        <f>IFERROR(__xludf.DUMMYFUNCTION("IF(AND(REGEXMATCH($G$4, ""cd""),M744),N743+J744)"),FALSE)</f>
        <v>0</v>
      </c>
      <c r="O744" s="2" t="str">
        <f t="shared" si="5"/>
        <v>#N/A</v>
      </c>
    </row>
    <row r="745">
      <c r="A745" s="1" t="s">
        <v>2</v>
      </c>
      <c r="B745" s="2" t="str">
        <f t="shared" si="1"/>
        <v>#VALUE!</v>
      </c>
      <c r="C745" s="2" t="str">
        <f>IFERROR(__xludf.DUMMYFUNCTION("SPLIT(B745,"" "")"),"#VALUE!")</f>
        <v>#VALUE!</v>
      </c>
      <c r="E745" s="2" t="str">
        <f t="shared" si="2"/>
        <v>#VALUE!</v>
      </c>
      <c r="F745" s="2" t="str">
        <f>IFERROR(__xludf.DUMMYFUNCTION("SPLIT(E745,"" "")"),"#VALUE!")</f>
        <v>#VALUE!</v>
      </c>
      <c r="I745" s="2" t="str">
        <f t="shared" si="3"/>
        <v>#VALUE!</v>
      </c>
      <c r="J745" s="2" t="str">
        <f>IFERROR(__xludf.DUMMYFUNCTION("SPLIT(I745,"" "")"),"#VALUE!")</f>
        <v>#VALUE!</v>
      </c>
      <c r="M745" s="2" t="b">
        <f t="shared" si="4"/>
        <v>0</v>
      </c>
      <c r="N745" s="2" t="b">
        <f>IFERROR(__xludf.DUMMYFUNCTION("IF(AND(REGEXMATCH($G$4, ""cd""),M745),N744+J745)"),FALSE)</f>
        <v>0</v>
      </c>
      <c r="O745" s="2" t="str">
        <f t="shared" si="5"/>
        <v>#N/A</v>
      </c>
    </row>
    <row r="746">
      <c r="A746" s="1" t="s">
        <v>425</v>
      </c>
      <c r="B746" s="2" t="str">
        <f t="shared" si="1"/>
        <v>#VALUE!</v>
      </c>
      <c r="C746" s="2" t="str">
        <f>IFERROR(__xludf.DUMMYFUNCTION("SPLIT(B746,"" "")"),"#VALUE!")</f>
        <v>#VALUE!</v>
      </c>
      <c r="E746" s="2" t="str">
        <f t="shared" si="2"/>
        <v>#VALUE!</v>
      </c>
      <c r="F746" s="2" t="str">
        <f>IFERROR(__xludf.DUMMYFUNCTION("SPLIT(E746,"" "")"),"#VALUE!")</f>
        <v>#VALUE!</v>
      </c>
      <c r="I746" s="2" t="str">
        <f t="shared" si="3"/>
        <v>316131 mzsfcvgv.czz</v>
      </c>
      <c r="J746" s="2">
        <f>IFERROR(__xludf.DUMMYFUNCTION("SPLIT(I746,"" "")"),316131.0)</f>
        <v>316131</v>
      </c>
      <c r="K746" s="2" t="str">
        <f>IFERROR(__xludf.DUMMYFUNCTION("""COMPUTED_VALUE"""),"mzsfcvgv.czz")</f>
        <v>mzsfcvgv.czz</v>
      </c>
      <c r="M746" s="2" t="b">
        <f t="shared" si="4"/>
        <v>1</v>
      </c>
      <c r="N746" s="2">
        <f>IFERROR(__xludf.DUMMYFUNCTION("IF(AND(REGEXMATCH($G$4, ""cd""),M746),N745+J746)"),316131.0)</f>
        <v>316131</v>
      </c>
      <c r="O746" s="2" t="str">
        <f t="shared" si="5"/>
        <v>#N/A</v>
      </c>
    </row>
    <row r="747">
      <c r="A747" s="1" t="s">
        <v>17</v>
      </c>
      <c r="B747" s="2" t="str">
        <f t="shared" si="1"/>
        <v>#VALUE!</v>
      </c>
      <c r="C747" s="2" t="str">
        <f>IFERROR(__xludf.DUMMYFUNCTION("SPLIT(B747,"" "")"),"#VALUE!")</f>
        <v>#VALUE!</v>
      </c>
      <c r="E747" s="2" t="str">
        <f t="shared" si="2"/>
        <v>$ cd ..</v>
      </c>
      <c r="F747" s="2" t="str">
        <f>IFERROR(__xludf.DUMMYFUNCTION("SPLIT(E747,"" "")"),"$")</f>
        <v>$</v>
      </c>
      <c r="G747" s="2" t="str">
        <f>IFERROR(__xludf.DUMMYFUNCTION("""COMPUTED_VALUE"""),"cd")</f>
        <v>cd</v>
      </c>
      <c r="H747" s="2" t="str">
        <f>IFERROR(__xludf.DUMMYFUNCTION("""COMPUTED_VALUE"""),"..")</f>
        <v>..</v>
      </c>
      <c r="I747" s="2" t="str">
        <f t="shared" si="3"/>
        <v>$ cd ..</v>
      </c>
      <c r="J747" s="2" t="str">
        <f>IFERROR(__xludf.DUMMYFUNCTION("SPLIT(I747,"" "")"),"$")</f>
        <v>$</v>
      </c>
      <c r="K747" s="2" t="str">
        <f>IFERROR(__xludf.DUMMYFUNCTION("""COMPUTED_VALUE"""),"cd")</f>
        <v>cd</v>
      </c>
      <c r="L747" s="2" t="str">
        <f>IFERROR(__xludf.DUMMYFUNCTION("""COMPUTED_VALUE"""),"..")</f>
        <v>..</v>
      </c>
      <c r="M747" s="2" t="b">
        <f t="shared" si="4"/>
        <v>0</v>
      </c>
      <c r="N747" s="2" t="b">
        <f>IFERROR(__xludf.DUMMYFUNCTION("IF(AND(REGEXMATCH($G$4, ""cd""),M747),N746+J747)"),FALSE)</f>
        <v>0</v>
      </c>
      <c r="O747" s="2" t="str">
        <f t="shared" si="5"/>
        <v>#N/A</v>
      </c>
    </row>
    <row r="748">
      <c r="A748" s="1" t="s">
        <v>17</v>
      </c>
      <c r="B748" s="2" t="str">
        <f t="shared" si="1"/>
        <v>#VALUE!</v>
      </c>
      <c r="C748" s="2" t="str">
        <f>IFERROR(__xludf.DUMMYFUNCTION("SPLIT(B748,"" "")"),"#VALUE!")</f>
        <v>#VALUE!</v>
      </c>
      <c r="E748" s="2" t="str">
        <f t="shared" si="2"/>
        <v>$ cd ..</v>
      </c>
      <c r="F748" s="2" t="str">
        <f>IFERROR(__xludf.DUMMYFUNCTION("SPLIT(E748,"" "")"),"$")</f>
        <v>$</v>
      </c>
      <c r="G748" s="2" t="str">
        <f>IFERROR(__xludf.DUMMYFUNCTION("""COMPUTED_VALUE"""),"cd")</f>
        <v>cd</v>
      </c>
      <c r="H748" s="2" t="str">
        <f>IFERROR(__xludf.DUMMYFUNCTION("""COMPUTED_VALUE"""),"..")</f>
        <v>..</v>
      </c>
      <c r="I748" s="2" t="str">
        <f t="shared" si="3"/>
        <v>$ cd ..</v>
      </c>
      <c r="J748" s="2" t="str">
        <f>IFERROR(__xludf.DUMMYFUNCTION("SPLIT(I748,"" "")"),"$")</f>
        <v>$</v>
      </c>
      <c r="K748" s="2" t="str">
        <f>IFERROR(__xludf.DUMMYFUNCTION("""COMPUTED_VALUE"""),"cd")</f>
        <v>cd</v>
      </c>
      <c r="L748" s="2" t="str">
        <f>IFERROR(__xludf.DUMMYFUNCTION("""COMPUTED_VALUE"""),"..")</f>
        <v>..</v>
      </c>
      <c r="M748" s="2" t="b">
        <f t="shared" si="4"/>
        <v>0</v>
      </c>
      <c r="N748" s="2" t="b">
        <f>IFERROR(__xludf.DUMMYFUNCTION("IF(AND(REGEXMATCH($G$4, ""cd""),M748),N747+J748)"),FALSE)</f>
        <v>0</v>
      </c>
      <c r="O748" s="2" t="str">
        <f t="shared" si="5"/>
        <v>#N/A</v>
      </c>
    </row>
    <row r="749">
      <c r="A749" s="1" t="s">
        <v>131</v>
      </c>
      <c r="B749" s="2" t="str">
        <f t="shared" si="1"/>
        <v>#VALUE!</v>
      </c>
      <c r="C749" s="2" t="str">
        <f>IFERROR(__xludf.DUMMYFUNCTION("SPLIT(B749,"" "")"),"#VALUE!")</f>
        <v>#VALUE!</v>
      </c>
      <c r="E749" s="2" t="str">
        <f t="shared" si="2"/>
        <v>$ cd mzsfcvgv</v>
      </c>
      <c r="F749" s="2" t="str">
        <f>IFERROR(__xludf.DUMMYFUNCTION("SPLIT(E749,"" "")"),"$")</f>
        <v>$</v>
      </c>
      <c r="G749" s="2" t="str">
        <f>IFERROR(__xludf.DUMMYFUNCTION("""COMPUTED_VALUE"""),"cd")</f>
        <v>cd</v>
      </c>
      <c r="H749" s="2" t="str">
        <f>IFERROR(__xludf.DUMMYFUNCTION("""COMPUTED_VALUE"""),"mzsfcvgv")</f>
        <v>mzsfcvgv</v>
      </c>
      <c r="I749" s="2" t="str">
        <f t="shared" si="3"/>
        <v>#VALUE!</v>
      </c>
      <c r="J749" s="2" t="str">
        <f>IFERROR(__xludf.DUMMYFUNCTION("SPLIT(I749,"" "")"),"#VALUE!")</f>
        <v>#VALUE!</v>
      </c>
      <c r="M749" s="2" t="b">
        <f t="shared" si="4"/>
        <v>0</v>
      </c>
      <c r="N749" s="2" t="b">
        <f>IFERROR(__xludf.DUMMYFUNCTION("IF(AND(REGEXMATCH($G$4, ""cd""),M749),N748+J749)"),FALSE)</f>
        <v>0</v>
      </c>
      <c r="O749" s="2" t="str">
        <f t="shared" si="5"/>
        <v>#N/A</v>
      </c>
    </row>
    <row r="750">
      <c r="A750" s="1" t="s">
        <v>2</v>
      </c>
      <c r="B750" s="2" t="str">
        <f t="shared" si="1"/>
        <v>#VALUE!</v>
      </c>
      <c r="C750" s="2" t="str">
        <f>IFERROR(__xludf.DUMMYFUNCTION("SPLIT(B750,"" "")"),"#VALUE!")</f>
        <v>#VALUE!</v>
      </c>
      <c r="E750" s="2" t="str">
        <f t="shared" si="2"/>
        <v>#VALUE!</v>
      </c>
      <c r="F750" s="2" t="str">
        <f>IFERROR(__xludf.DUMMYFUNCTION("SPLIT(E750,"" "")"),"#VALUE!")</f>
        <v>#VALUE!</v>
      </c>
      <c r="I750" s="2" t="str">
        <f t="shared" si="3"/>
        <v>#VALUE!</v>
      </c>
      <c r="J750" s="2" t="str">
        <f>IFERROR(__xludf.DUMMYFUNCTION("SPLIT(I750,"" "")"),"#VALUE!")</f>
        <v>#VALUE!</v>
      </c>
      <c r="M750" s="2" t="b">
        <f t="shared" si="4"/>
        <v>0</v>
      </c>
      <c r="N750" s="2" t="b">
        <f>IFERROR(__xludf.DUMMYFUNCTION("IF(AND(REGEXMATCH($G$4, ""cd""),M750),N749+J750)"),FALSE)</f>
        <v>0</v>
      </c>
      <c r="O750" s="2" t="str">
        <f t="shared" si="5"/>
        <v>#N/A</v>
      </c>
    </row>
    <row r="751">
      <c r="A751" s="1" t="s">
        <v>426</v>
      </c>
      <c r="B751" s="2" t="str">
        <f t="shared" si="1"/>
        <v>dir nsvn</v>
      </c>
      <c r="C751" s="2" t="str">
        <f>IFERROR(__xludf.DUMMYFUNCTION("SPLIT(B751,"" "")"),"dir")</f>
        <v>dir</v>
      </c>
      <c r="D751" s="2" t="str">
        <f>IFERROR(__xludf.DUMMYFUNCTION("""COMPUTED_VALUE"""),"nsvn")</f>
        <v>nsvn</v>
      </c>
      <c r="E751" s="2" t="str">
        <f t="shared" si="2"/>
        <v>#VALUE!</v>
      </c>
      <c r="F751" s="2" t="str">
        <f>IFERROR(__xludf.DUMMYFUNCTION("SPLIT(E751,"" "")"),"#VALUE!")</f>
        <v>#VALUE!</v>
      </c>
      <c r="I751" s="2" t="str">
        <f t="shared" si="3"/>
        <v>#VALUE!</v>
      </c>
      <c r="J751" s="2" t="str">
        <f>IFERROR(__xludf.DUMMYFUNCTION("SPLIT(I751,"" "")"),"#VALUE!")</f>
        <v>#VALUE!</v>
      </c>
      <c r="M751" s="2" t="b">
        <f t="shared" si="4"/>
        <v>0</v>
      </c>
      <c r="N751" s="2" t="b">
        <f>IFERROR(__xludf.DUMMYFUNCTION("IF(AND(REGEXMATCH($G$4, ""cd""),M751),N750+J751)"),FALSE)</f>
        <v>0</v>
      </c>
      <c r="O751" s="2" t="str">
        <f t="shared" si="5"/>
        <v>#N/A</v>
      </c>
    </row>
    <row r="752">
      <c r="A752" s="1" t="s">
        <v>427</v>
      </c>
      <c r="B752" s="2" t="str">
        <f t="shared" si="1"/>
        <v>dir plj</v>
      </c>
      <c r="C752" s="2" t="str">
        <f>IFERROR(__xludf.DUMMYFUNCTION("SPLIT(B752,"" "")"),"dir")</f>
        <v>dir</v>
      </c>
      <c r="D752" s="2" t="str">
        <f>IFERROR(__xludf.DUMMYFUNCTION("""COMPUTED_VALUE"""),"plj")</f>
        <v>plj</v>
      </c>
      <c r="E752" s="2" t="str">
        <f t="shared" si="2"/>
        <v>#VALUE!</v>
      </c>
      <c r="F752" s="2" t="str">
        <f>IFERROR(__xludf.DUMMYFUNCTION("SPLIT(E752,"" "")"),"#VALUE!")</f>
        <v>#VALUE!</v>
      </c>
      <c r="I752" s="2" t="str">
        <f t="shared" si="3"/>
        <v>#VALUE!</v>
      </c>
      <c r="J752" s="2" t="str">
        <f>IFERROR(__xludf.DUMMYFUNCTION("SPLIT(I752,"" "")"),"#VALUE!")</f>
        <v>#VALUE!</v>
      </c>
      <c r="M752" s="2" t="b">
        <f t="shared" si="4"/>
        <v>0</v>
      </c>
      <c r="N752" s="2" t="b">
        <f>IFERROR(__xludf.DUMMYFUNCTION("IF(AND(REGEXMATCH($G$4, ""cd""),M752),N751+J752)"),FALSE)</f>
        <v>0</v>
      </c>
      <c r="O752" s="2" t="str">
        <f t="shared" si="5"/>
        <v>#N/A</v>
      </c>
    </row>
    <row r="753">
      <c r="A753" s="1" t="s">
        <v>428</v>
      </c>
      <c r="B753" s="2" t="str">
        <f t="shared" si="1"/>
        <v>dir tvmv</v>
      </c>
      <c r="C753" s="2" t="str">
        <f>IFERROR(__xludf.DUMMYFUNCTION("SPLIT(B753,"" "")"),"dir")</f>
        <v>dir</v>
      </c>
      <c r="D753" s="2" t="str">
        <f>IFERROR(__xludf.DUMMYFUNCTION("""COMPUTED_VALUE"""),"tvmv")</f>
        <v>tvmv</v>
      </c>
      <c r="E753" s="2" t="str">
        <f t="shared" si="2"/>
        <v>#VALUE!</v>
      </c>
      <c r="F753" s="2" t="str">
        <f>IFERROR(__xludf.DUMMYFUNCTION("SPLIT(E753,"" "")"),"#VALUE!")</f>
        <v>#VALUE!</v>
      </c>
      <c r="I753" s="2" t="str">
        <f t="shared" si="3"/>
        <v>#VALUE!</v>
      </c>
      <c r="J753" s="2" t="str">
        <f>IFERROR(__xludf.DUMMYFUNCTION("SPLIT(I753,"" "")"),"#VALUE!")</f>
        <v>#VALUE!</v>
      </c>
      <c r="M753" s="2" t="b">
        <f t="shared" si="4"/>
        <v>0</v>
      </c>
      <c r="N753" s="2" t="b">
        <f>IFERROR(__xludf.DUMMYFUNCTION("IF(AND(REGEXMATCH($G$4, ""cd""),M753),N752+J753)"),FALSE)</f>
        <v>0</v>
      </c>
      <c r="O753" s="2" t="str">
        <f t="shared" si="5"/>
        <v>#N/A</v>
      </c>
    </row>
    <row r="754">
      <c r="A754" s="1" t="s">
        <v>429</v>
      </c>
      <c r="B754" s="2" t="str">
        <f t="shared" si="1"/>
        <v>#VALUE!</v>
      </c>
      <c r="C754" s="2" t="str">
        <f>IFERROR(__xludf.DUMMYFUNCTION("SPLIT(B754,"" "")"),"#VALUE!")</f>
        <v>#VALUE!</v>
      </c>
      <c r="E754" s="2" t="str">
        <f t="shared" si="2"/>
        <v>$ cd nsvn</v>
      </c>
      <c r="F754" s="2" t="str">
        <f>IFERROR(__xludf.DUMMYFUNCTION("SPLIT(E754,"" "")"),"$")</f>
        <v>$</v>
      </c>
      <c r="G754" s="2" t="str">
        <f>IFERROR(__xludf.DUMMYFUNCTION("""COMPUTED_VALUE"""),"cd")</f>
        <v>cd</v>
      </c>
      <c r="H754" s="2" t="str">
        <f>IFERROR(__xludf.DUMMYFUNCTION("""COMPUTED_VALUE"""),"nsvn")</f>
        <v>nsvn</v>
      </c>
      <c r="I754" s="2" t="str">
        <f t="shared" si="3"/>
        <v>#VALUE!</v>
      </c>
      <c r="J754" s="2" t="str">
        <f>IFERROR(__xludf.DUMMYFUNCTION("SPLIT(I754,"" "")"),"#VALUE!")</f>
        <v>#VALUE!</v>
      </c>
      <c r="M754" s="2" t="b">
        <f t="shared" si="4"/>
        <v>0</v>
      </c>
      <c r="N754" s="2" t="b">
        <f>IFERROR(__xludf.DUMMYFUNCTION("IF(AND(REGEXMATCH($G$4, ""cd""),M754),N753+J754)"),FALSE)</f>
        <v>0</v>
      </c>
      <c r="O754" s="2" t="str">
        <f t="shared" si="5"/>
        <v>#N/A</v>
      </c>
    </row>
    <row r="755">
      <c r="A755" s="1" t="s">
        <v>2</v>
      </c>
      <c r="B755" s="2" t="str">
        <f t="shared" si="1"/>
        <v>#VALUE!</v>
      </c>
      <c r="C755" s="2" t="str">
        <f>IFERROR(__xludf.DUMMYFUNCTION("SPLIT(B755,"" "")"),"#VALUE!")</f>
        <v>#VALUE!</v>
      </c>
      <c r="E755" s="2" t="str">
        <f t="shared" si="2"/>
        <v>#VALUE!</v>
      </c>
      <c r="F755" s="2" t="str">
        <f>IFERROR(__xludf.DUMMYFUNCTION("SPLIT(E755,"" "")"),"#VALUE!")</f>
        <v>#VALUE!</v>
      </c>
      <c r="I755" s="2" t="str">
        <f t="shared" si="3"/>
        <v>#VALUE!</v>
      </c>
      <c r="J755" s="2" t="str">
        <f>IFERROR(__xludf.DUMMYFUNCTION("SPLIT(I755,"" "")"),"#VALUE!")</f>
        <v>#VALUE!</v>
      </c>
      <c r="M755" s="2" t="b">
        <f t="shared" si="4"/>
        <v>0</v>
      </c>
      <c r="N755" s="2" t="b">
        <f>IFERROR(__xludf.DUMMYFUNCTION("IF(AND(REGEXMATCH($G$4, ""cd""),M755),N754+J755)"),FALSE)</f>
        <v>0</v>
      </c>
      <c r="O755" s="2" t="str">
        <f t="shared" si="5"/>
        <v>#N/A</v>
      </c>
    </row>
    <row r="756">
      <c r="A756" s="1" t="s">
        <v>430</v>
      </c>
      <c r="B756" s="2" t="str">
        <f t="shared" si="1"/>
        <v>dir bcmd</v>
      </c>
      <c r="C756" s="2" t="str">
        <f>IFERROR(__xludf.DUMMYFUNCTION("SPLIT(B756,"" "")"),"dir")</f>
        <v>dir</v>
      </c>
      <c r="D756" s="2" t="str">
        <f>IFERROR(__xludf.DUMMYFUNCTION("""COMPUTED_VALUE"""),"bcmd")</f>
        <v>bcmd</v>
      </c>
      <c r="E756" s="2" t="str">
        <f t="shared" si="2"/>
        <v>#VALUE!</v>
      </c>
      <c r="F756" s="2" t="str">
        <f>IFERROR(__xludf.DUMMYFUNCTION("SPLIT(E756,"" "")"),"#VALUE!")</f>
        <v>#VALUE!</v>
      </c>
      <c r="I756" s="2" t="str">
        <f t="shared" si="3"/>
        <v>#VALUE!</v>
      </c>
      <c r="J756" s="2" t="str">
        <f>IFERROR(__xludf.DUMMYFUNCTION("SPLIT(I756,"" "")"),"#VALUE!")</f>
        <v>#VALUE!</v>
      </c>
      <c r="M756" s="2" t="b">
        <f t="shared" si="4"/>
        <v>0</v>
      </c>
      <c r="N756" s="2" t="b">
        <f>IFERROR(__xludf.DUMMYFUNCTION("IF(AND(REGEXMATCH($G$4, ""cd""),M756),N755+J756)"),FALSE)</f>
        <v>0</v>
      </c>
      <c r="O756" s="2" t="str">
        <f t="shared" si="5"/>
        <v>#N/A</v>
      </c>
    </row>
    <row r="757">
      <c r="A757" s="1" t="s">
        <v>431</v>
      </c>
      <c r="B757" s="2" t="str">
        <f t="shared" si="1"/>
        <v>dir jcjsp</v>
      </c>
      <c r="C757" s="2" t="str">
        <f>IFERROR(__xludf.DUMMYFUNCTION("SPLIT(B757,"" "")"),"dir")</f>
        <v>dir</v>
      </c>
      <c r="D757" s="2" t="str">
        <f>IFERROR(__xludf.DUMMYFUNCTION("""COMPUTED_VALUE"""),"jcjsp")</f>
        <v>jcjsp</v>
      </c>
      <c r="E757" s="2" t="str">
        <f t="shared" si="2"/>
        <v>#VALUE!</v>
      </c>
      <c r="F757" s="2" t="str">
        <f>IFERROR(__xludf.DUMMYFUNCTION("SPLIT(E757,"" "")"),"#VALUE!")</f>
        <v>#VALUE!</v>
      </c>
      <c r="I757" s="2" t="str">
        <f t="shared" si="3"/>
        <v>#VALUE!</v>
      </c>
      <c r="J757" s="2" t="str">
        <f>IFERROR(__xludf.DUMMYFUNCTION("SPLIT(I757,"" "")"),"#VALUE!")</f>
        <v>#VALUE!</v>
      </c>
      <c r="M757" s="2" t="b">
        <f t="shared" si="4"/>
        <v>0</v>
      </c>
      <c r="N757" s="2" t="b">
        <f>IFERROR(__xludf.DUMMYFUNCTION("IF(AND(REGEXMATCH($G$4, ""cd""),M757),N756+J757)"),FALSE)</f>
        <v>0</v>
      </c>
      <c r="O757" s="2" t="str">
        <f t="shared" si="5"/>
        <v>#N/A</v>
      </c>
    </row>
    <row r="758">
      <c r="A758" s="1" t="s">
        <v>4</v>
      </c>
      <c r="B758" s="2" t="str">
        <f t="shared" si="1"/>
        <v>dir jnwr</v>
      </c>
      <c r="C758" s="2" t="str">
        <f>IFERROR(__xludf.DUMMYFUNCTION("SPLIT(B758,"" "")"),"dir")</f>
        <v>dir</v>
      </c>
      <c r="D758" s="2" t="str">
        <f>IFERROR(__xludf.DUMMYFUNCTION("""COMPUTED_VALUE"""),"jnwr")</f>
        <v>jnwr</v>
      </c>
      <c r="E758" s="2" t="str">
        <f t="shared" si="2"/>
        <v>#VALUE!</v>
      </c>
      <c r="F758" s="2" t="str">
        <f>IFERROR(__xludf.DUMMYFUNCTION("SPLIT(E758,"" "")"),"#VALUE!")</f>
        <v>#VALUE!</v>
      </c>
      <c r="I758" s="2" t="str">
        <f t="shared" si="3"/>
        <v>#VALUE!</v>
      </c>
      <c r="J758" s="2" t="str">
        <f>IFERROR(__xludf.DUMMYFUNCTION("SPLIT(I758,"" "")"),"#VALUE!")</f>
        <v>#VALUE!</v>
      </c>
      <c r="M758" s="2" t="b">
        <f t="shared" si="4"/>
        <v>0</v>
      </c>
      <c r="N758" s="2" t="b">
        <f>IFERROR(__xludf.DUMMYFUNCTION("IF(AND(REGEXMATCH($G$4, ""cd""),M758),N757+J758)"),FALSE)</f>
        <v>0</v>
      </c>
      <c r="O758" s="2" t="str">
        <f t="shared" si="5"/>
        <v>#N/A</v>
      </c>
    </row>
    <row r="759">
      <c r="A759" s="1" t="s">
        <v>432</v>
      </c>
      <c r="B759" s="2" t="str">
        <f t="shared" si="1"/>
        <v>#VALUE!</v>
      </c>
      <c r="C759" s="2" t="str">
        <f>IFERROR(__xludf.DUMMYFUNCTION("SPLIT(B759,"" "")"),"#VALUE!")</f>
        <v>#VALUE!</v>
      </c>
      <c r="E759" s="2" t="str">
        <f t="shared" si="2"/>
        <v>$ cd bcmd</v>
      </c>
      <c r="F759" s="2" t="str">
        <f>IFERROR(__xludf.DUMMYFUNCTION("SPLIT(E759,"" "")"),"$")</f>
        <v>$</v>
      </c>
      <c r="G759" s="2" t="str">
        <f>IFERROR(__xludf.DUMMYFUNCTION("""COMPUTED_VALUE"""),"cd")</f>
        <v>cd</v>
      </c>
      <c r="H759" s="2" t="str">
        <f>IFERROR(__xludf.DUMMYFUNCTION("""COMPUTED_VALUE"""),"bcmd")</f>
        <v>bcmd</v>
      </c>
      <c r="I759" s="2" t="str">
        <f t="shared" si="3"/>
        <v>#VALUE!</v>
      </c>
      <c r="J759" s="2" t="str">
        <f>IFERROR(__xludf.DUMMYFUNCTION("SPLIT(I759,"" "")"),"#VALUE!")</f>
        <v>#VALUE!</v>
      </c>
      <c r="M759" s="2" t="b">
        <f t="shared" si="4"/>
        <v>0</v>
      </c>
      <c r="N759" s="2" t="b">
        <f>IFERROR(__xludf.DUMMYFUNCTION("IF(AND(REGEXMATCH($G$4, ""cd""),M759),N758+J759)"),FALSE)</f>
        <v>0</v>
      </c>
      <c r="O759" s="2" t="str">
        <f t="shared" si="5"/>
        <v>#N/A</v>
      </c>
    </row>
    <row r="760">
      <c r="A760" s="1" t="s">
        <v>2</v>
      </c>
      <c r="B760" s="2" t="str">
        <f t="shared" si="1"/>
        <v>#VALUE!</v>
      </c>
      <c r="C760" s="2" t="str">
        <f>IFERROR(__xludf.DUMMYFUNCTION("SPLIT(B760,"" "")"),"#VALUE!")</f>
        <v>#VALUE!</v>
      </c>
      <c r="E760" s="2" t="str">
        <f t="shared" si="2"/>
        <v>#VALUE!</v>
      </c>
      <c r="F760" s="2" t="str">
        <f>IFERROR(__xludf.DUMMYFUNCTION("SPLIT(E760,"" "")"),"#VALUE!")</f>
        <v>#VALUE!</v>
      </c>
      <c r="I760" s="2" t="str">
        <f t="shared" si="3"/>
        <v>#VALUE!</v>
      </c>
      <c r="J760" s="2" t="str">
        <f>IFERROR(__xludf.DUMMYFUNCTION("SPLIT(I760,"" "")"),"#VALUE!")</f>
        <v>#VALUE!</v>
      </c>
      <c r="M760" s="2" t="b">
        <f t="shared" si="4"/>
        <v>0</v>
      </c>
      <c r="N760" s="2" t="b">
        <f>IFERROR(__xludf.DUMMYFUNCTION("IF(AND(REGEXMATCH($G$4, ""cd""),M760),N759+J760)"),FALSE)</f>
        <v>0</v>
      </c>
      <c r="O760" s="2" t="str">
        <f t="shared" si="5"/>
        <v>#N/A</v>
      </c>
    </row>
    <row r="761">
      <c r="A761" s="1" t="s">
        <v>433</v>
      </c>
      <c r="B761" s="2" t="str">
        <f t="shared" si="1"/>
        <v>#VALUE!</v>
      </c>
      <c r="C761" s="2" t="str">
        <f>IFERROR(__xludf.DUMMYFUNCTION("SPLIT(B761,"" "")"),"#VALUE!")</f>
        <v>#VALUE!</v>
      </c>
      <c r="E761" s="2" t="str">
        <f t="shared" si="2"/>
        <v>#VALUE!</v>
      </c>
      <c r="F761" s="2" t="str">
        <f>IFERROR(__xludf.DUMMYFUNCTION("SPLIT(E761,"" "")"),"#VALUE!")</f>
        <v>#VALUE!</v>
      </c>
      <c r="I761" s="2" t="str">
        <f t="shared" si="3"/>
        <v>206778 cpljbvm.vws</v>
      </c>
      <c r="J761" s="2">
        <f>IFERROR(__xludf.DUMMYFUNCTION("SPLIT(I761,"" "")"),206778.0)</f>
        <v>206778</v>
      </c>
      <c r="K761" s="2" t="str">
        <f>IFERROR(__xludf.DUMMYFUNCTION("""COMPUTED_VALUE"""),"cpljbvm.vws")</f>
        <v>cpljbvm.vws</v>
      </c>
      <c r="M761" s="2" t="b">
        <f t="shared" si="4"/>
        <v>1</v>
      </c>
      <c r="N761" s="2">
        <f>IFERROR(__xludf.DUMMYFUNCTION("IF(AND(REGEXMATCH($G$4, ""cd""),M761),N760+J761)"),206778.0)</f>
        <v>206778</v>
      </c>
      <c r="O761" s="2" t="str">
        <f t="shared" si="5"/>
        <v>#N/A</v>
      </c>
    </row>
    <row r="762">
      <c r="A762" s="1" t="s">
        <v>434</v>
      </c>
      <c r="B762" s="2" t="str">
        <f t="shared" si="1"/>
        <v>#VALUE!</v>
      </c>
      <c r="C762" s="2" t="str">
        <f>IFERROR(__xludf.DUMMYFUNCTION("SPLIT(B762,"" "")"),"#VALUE!")</f>
        <v>#VALUE!</v>
      </c>
      <c r="E762" s="2" t="str">
        <f t="shared" si="2"/>
        <v>#VALUE!</v>
      </c>
      <c r="F762" s="2" t="str">
        <f>IFERROR(__xludf.DUMMYFUNCTION("SPLIT(E762,"" "")"),"#VALUE!")</f>
        <v>#VALUE!</v>
      </c>
      <c r="I762" s="2" t="str">
        <f t="shared" si="3"/>
        <v>86096 lfgjnzhw.rtm</v>
      </c>
      <c r="J762" s="2">
        <f>IFERROR(__xludf.DUMMYFUNCTION("SPLIT(I762,"" "")"),86096.0)</f>
        <v>86096</v>
      </c>
      <c r="K762" s="2" t="str">
        <f>IFERROR(__xludf.DUMMYFUNCTION("""COMPUTED_VALUE"""),"lfgjnzhw.rtm")</f>
        <v>lfgjnzhw.rtm</v>
      </c>
      <c r="M762" s="2" t="b">
        <f t="shared" si="4"/>
        <v>1</v>
      </c>
      <c r="N762" s="2">
        <f>IFERROR(__xludf.DUMMYFUNCTION("IF(AND(REGEXMATCH($G$4, ""cd""),M762),N761+J762)"),292874.0)</f>
        <v>292874</v>
      </c>
      <c r="O762" s="2" t="str">
        <f t="shared" si="5"/>
        <v>#N/A</v>
      </c>
    </row>
    <row r="763">
      <c r="A763" s="1" t="s">
        <v>17</v>
      </c>
      <c r="B763" s="2" t="str">
        <f t="shared" si="1"/>
        <v>#VALUE!</v>
      </c>
      <c r="C763" s="2" t="str">
        <f>IFERROR(__xludf.DUMMYFUNCTION("SPLIT(B763,"" "")"),"#VALUE!")</f>
        <v>#VALUE!</v>
      </c>
      <c r="E763" s="2" t="str">
        <f t="shared" si="2"/>
        <v>$ cd ..</v>
      </c>
      <c r="F763" s="2" t="str">
        <f>IFERROR(__xludf.DUMMYFUNCTION("SPLIT(E763,"" "")"),"$")</f>
        <v>$</v>
      </c>
      <c r="G763" s="2" t="str">
        <f>IFERROR(__xludf.DUMMYFUNCTION("""COMPUTED_VALUE"""),"cd")</f>
        <v>cd</v>
      </c>
      <c r="H763" s="2" t="str">
        <f>IFERROR(__xludf.DUMMYFUNCTION("""COMPUTED_VALUE"""),"..")</f>
        <v>..</v>
      </c>
      <c r="I763" s="2" t="str">
        <f t="shared" si="3"/>
        <v>$ cd ..</v>
      </c>
      <c r="J763" s="2" t="str">
        <f>IFERROR(__xludf.DUMMYFUNCTION("SPLIT(I763,"" "")"),"$")</f>
        <v>$</v>
      </c>
      <c r="K763" s="2" t="str">
        <f>IFERROR(__xludf.DUMMYFUNCTION("""COMPUTED_VALUE"""),"cd")</f>
        <v>cd</v>
      </c>
      <c r="L763" s="2" t="str">
        <f>IFERROR(__xludf.DUMMYFUNCTION("""COMPUTED_VALUE"""),"..")</f>
        <v>..</v>
      </c>
      <c r="M763" s="2" t="b">
        <f t="shared" si="4"/>
        <v>0</v>
      </c>
      <c r="N763" s="2" t="b">
        <f>IFERROR(__xludf.DUMMYFUNCTION("IF(AND(REGEXMATCH($G$4, ""cd""),M763),N762+J763)"),FALSE)</f>
        <v>0</v>
      </c>
      <c r="O763" s="2" t="str">
        <f t="shared" si="5"/>
        <v>#N/A</v>
      </c>
    </row>
    <row r="764">
      <c r="A764" s="1" t="s">
        <v>435</v>
      </c>
      <c r="B764" s="2" t="str">
        <f t="shared" si="1"/>
        <v>#VALUE!</v>
      </c>
      <c r="C764" s="2" t="str">
        <f>IFERROR(__xludf.DUMMYFUNCTION("SPLIT(B764,"" "")"),"#VALUE!")</f>
        <v>#VALUE!</v>
      </c>
      <c r="E764" s="2" t="str">
        <f t="shared" si="2"/>
        <v>$ cd jcjsp</v>
      </c>
      <c r="F764" s="2" t="str">
        <f>IFERROR(__xludf.DUMMYFUNCTION("SPLIT(E764,"" "")"),"$")</f>
        <v>$</v>
      </c>
      <c r="G764" s="2" t="str">
        <f>IFERROR(__xludf.DUMMYFUNCTION("""COMPUTED_VALUE"""),"cd")</f>
        <v>cd</v>
      </c>
      <c r="H764" s="2" t="str">
        <f>IFERROR(__xludf.DUMMYFUNCTION("""COMPUTED_VALUE"""),"jcjsp")</f>
        <v>jcjsp</v>
      </c>
      <c r="I764" s="2" t="str">
        <f t="shared" si="3"/>
        <v>#VALUE!</v>
      </c>
      <c r="J764" s="2" t="str">
        <f>IFERROR(__xludf.DUMMYFUNCTION("SPLIT(I764,"" "")"),"#VALUE!")</f>
        <v>#VALUE!</v>
      </c>
      <c r="M764" s="2" t="b">
        <f t="shared" si="4"/>
        <v>0</v>
      </c>
      <c r="N764" s="2" t="b">
        <f>IFERROR(__xludf.DUMMYFUNCTION("IF(AND(REGEXMATCH($G$4, ""cd""),M764),N763+J764)"),FALSE)</f>
        <v>0</v>
      </c>
      <c r="O764" s="2" t="str">
        <f t="shared" si="5"/>
        <v>#N/A</v>
      </c>
    </row>
    <row r="765">
      <c r="A765" s="1" t="s">
        <v>2</v>
      </c>
      <c r="B765" s="2" t="str">
        <f t="shared" si="1"/>
        <v>#VALUE!</v>
      </c>
      <c r="C765" s="2" t="str">
        <f>IFERROR(__xludf.DUMMYFUNCTION("SPLIT(B765,"" "")"),"#VALUE!")</f>
        <v>#VALUE!</v>
      </c>
      <c r="E765" s="2" t="str">
        <f t="shared" si="2"/>
        <v>#VALUE!</v>
      </c>
      <c r="F765" s="2" t="str">
        <f>IFERROR(__xludf.DUMMYFUNCTION("SPLIT(E765,"" "")"),"#VALUE!")</f>
        <v>#VALUE!</v>
      </c>
      <c r="I765" s="2" t="str">
        <f t="shared" si="3"/>
        <v>#VALUE!</v>
      </c>
      <c r="J765" s="2" t="str">
        <f>IFERROR(__xludf.DUMMYFUNCTION("SPLIT(I765,"" "")"),"#VALUE!")</f>
        <v>#VALUE!</v>
      </c>
      <c r="M765" s="2" t="b">
        <f t="shared" si="4"/>
        <v>0</v>
      </c>
      <c r="N765" s="2" t="b">
        <f>IFERROR(__xludf.DUMMYFUNCTION("IF(AND(REGEXMATCH($G$4, ""cd""),M765),N764+J765)"),FALSE)</f>
        <v>0</v>
      </c>
      <c r="O765" s="2" t="str">
        <f t="shared" si="5"/>
        <v>#N/A</v>
      </c>
    </row>
    <row r="766">
      <c r="A766" s="1" t="s">
        <v>436</v>
      </c>
      <c r="B766" s="2" t="str">
        <f t="shared" si="1"/>
        <v>#VALUE!</v>
      </c>
      <c r="C766" s="2" t="str">
        <f>IFERROR(__xludf.DUMMYFUNCTION("SPLIT(B766,"" "")"),"#VALUE!")</f>
        <v>#VALUE!</v>
      </c>
      <c r="E766" s="2" t="str">
        <f t="shared" si="2"/>
        <v>#VALUE!</v>
      </c>
      <c r="F766" s="2" t="str">
        <f>IFERROR(__xludf.DUMMYFUNCTION("SPLIT(E766,"" "")"),"#VALUE!")</f>
        <v>#VALUE!</v>
      </c>
      <c r="I766" s="2" t="str">
        <f t="shared" si="3"/>
        <v>188389 zbdp.gqb</v>
      </c>
      <c r="J766" s="2">
        <f>IFERROR(__xludf.DUMMYFUNCTION("SPLIT(I766,"" "")"),188389.0)</f>
        <v>188389</v>
      </c>
      <c r="K766" s="2" t="str">
        <f>IFERROR(__xludf.DUMMYFUNCTION("""COMPUTED_VALUE"""),"zbdp.gqb")</f>
        <v>zbdp.gqb</v>
      </c>
      <c r="M766" s="2" t="b">
        <f t="shared" si="4"/>
        <v>1</v>
      </c>
      <c r="N766" s="2">
        <f>IFERROR(__xludf.DUMMYFUNCTION("IF(AND(REGEXMATCH($G$4, ""cd""),M766),N765+J766)"),188389.0)</f>
        <v>188389</v>
      </c>
      <c r="O766" s="2" t="str">
        <f t="shared" si="5"/>
        <v>#N/A</v>
      </c>
    </row>
    <row r="767">
      <c r="A767" s="1" t="s">
        <v>17</v>
      </c>
      <c r="B767" s="2" t="str">
        <f t="shared" si="1"/>
        <v>#VALUE!</v>
      </c>
      <c r="C767" s="2" t="str">
        <f>IFERROR(__xludf.DUMMYFUNCTION("SPLIT(B767,"" "")"),"#VALUE!")</f>
        <v>#VALUE!</v>
      </c>
      <c r="E767" s="2" t="str">
        <f t="shared" si="2"/>
        <v>$ cd ..</v>
      </c>
      <c r="F767" s="2" t="str">
        <f>IFERROR(__xludf.DUMMYFUNCTION("SPLIT(E767,"" "")"),"$")</f>
        <v>$</v>
      </c>
      <c r="G767" s="2" t="str">
        <f>IFERROR(__xludf.DUMMYFUNCTION("""COMPUTED_VALUE"""),"cd")</f>
        <v>cd</v>
      </c>
      <c r="H767" s="2" t="str">
        <f>IFERROR(__xludf.DUMMYFUNCTION("""COMPUTED_VALUE"""),"..")</f>
        <v>..</v>
      </c>
      <c r="I767" s="2" t="str">
        <f t="shared" si="3"/>
        <v>$ cd ..</v>
      </c>
      <c r="J767" s="2" t="str">
        <f>IFERROR(__xludf.DUMMYFUNCTION("SPLIT(I767,"" "")"),"$")</f>
        <v>$</v>
      </c>
      <c r="K767" s="2" t="str">
        <f>IFERROR(__xludf.DUMMYFUNCTION("""COMPUTED_VALUE"""),"cd")</f>
        <v>cd</v>
      </c>
      <c r="L767" s="2" t="str">
        <f>IFERROR(__xludf.DUMMYFUNCTION("""COMPUTED_VALUE"""),"..")</f>
        <v>..</v>
      </c>
      <c r="M767" s="2" t="b">
        <f t="shared" si="4"/>
        <v>0</v>
      </c>
      <c r="N767" s="2" t="b">
        <f>IFERROR(__xludf.DUMMYFUNCTION("IF(AND(REGEXMATCH($G$4, ""cd""),M767),N766+J767)"),FALSE)</f>
        <v>0</v>
      </c>
      <c r="O767" s="2" t="str">
        <f t="shared" si="5"/>
        <v>#N/A</v>
      </c>
    </row>
    <row r="768">
      <c r="A768" s="1" t="s">
        <v>20</v>
      </c>
      <c r="B768" s="2" t="str">
        <f t="shared" si="1"/>
        <v>#VALUE!</v>
      </c>
      <c r="C768" s="2" t="str">
        <f>IFERROR(__xludf.DUMMYFUNCTION("SPLIT(B768,"" "")"),"#VALUE!")</f>
        <v>#VALUE!</v>
      </c>
      <c r="E768" s="2" t="str">
        <f t="shared" si="2"/>
        <v>$ cd jnwr</v>
      </c>
      <c r="F768" s="2" t="str">
        <f>IFERROR(__xludf.DUMMYFUNCTION("SPLIT(E768,"" "")"),"$")</f>
        <v>$</v>
      </c>
      <c r="G768" s="2" t="str">
        <f>IFERROR(__xludf.DUMMYFUNCTION("""COMPUTED_VALUE"""),"cd")</f>
        <v>cd</v>
      </c>
      <c r="H768" s="2" t="str">
        <f>IFERROR(__xludf.DUMMYFUNCTION("""COMPUTED_VALUE"""),"jnwr")</f>
        <v>jnwr</v>
      </c>
      <c r="I768" s="2" t="str">
        <f t="shared" si="3"/>
        <v>#VALUE!</v>
      </c>
      <c r="J768" s="2" t="str">
        <f>IFERROR(__xludf.DUMMYFUNCTION("SPLIT(I768,"" "")"),"#VALUE!")</f>
        <v>#VALUE!</v>
      </c>
      <c r="M768" s="2" t="b">
        <f t="shared" si="4"/>
        <v>0</v>
      </c>
      <c r="N768" s="2" t="b">
        <f>IFERROR(__xludf.DUMMYFUNCTION("IF(AND(REGEXMATCH($G$4, ""cd""),M768),N767+J768)"),FALSE)</f>
        <v>0</v>
      </c>
      <c r="O768" s="2" t="str">
        <f t="shared" si="5"/>
        <v>#N/A</v>
      </c>
    </row>
    <row r="769">
      <c r="A769" s="1" t="s">
        <v>2</v>
      </c>
      <c r="B769" s="2" t="str">
        <f t="shared" si="1"/>
        <v>#VALUE!</v>
      </c>
      <c r="C769" s="2" t="str">
        <f>IFERROR(__xludf.DUMMYFUNCTION("SPLIT(B769,"" "")"),"#VALUE!")</f>
        <v>#VALUE!</v>
      </c>
      <c r="E769" s="2" t="str">
        <f t="shared" si="2"/>
        <v>#VALUE!</v>
      </c>
      <c r="F769" s="2" t="str">
        <f>IFERROR(__xludf.DUMMYFUNCTION("SPLIT(E769,"" "")"),"#VALUE!")</f>
        <v>#VALUE!</v>
      </c>
      <c r="I769" s="2" t="str">
        <f t="shared" si="3"/>
        <v>#VALUE!</v>
      </c>
      <c r="J769" s="2" t="str">
        <f>IFERROR(__xludf.DUMMYFUNCTION("SPLIT(I769,"" "")"),"#VALUE!")</f>
        <v>#VALUE!</v>
      </c>
      <c r="M769" s="2" t="b">
        <f t="shared" si="4"/>
        <v>0</v>
      </c>
      <c r="N769" s="2" t="b">
        <f>IFERROR(__xludf.DUMMYFUNCTION("IF(AND(REGEXMATCH($G$4, ""cd""),M769),N768+J769)"),FALSE)</f>
        <v>0</v>
      </c>
      <c r="O769" s="2" t="str">
        <f t="shared" si="5"/>
        <v>#N/A</v>
      </c>
    </row>
    <row r="770">
      <c r="A770" s="1" t="s">
        <v>437</v>
      </c>
      <c r="B770" s="2" t="str">
        <f t="shared" si="1"/>
        <v>#VALUE!</v>
      </c>
      <c r="C770" s="2" t="str">
        <f>IFERROR(__xludf.DUMMYFUNCTION("SPLIT(B770,"" "")"),"#VALUE!")</f>
        <v>#VALUE!</v>
      </c>
      <c r="E770" s="2" t="str">
        <f t="shared" si="2"/>
        <v>#VALUE!</v>
      </c>
      <c r="F770" s="2" t="str">
        <f>IFERROR(__xludf.DUMMYFUNCTION("SPLIT(E770,"" "")"),"#VALUE!")</f>
        <v>#VALUE!</v>
      </c>
      <c r="I770" s="2" t="str">
        <f t="shared" si="3"/>
        <v>293633 jhh.wtj</v>
      </c>
      <c r="J770" s="2">
        <f>IFERROR(__xludf.DUMMYFUNCTION("SPLIT(I770,"" "")"),293633.0)</f>
        <v>293633</v>
      </c>
      <c r="K770" s="2" t="str">
        <f>IFERROR(__xludf.DUMMYFUNCTION("""COMPUTED_VALUE"""),"jhh.wtj")</f>
        <v>jhh.wtj</v>
      </c>
      <c r="M770" s="2" t="b">
        <f t="shared" si="4"/>
        <v>1</v>
      </c>
      <c r="N770" s="2">
        <f>IFERROR(__xludf.DUMMYFUNCTION("IF(AND(REGEXMATCH($G$4, ""cd""),M770),N769+J770)"),293633.0)</f>
        <v>293633</v>
      </c>
      <c r="O770" s="2" t="str">
        <f t="shared" si="5"/>
        <v>#N/A</v>
      </c>
    </row>
    <row r="771">
      <c r="A771" s="1" t="s">
        <v>17</v>
      </c>
      <c r="B771" s="2" t="str">
        <f t="shared" si="1"/>
        <v>#VALUE!</v>
      </c>
      <c r="C771" s="2" t="str">
        <f>IFERROR(__xludf.DUMMYFUNCTION("SPLIT(B771,"" "")"),"#VALUE!")</f>
        <v>#VALUE!</v>
      </c>
      <c r="E771" s="2" t="str">
        <f t="shared" si="2"/>
        <v>$ cd ..</v>
      </c>
      <c r="F771" s="2" t="str">
        <f>IFERROR(__xludf.DUMMYFUNCTION("SPLIT(E771,"" "")"),"$")</f>
        <v>$</v>
      </c>
      <c r="G771" s="2" t="str">
        <f>IFERROR(__xludf.DUMMYFUNCTION("""COMPUTED_VALUE"""),"cd")</f>
        <v>cd</v>
      </c>
      <c r="H771" s="2" t="str">
        <f>IFERROR(__xludf.DUMMYFUNCTION("""COMPUTED_VALUE"""),"..")</f>
        <v>..</v>
      </c>
      <c r="I771" s="2" t="str">
        <f t="shared" si="3"/>
        <v>$ cd ..</v>
      </c>
      <c r="J771" s="2" t="str">
        <f>IFERROR(__xludf.DUMMYFUNCTION("SPLIT(I771,"" "")"),"$")</f>
        <v>$</v>
      </c>
      <c r="K771" s="2" t="str">
        <f>IFERROR(__xludf.DUMMYFUNCTION("""COMPUTED_VALUE"""),"cd")</f>
        <v>cd</v>
      </c>
      <c r="L771" s="2" t="str">
        <f>IFERROR(__xludf.DUMMYFUNCTION("""COMPUTED_VALUE"""),"..")</f>
        <v>..</v>
      </c>
      <c r="M771" s="2" t="b">
        <f t="shared" si="4"/>
        <v>0</v>
      </c>
      <c r="N771" s="2" t="b">
        <f>IFERROR(__xludf.DUMMYFUNCTION("IF(AND(REGEXMATCH($G$4, ""cd""),M771),N770+J771)"),FALSE)</f>
        <v>0</v>
      </c>
      <c r="O771" s="2" t="str">
        <f t="shared" si="5"/>
        <v>#N/A</v>
      </c>
    </row>
    <row r="772">
      <c r="A772" s="1" t="s">
        <v>17</v>
      </c>
      <c r="B772" s="2" t="str">
        <f t="shared" si="1"/>
        <v>#VALUE!</v>
      </c>
      <c r="C772" s="2" t="str">
        <f>IFERROR(__xludf.DUMMYFUNCTION("SPLIT(B772,"" "")"),"#VALUE!")</f>
        <v>#VALUE!</v>
      </c>
      <c r="E772" s="2" t="str">
        <f t="shared" si="2"/>
        <v>$ cd ..</v>
      </c>
      <c r="F772" s="2" t="str">
        <f>IFERROR(__xludf.DUMMYFUNCTION("SPLIT(E772,"" "")"),"$")</f>
        <v>$</v>
      </c>
      <c r="G772" s="2" t="str">
        <f>IFERROR(__xludf.DUMMYFUNCTION("""COMPUTED_VALUE"""),"cd")</f>
        <v>cd</v>
      </c>
      <c r="H772" s="2" t="str">
        <f>IFERROR(__xludf.DUMMYFUNCTION("""COMPUTED_VALUE"""),"..")</f>
        <v>..</v>
      </c>
      <c r="I772" s="2" t="str">
        <f t="shared" si="3"/>
        <v>$ cd ..</v>
      </c>
      <c r="J772" s="2" t="str">
        <f>IFERROR(__xludf.DUMMYFUNCTION("SPLIT(I772,"" "")"),"$")</f>
        <v>$</v>
      </c>
      <c r="K772" s="2" t="str">
        <f>IFERROR(__xludf.DUMMYFUNCTION("""COMPUTED_VALUE"""),"cd")</f>
        <v>cd</v>
      </c>
      <c r="L772" s="2" t="str">
        <f>IFERROR(__xludf.DUMMYFUNCTION("""COMPUTED_VALUE"""),"..")</f>
        <v>..</v>
      </c>
      <c r="M772" s="2" t="b">
        <f t="shared" si="4"/>
        <v>0</v>
      </c>
      <c r="N772" s="2" t="b">
        <f>IFERROR(__xludf.DUMMYFUNCTION("IF(AND(REGEXMATCH($G$4, ""cd""),M772),N771+J772)"),FALSE)</f>
        <v>0</v>
      </c>
      <c r="O772" s="2" t="str">
        <f t="shared" si="5"/>
        <v>#N/A</v>
      </c>
    </row>
    <row r="773">
      <c r="A773" s="1" t="s">
        <v>438</v>
      </c>
      <c r="B773" s="2" t="str">
        <f t="shared" si="1"/>
        <v>#VALUE!</v>
      </c>
      <c r="C773" s="2" t="str">
        <f>IFERROR(__xludf.DUMMYFUNCTION("SPLIT(B773,"" "")"),"#VALUE!")</f>
        <v>#VALUE!</v>
      </c>
      <c r="E773" s="2" t="str">
        <f t="shared" si="2"/>
        <v>$ cd plj</v>
      </c>
      <c r="F773" s="2" t="str">
        <f>IFERROR(__xludf.DUMMYFUNCTION("SPLIT(E773,"" "")"),"$")</f>
        <v>$</v>
      </c>
      <c r="G773" s="2" t="str">
        <f>IFERROR(__xludf.DUMMYFUNCTION("""COMPUTED_VALUE"""),"cd")</f>
        <v>cd</v>
      </c>
      <c r="H773" s="2" t="str">
        <f>IFERROR(__xludf.DUMMYFUNCTION("""COMPUTED_VALUE"""),"plj")</f>
        <v>plj</v>
      </c>
      <c r="I773" s="2" t="str">
        <f t="shared" si="3"/>
        <v>#VALUE!</v>
      </c>
      <c r="J773" s="2" t="str">
        <f>IFERROR(__xludf.DUMMYFUNCTION("SPLIT(I773,"" "")"),"#VALUE!")</f>
        <v>#VALUE!</v>
      </c>
      <c r="M773" s="2" t="b">
        <f t="shared" si="4"/>
        <v>0</v>
      </c>
      <c r="N773" s="2" t="b">
        <f>IFERROR(__xludf.DUMMYFUNCTION("IF(AND(REGEXMATCH($G$4, ""cd""),M773),N772+J773)"),FALSE)</f>
        <v>0</v>
      </c>
      <c r="O773" s="2" t="str">
        <f t="shared" si="5"/>
        <v>#N/A</v>
      </c>
    </row>
    <row r="774">
      <c r="A774" s="1" t="s">
        <v>2</v>
      </c>
      <c r="B774" s="2" t="str">
        <f t="shared" si="1"/>
        <v>#VALUE!</v>
      </c>
      <c r="C774" s="2" t="str">
        <f>IFERROR(__xludf.DUMMYFUNCTION("SPLIT(B774,"" "")"),"#VALUE!")</f>
        <v>#VALUE!</v>
      </c>
      <c r="E774" s="2" t="str">
        <f t="shared" si="2"/>
        <v>#VALUE!</v>
      </c>
      <c r="F774" s="2" t="str">
        <f>IFERROR(__xludf.DUMMYFUNCTION("SPLIT(E774,"" "")"),"#VALUE!")</f>
        <v>#VALUE!</v>
      </c>
      <c r="I774" s="2" t="str">
        <f t="shared" si="3"/>
        <v>#VALUE!</v>
      </c>
      <c r="J774" s="2" t="str">
        <f>IFERROR(__xludf.DUMMYFUNCTION("SPLIT(I774,"" "")"),"#VALUE!")</f>
        <v>#VALUE!</v>
      </c>
      <c r="M774" s="2" t="b">
        <f t="shared" si="4"/>
        <v>0</v>
      </c>
      <c r="N774" s="2" t="b">
        <f>IFERROR(__xludf.DUMMYFUNCTION("IF(AND(REGEXMATCH($G$4, ""cd""),M774),N773+J774)"),FALSE)</f>
        <v>0</v>
      </c>
      <c r="O774" s="2" t="str">
        <f t="shared" si="5"/>
        <v>#N/A</v>
      </c>
    </row>
    <row r="775">
      <c r="A775" s="1" t="s">
        <v>439</v>
      </c>
      <c r="B775" s="2" t="str">
        <f t="shared" si="1"/>
        <v>#VALUE!</v>
      </c>
      <c r="C775" s="2" t="str">
        <f>IFERROR(__xludf.DUMMYFUNCTION("SPLIT(B775,"" "")"),"#VALUE!")</f>
        <v>#VALUE!</v>
      </c>
      <c r="E775" s="2" t="str">
        <f t="shared" si="2"/>
        <v>#VALUE!</v>
      </c>
      <c r="F775" s="2" t="str">
        <f>IFERROR(__xludf.DUMMYFUNCTION("SPLIT(E775,"" "")"),"#VALUE!")</f>
        <v>#VALUE!</v>
      </c>
      <c r="I775" s="2" t="str">
        <f t="shared" si="3"/>
        <v>#VALUE!</v>
      </c>
      <c r="J775" s="2" t="str">
        <f>IFERROR(__xludf.DUMMYFUNCTION("SPLIT(I775,"" "")"),"#VALUE!")</f>
        <v>#VALUE!</v>
      </c>
      <c r="M775" s="2" t="b">
        <f t="shared" si="4"/>
        <v>0</v>
      </c>
      <c r="N775" s="2" t="b">
        <f>IFERROR(__xludf.DUMMYFUNCTION("IF(AND(REGEXMATCH($G$4, ""cd""),M775),N774+J775)"),FALSE)</f>
        <v>0</v>
      </c>
      <c r="O775" s="2" t="str">
        <f t="shared" si="5"/>
        <v>#N/A</v>
      </c>
    </row>
    <row r="776">
      <c r="A776" s="1" t="s">
        <v>440</v>
      </c>
      <c r="B776" s="2" t="str">
        <f t="shared" si="1"/>
        <v>#VALUE!</v>
      </c>
      <c r="C776" s="2" t="str">
        <f>IFERROR(__xludf.DUMMYFUNCTION("SPLIT(B776,"" "")"),"#VALUE!")</f>
        <v>#VALUE!</v>
      </c>
      <c r="E776" s="2" t="str">
        <f t="shared" si="2"/>
        <v>#VALUE!</v>
      </c>
      <c r="F776" s="2" t="str">
        <f>IFERROR(__xludf.DUMMYFUNCTION("SPLIT(E776,"" "")"),"#VALUE!")</f>
        <v>#VALUE!</v>
      </c>
      <c r="I776" s="2" t="str">
        <f t="shared" si="3"/>
        <v>#VALUE!</v>
      </c>
      <c r="J776" s="2" t="str">
        <f>IFERROR(__xludf.DUMMYFUNCTION("SPLIT(I776,"" "")"),"#VALUE!")</f>
        <v>#VALUE!</v>
      </c>
      <c r="M776" s="2" t="b">
        <f t="shared" si="4"/>
        <v>0</v>
      </c>
      <c r="N776" s="2" t="b">
        <f>IFERROR(__xludf.DUMMYFUNCTION("IF(AND(REGEXMATCH($G$4, ""cd""),M776),N775+J776)"),FALSE)</f>
        <v>0</v>
      </c>
      <c r="O776" s="2" t="str">
        <f t="shared" si="5"/>
        <v>#N/A</v>
      </c>
    </row>
    <row r="777">
      <c r="A777" s="1" t="s">
        <v>441</v>
      </c>
      <c r="B777" s="2" t="str">
        <f t="shared" si="1"/>
        <v>#VALUE!</v>
      </c>
      <c r="C777" s="2" t="str">
        <f>IFERROR(__xludf.DUMMYFUNCTION("SPLIT(B777,"" "")"),"#VALUE!")</f>
        <v>#VALUE!</v>
      </c>
      <c r="E777" s="2" t="str">
        <f t="shared" si="2"/>
        <v>#VALUE!</v>
      </c>
      <c r="F777" s="2" t="str">
        <f>IFERROR(__xludf.DUMMYFUNCTION("SPLIT(E777,"" "")"),"#VALUE!")</f>
        <v>#VALUE!</v>
      </c>
      <c r="I777" s="2" t="str">
        <f t="shared" si="3"/>
        <v>264549 zbdp.gqb</v>
      </c>
      <c r="J777" s="2">
        <f>IFERROR(__xludf.DUMMYFUNCTION("SPLIT(I777,"" "")"),264549.0)</f>
        <v>264549</v>
      </c>
      <c r="K777" s="2" t="str">
        <f>IFERROR(__xludf.DUMMYFUNCTION("""COMPUTED_VALUE"""),"zbdp.gqb")</f>
        <v>zbdp.gqb</v>
      </c>
      <c r="M777" s="2" t="b">
        <f t="shared" si="4"/>
        <v>1</v>
      </c>
      <c r="N777" s="2">
        <f>IFERROR(__xludf.DUMMYFUNCTION("IF(AND(REGEXMATCH($G$4, ""cd""),M777),N776+J777)"),264549.0)</f>
        <v>264549</v>
      </c>
      <c r="O777" s="2" t="str">
        <f t="shared" si="5"/>
        <v>#N/A</v>
      </c>
    </row>
    <row r="778">
      <c r="A778" s="1" t="s">
        <v>17</v>
      </c>
      <c r="B778" s="2" t="str">
        <f t="shared" si="1"/>
        <v>#VALUE!</v>
      </c>
      <c r="C778" s="2" t="str">
        <f>IFERROR(__xludf.DUMMYFUNCTION("SPLIT(B778,"" "")"),"#VALUE!")</f>
        <v>#VALUE!</v>
      </c>
      <c r="E778" s="2" t="str">
        <f t="shared" si="2"/>
        <v>$ cd ..</v>
      </c>
      <c r="F778" s="2" t="str">
        <f>IFERROR(__xludf.DUMMYFUNCTION("SPLIT(E778,"" "")"),"$")</f>
        <v>$</v>
      </c>
      <c r="G778" s="2" t="str">
        <f>IFERROR(__xludf.DUMMYFUNCTION("""COMPUTED_VALUE"""),"cd")</f>
        <v>cd</v>
      </c>
      <c r="H778" s="2" t="str">
        <f>IFERROR(__xludf.DUMMYFUNCTION("""COMPUTED_VALUE"""),"..")</f>
        <v>..</v>
      </c>
      <c r="I778" s="2" t="str">
        <f t="shared" si="3"/>
        <v>$ cd ..</v>
      </c>
      <c r="J778" s="2" t="str">
        <f>IFERROR(__xludf.DUMMYFUNCTION("SPLIT(I778,"" "")"),"$")</f>
        <v>$</v>
      </c>
      <c r="K778" s="2" t="str">
        <f>IFERROR(__xludf.DUMMYFUNCTION("""COMPUTED_VALUE"""),"cd")</f>
        <v>cd</v>
      </c>
      <c r="L778" s="2" t="str">
        <f>IFERROR(__xludf.DUMMYFUNCTION("""COMPUTED_VALUE"""),"..")</f>
        <v>..</v>
      </c>
      <c r="M778" s="2" t="b">
        <f t="shared" si="4"/>
        <v>0</v>
      </c>
      <c r="N778" s="2" t="b">
        <f>IFERROR(__xludf.DUMMYFUNCTION("IF(AND(REGEXMATCH($G$4, ""cd""),M778),N777+J778)"),FALSE)</f>
        <v>0</v>
      </c>
      <c r="O778" s="2" t="str">
        <f t="shared" si="5"/>
        <v>#N/A</v>
      </c>
    </row>
    <row r="779">
      <c r="A779" s="1" t="s">
        <v>442</v>
      </c>
      <c r="B779" s="2" t="str">
        <f t="shared" si="1"/>
        <v>#VALUE!</v>
      </c>
      <c r="C779" s="2" t="str">
        <f>IFERROR(__xludf.DUMMYFUNCTION("SPLIT(B779,"" "")"),"#VALUE!")</f>
        <v>#VALUE!</v>
      </c>
      <c r="E779" s="2" t="str">
        <f t="shared" si="2"/>
        <v>$ cd tvmv</v>
      </c>
      <c r="F779" s="2" t="str">
        <f>IFERROR(__xludf.DUMMYFUNCTION("SPLIT(E779,"" "")"),"$")</f>
        <v>$</v>
      </c>
      <c r="G779" s="2" t="str">
        <f>IFERROR(__xludf.DUMMYFUNCTION("""COMPUTED_VALUE"""),"cd")</f>
        <v>cd</v>
      </c>
      <c r="H779" s="2" t="str">
        <f>IFERROR(__xludf.DUMMYFUNCTION("""COMPUTED_VALUE"""),"tvmv")</f>
        <v>tvmv</v>
      </c>
      <c r="I779" s="2" t="str">
        <f t="shared" si="3"/>
        <v>#VALUE!</v>
      </c>
      <c r="J779" s="2" t="str">
        <f>IFERROR(__xludf.DUMMYFUNCTION("SPLIT(I779,"" "")"),"#VALUE!")</f>
        <v>#VALUE!</v>
      </c>
      <c r="M779" s="2" t="b">
        <f t="shared" si="4"/>
        <v>0</v>
      </c>
      <c r="N779" s="2" t="b">
        <f>IFERROR(__xludf.DUMMYFUNCTION("IF(AND(REGEXMATCH($G$4, ""cd""),M779),N778+J779)"),FALSE)</f>
        <v>0</v>
      </c>
      <c r="O779" s="2" t="str">
        <f t="shared" si="5"/>
        <v>#N/A</v>
      </c>
    </row>
    <row r="780">
      <c r="A780" s="1" t="s">
        <v>2</v>
      </c>
      <c r="B780" s="2" t="str">
        <f t="shared" si="1"/>
        <v>#VALUE!</v>
      </c>
      <c r="C780" s="2" t="str">
        <f>IFERROR(__xludf.DUMMYFUNCTION("SPLIT(B780,"" "")"),"#VALUE!")</f>
        <v>#VALUE!</v>
      </c>
      <c r="E780" s="2" t="str">
        <f t="shared" si="2"/>
        <v>#VALUE!</v>
      </c>
      <c r="F780" s="2" t="str">
        <f>IFERROR(__xludf.DUMMYFUNCTION("SPLIT(E780,"" "")"),"#VALUE!")</f>
        <v>#VALUE!</v>
      </c>
      <c r="I780" s="2" t="str">
        <f t="shared" si="3"/>
        <v>#VALUE!</v>
      </c>
      <c r="J780" s="2" t="str">
        <f>IFERROR(__xludf.DUMMYFUNCTION("SPLIT(I780,"" "")"),"#VALUE!")</f>
        <v>#VALUE!</v>
      </c>
      <c r="M780" s="2" t="b">
        <f t="shared" si="4"/>
        <v>0</v>
      </c>
      <c r="N780" s="2" t="b">
        <f>IFERROR(__xludf.DUMMYFUNCTION("IF(AND(REGEXMATCH($G$4, ""cd""),M780),N779+J780)"),FALSE)</f>
        <v>0</v>
      </c>
      <c r="O780" s="2" t="str">
        <f t="shared" si="5"/>
        <v>#N/A</v>
      </c>
    </row>
    <row r="781">
      <c r="A781" s="1" t="s">
        <v>443</v>
      </c>
      <c r="B781" s="2" t="str">
        <f t="shared" si="1"/>
        <v>#VALUE!</v>
      </c>
      <c r="C781" s="2" t="str">
        <f>IFERROR(__xludf.DUMMYFUNCTION("SPLIT(B781,"" "")"),"#VALUE!")</f>
        <v>#VALUE!</v>
      </c>
      <c r="E781" s="2" t="str">
        <f t="shared" si="2"/>
        <v>198197 mpq.cdn</v>
      </c>
      <c r="F781" s="2">
        <f>IFERROR(__xludf.DUMMYFUNCTION("SPLIT(E781,"" "")"),198197.0)</f>
        <v>198197</v>
      </c>
      <c r="G781" s="2" t="str">
        <f>IFERROR(__xludf.DUMMYFUNCTION("""COMPUTED_VALUE"""),"mpq.cdn")</f>
        <v>mpq.cdn</v>
      </c>
      <c r="I781" s="2" t="str">
        <f t="shared" si="3"/>
        <v>198197 mpq.cdn</v>
      </c>
      <c r="J781" s="2">
        <f>IFERROR(__xludf.DUMMYFUNCTION("SPLIT(I781,"" "")"),198197.0)</f>
        <v>198197</v>
      </c>
      <c r="K781" s="2" t="str">
        <f>IFERROR(__xludf.DUMMYFUNCTION("""COMPUTED_VALUE"""),"mpq.cdn")</f>
        <v>mpq.cdn</v>
      </c>
      <c r="M781" s="2" t="b">
        <f t="shared" si="4"/>
        <v>1</v>
      </c>
      <c r="N781" s="2">
        <f>IFERROR(__xludf.DUMMYFUNCTION("IF(AND(REGEXMATCH($G$4, ""cd""),M781),N780+J781)"),198197.0)</f>
        <v>198197</v>
      </c>
      <c r="O781" s="2" t="str">
        <f t="shared" si="5"/>
        <v>#N/A</v>
      </c>
    </row>
    <row r="782">
      <c r="A782" s="1" t="s">
        <v>17</v>
      </c>
      <c r="B782" s="2" t="str">
        <f t="shared" si="1"/>
        <v>#VALUE!</v>
      </c>
      <c r="C782" s="2" t="str">
        <f>IFERROR(__xludf.DUMMYFUNCTION("SPLIT(B782,"" "")"),"#VALUE!")</f>
        <v>#VALUE!</v>
      </c>
      <c r="E782" s="2" t="str">
        <f t="shared" si="2"/>
        <v>$ cd ..</v>
      </c>
      <c r="F782" s="2" t="str">
        <f>IFERROR(__xludf.DUMMYFUNCTION("SPLIT(E782,"" "")"),"$")</f>
        <v>$</v>
      </c>
      <c r="G782" s="2" t="str">
        <f>IFERROR(__xludf.DUMMYFUNCTION("""COMPUTED_VALUE"""),"cd")</f>
        <v>cd</v>
      </c>
      <c r="H782" s="2" t="str">
        <f>IFERROR(__xludf.DUMMYFUNCTION("""COMPUTED_VALUE"""),"..")</f>
        <v>..</v>
      </c>
      <c r="I782" s="2" t="str">
        <f t="shared" si="3"/>
        <v>$ cd ..</v>
      </c>
      <c r="J782" s="2" t="str">
        <f>IFERROR(__xludf.DUMMYFUNCTION("SPLIT(I782,"" "")"),"$")</f>
        <v>$</v>
      </c>
      <c r="K782" s="2" t="str">
        <f>IFERROR(__xludf.DUMMYFUNCTION("""COMPUTED_VALUE"""),"cd")</f>
        <v>cd</v>
      </c>
      <c r="L782" s="2" t="str">
        <f>IFERROR(__xludf.DUMMYFUNCTION("""COMPUTED_VALUE"""),"..")</f>
        <v>..</v>
      </c>
      <c r="M782" s="2" t="b">
        <f t="shared" si="4"/>
        <v>0</v>
      </c>
      <c r="N782" s="2" t="b">
        <f>IFERROR(__xludf.DUMMYFUNCTION("IF(AND(REGEXMATCH($G$4, ""cd""),M782),N781+J782)"),FALSE)</f>
        <v>0</v>
      </c>
      <c r="O782" s="2" t="str">
        <f t="shared" si="5"/>
        <v>#N/A</v>
      </c>
    </row>
    <row r="783">
      <c r="A783" s="1" t="s">
        <v>17</v>
      </c>
      <c r="B783" s="2" t="str">
        <f t="shared" si="1"/>
        <v>#VALUE!</v>
      </c>
      <c r="C783" s="2" t="str">
        <f>IFERROR(__xludf.DUMMYFUNCTION("SPLIT(B783,"" "")"),"#VALUE!")</f>
        <v>#VALUE!</v>
      </c>
      <c r="E783" s="2" t="str">
        <f t="shared" si="2"/>
        <v>$ cd ..</v>
      </c>
      <c r="F783" s="2" t="str">
        <f>IFERROR(__xludf.DUMMYFUNCTION("SPLIT(E783,"" "")"),"$")</f>
        <v>$</v>
      </c>
      <c r="G783" s="2" t="str">
        <f>IFERROR(__xludf.DUMMYFUNCTION("""COMPUTED_VALUE"""),"cd")</f>
        <v>cd</v>
      </c>
      <c r="H783" s="2" t="str">
        <f>IFERROR(__xludf.DUMMYFUNCTION("""COMPUTED_VALUE"""),"..")</f>
        <v>..</v>
      </c>
      <c r="I783" s="2" t="str">
        <f t="shared" si="3"/>
        <v>$ cd ..</v>
      </c>
      <c r="J783" s="2" t="str">
        <f>IFERROR(__xludf.DUMMYFUNCTION("SPLIT(I783,"" "")"),"$")</f>
        <v>$</v>
      </c>
      <c r="K783" s="2" t="str">
        <f>IFERROR(__xludf.DUMMYFUNCTION("""COMPUTED_VALUE"""),"cd")</f>
        <v>cd</v>
      </c>
      <c r="L783" s="2" t="str">
        <f>IFERROR(__xludf.DUMMYFUNCTION("""COMPUTED_VALUE"""),"..")</f>
        <v>..</v>
      </c>
      <c r="M783" s="2" t="b">
        <f t="shared" si="4"/>
        <v>0</v>
      </c>
      <c r="N783" s="2" t="b">
        <f>IFERROR(__xludf.DUMMYFUNCTION("IF(AND(REGEXMATCH($G$4, ""cd""),M783),N782+J783)"),FALSE)</f>
        <v>0</v>
      </c>
      <c r="O783" s="2" t="str">
        <f t="shared" si="5"/>
        <v>#N/A</v>
      </c>
    </row>
    <row r="784">
      <c r="A784" s="1" t="s">
        <v>444</v>
      </c>
      <c r="B784" s="2" t="str">
        <f t="shared" si="1"/>
        <v>#VALUE!</v>
      </c>
      <c r="C784" s="2" t="str">
        <f>IFERROR(__xludf.DUMMYFUNCTION("SPLIT(B784,"" "")"),"#VALUE!")</f>
        <v>#VALUE!</v>
      </c>
      <c r="E784" s="2" t="str">
        <f t="shared" si="2"/>
        <v>$ cd twzq</v>
      </c>
      <c r="F784" s="2" t="str">
        <f>IFERROR(__xludf.DUMMYFUNCTION("SPLIT(E784,"" "")"),"$")</f>
        <v>$</v>
      </c>
      <c r="G784" s="2" t="str">
        <f>IFERROR(__xludf.DUMMYFUNCTION("""COMPUTED_VALUE"""),"cd")</f>
        <v>cd</v>
      </c>
      <c r="H784" s="2" t="str">
        <f>IFERROR(__xludf.DUMMYFUNCTION("""COMPUTED_VALUE"""),"twzq")</f>
        <v>twzq</v>
      </c>
      <c r="I784" s="2" t="str">
        <f t="shared" si="3"/>
        <v>#VALUE!</v>
      </c>
      <c r="J784" s="2" t="str">
        <f>IFERROR(__xludf.DUMMYFUNCTION("SPLIT(I784,"" "")"),"#VALUE!")</f>
        <v>#VALUE!</v>
      </c>
      <c r="M784" s="2" t="b">
        <f t="shared" si="4"/>
        <v>0</v>
      </c>
      <c r="N784" s="2" t="b">
        <f>IFERROR(__xludf.DUMMYFUNCTION("IF(AND(REGEXMATCH($G$4, ""cd""),M784),N783+J784)"),FALSE)</f>
        <v>0</v>
      </c>
      <c r="O784" s="2" t="str">
        <f t="shared" si="5"/>
        <v>#N/A</v>
      </c>
    </row>
    <row r="785">
      <c r="A785" s="1" t="s">
        <v>2</v>
      </c>
      <c r="B785" s="2" t="str">
        <f t="shared" si="1"/>
        <v>#VALUE!</v>
      </c>
      <c r="C785" s="2" t="str">
        <f>IFERROR(__xludf.DUMMYFUNCTION("SPLIT(B785,"" "")"),"#VALUE!")</f>
        <v>#VALUE!</v>
      </c>
      <c r="E785" s="2" t="str">
        <f t="shared" si="2"/>
        <v>#VALUE!</v>
      </c>
      <c r="F785" s="2" t="str">
        <f>IFERROR(__xludf.DUMMYFUNCTION("SPLIT(E785,"" "")"),"#VALUE!")</f>
        <v>#VALUE!</v>
      </c>
      <c r="I785" s="2" t="str">
        <f t="shared" si="3"/>
        <v>#VALUE!</v>
      </c>
      <c r="J785" s="2" t="str">
        <f>IFERROR(__xludf.DUMMYFUNCTION("SPLIT(I785,"" "")"),"#VALUE!")</f>
        <v>#VALUE!</v>
      </c>
      <c r="M785" s="2" t="b">
        <f t="shared" si="4"/>
        <v>0</v>
      </c>
      <c r="N785" s="2" t="b">
        <f>IFERROR(__xludf.DUMMYFUNCTION("IF(AND(REGEXMATCH($G$4, ""cd""),M785),N784+J785)"),FALSE)</f>
        <v>0</v>
      </c>
      <c r="O785" s="2" t="str">
        <f t="shared" si="5"/>
        <v>#N/A</v>
      </c>
    </row>
    <row r="786">
      <c r="A786" s="1" t="s">
        <v>445</v>
      </c>
      <c r="B786" s="2" t="str">
        <f t="shared" si="1"/>
        <v>dir hwgndwpj</v>
      </c>
      <c r="C786" s="2" t="str">
        <f>IFERROR(__xludf.DUMMYFUNCTION("SPLIT(B786,"" "")"),"dir")</f>
        <v>dir</v>
      </c>
      <c r="D786" s="2" t="str">
        <f>IFERROR(__xludf.DUMMYFUNCTION("""COMPUTED_VALUE"""),"hwgndwpj")</f>
        <v>hwgndwpj</v>
      </c>
      <c r="E786" s="2" t="str">
        <f t="shared" si="2"/>
        <v>#VALUE!</v>
      </c>
      <c r="F786" s="2" t="str">
        <f>IFERROR(__xludf.DUMMYFUNCTION("SPLIT(E786,"" "")"),"#VALUE!")</f>
        <v>#VALUE!</v>
      </c>
      <c r="I786" s="2" t="str">
        <f t="shared" si="3"/>
        <v>#VALUE!</v>
      </c>
      <c r="J786" s="2" t="str">
        <f>IFERROR(__xludf.DUMMYFUNCTION("SPLIT(I786,"" "")"),"#VALUE!")</f>
        <v>#VALUE!</v>
      </c>
      <c r="M786" s="2" t="b">
        <f t="shared" si="4"/>
        <v>0</v>
      </c>
      <c r="N786" s="2" t="b">
        <f>IFERROR(__xludf.DUMMYFUNCTION("IF(AND(REGEXMATCH($G$4, ""cd""),M786),N785+J786)"),FALSE)</f>
        <v>0</v>
      </c>
      <c r="O786" s="2" t="str">
        <f t="shared" si="5"/>
        <v>#N/A</v>
      </c>
    </row>
    <row r="787">
      <c r="A787" s="1" t="s">
        <v>446</v>
      </c>
      <c r="B787" s="2" t="str">
        <f t="shared" si="1"/>
        <v>#VALUE!</v>
      </c>
      <c r="C787" s="2" t="str">
        <f>IFERROR(__xludf.DUMMYFUNCTION("SPLIT(B787,"" "")"),"#VALUE!")</f>
        <v>#VALUE!</v>
      </c>
      <c r="E787" s="2" t="str">
        <f t="shared" si="2"/>
        <v>$ cd hwgndwpj</v>
      </c>
      <c r="F787" s="2" t="str">
        <f>IFERROR(__xludf.DUMMYFUNCTION("SPLIT(E787,"" "")"),"$")</f>
        <v>$</v>
      </c>
      <c r="G787" s="2" t="str">
        <f>IFERROR(__xludf.DUMMYFUNCTION("""COMPUTED_VALUE"""),"cd")</f>
        <v>cd</v>
      </c>
      <c r="H787" s="2" t="str">
        <f>IFERROR(__xludf.DUMMYFUNCTION("""COMPUTED_VALUE"""),"hwgndwpj")</f>
        <v>hwgndwpj</v>
      </c>
      <c r="I787" s="2" t="str">
        <f t="shared" si="3"/>
        <v>#VALUE!</v>
      </c>
      <c r="J787" s="2" t="str">
        <f>IFERROR(__xludf.DUMMYFUNCTION("SPLIT(I787,"" "")"),"#VALUE!")</f>
        <v>#VALUE!</v>
      </c>
      <c r="M787" s="2" t="b">
        <f t="shared" si="4"/>
        <v>0</v>
      </c>
      <c r="N787" s="2" t="b">
        <f>IFERROR(__xludf.DUMMYFUNCTION("IF(AND(REGEXMATCH($G$4, ""cd""),M787),N786+J787)"),FALSE)</f>
        <v>0</v>
      </c>
      <c r="O787" s="2" t="str">
        <f t="shared" si="5"/>
        <v>#N/A</v>
      </c>
    </row>
    <row r="788">
      <c r="A788" s="1" t="s">
        <v>2</v>
      </c>
      <c r="B788" s="2" t="str">
        <f t="shared" si="1"/>
        <v>#VALUE!</v>
      </c>
      <c r="C788" s="2" t="str">
        <f>IFERROR(__xludf.DUMMYFUNCTION("SPLIT(B788,"" "")"),"#VALUE!")</f>
        <v>#VALUE!</v>
      </c>
      <c r="E788" s="2" t="str">
        <f t="shared" si="2"/>
        <v>#VALUE!</v>
      </c>
      <c r="F788" s="2" t="str">
        <f>IFERROR(__xludf.DUMMYFUNCTION("SPLIT(E788,"" "")"),"#VALUE!")</f>
        <v>#VALUE!</v>
      </c>
      <c r="I788" s="2" t="str">
        <f t="shared" si="3"/>
        <v>#VALUE!</v>
      </c>
      <c r="J788" s="2" t="str">
        <f>IFERROR(__xludf.DUMMYFUNCTION("SPLIT(I788,"" "")"),"#VALUE!")</f>
        <v>#VALUE!</v>
      </c>
      <c r="M788" s="2" t="b">
        <f t="shared" si="4"/>
        <v>0</v>
      </c>
      <c r="N788" s="2" t="b">
        <f>IFERROR(__xludf.DUMMYFUNCTION("IF(AND(REGEXMATCH($G$4, ""cd""),M788),N787+J788)"),FALSE)</f>
        <v>0</v>
      </c>
      <c r="O788" s="2" t="str">
        <f t="shared" si="5"/>
        <v>#N/A</v>
      </c>
    </row>
    <row r="789">
      <c r="A789" s="1" t="s">
        <v>447</v>
      </c>
      <c r="B789" s="2" t="str">
        <f t="shared" si="1"/>
        <v>dir srdzqqf</v>
      </c>
      <c r="C789" s="2" t="str">
        <f>IFERROR(__xludf.DUMMYFUNCTION("SPLIT(B789,"" "")"),"dir")</f>
        <v>dir</v>
      </c>
      <c r="D789" s="2" t="str">
        <f>IFERROR(__xludf.DUMMYFUNCTION("""COMPUTED_VALUE"""),"srdzqqf")</f>
        <v>srdzqqf</v>
      </c>
      <c r="E789" s="2" t="str">
        <f t="shared" si="2"/>
        <v>#VALUE!</v>
      </c>
      <c r="F789" s="2" t="str">
        <f>IFERROR(__xludf.DUMMYFUNCTION("SPLIT(E789,"" "")"),"#VALUE!")</f>
        <v>#VALUE!</v>
      </c>
      <c r="I789" s="2" t="str">
        <f t="shared" si="3"/>
        <v>#VALUE!</v>
      </c>
      <c r="J789" s="2" t="str">
        <f>IFERROR(__xludf.DUMMYFUNCTION("SPLIT(I789,"" "")"),"#VALUE!")</f>
        <v>#VALUE!</v>
      </c>
      <c r="M789" s="2" t="b">
        <f t="shared" si="4"/>
        <v>0</v>
      </c>
      <c r="N789" s="2" t="b">
        <f>IFERROR(__xludf.DUMMYFUNCTION("IF(AND(REGEXMATCH($G$4, ""cd""),M789),N788+J789)"),FALSE)</f>
        <v>0</v>
      </c>
      <c r="O789" s="2" t="str">
        <f t="shared" si="5"/>
        <v>#N/A</v>
      </c>
    </row>
    <row r="790">
      <c r="A790" s="1" t="s">
        <v>448</v>
      </c>
      <c r="B790" s="2" t="str">
        <f t="shared" si="1"/>
        <v>#VALUE!</v>
      </c>
      <c r="C790" s="2" t="str">
        <f>IFERROR(__xludf.DUMMYFUNCTION("SPLIT(B790,"" "")"),"#VALUE!")</f>
        <v>#VALUE!</v>
      </c>
      <c r="E790" s="2" t="str">
        <f t="shared" si="2"/>
        <v>$ cd srdzqqf</v>
      </c>
      <c r="F790" s="2" t="str">
        <f>IFERROR(__xludf.DUMMYFUNCTION("SPLIT(E790,"" "")"),"$")</f>
        <v>$</v>
      </c>
      <c r="G790" s="2" t="str">
        <f>IFERROR(__xludf.DUMMYFUNCTION("""COMPUTED_VALUE"""),"cd")</f>
        <v>cd</v>
      </c>
      <c r="H790" s="2" t="str">
        <f>IFERROR(__xludf.DUMMYFUNCTION("""COMPUTED_VALUE"""),"srdzqqf")</f>
        <v>srdzqqf</v>
      </c>
      <c r="I790" s="2" t="str">
        <f t="shared" si="3"/>
        <v>#VALUE!</v>
      </c>
      <c r="J790" s="2" t="str">
        <f>IFERROR(__xludf.DUMMYFUNCTION("SPLIT(I790,"" "")"),"#VALUE!")</f>
        <v>#VALUE!</v>
      </c>
      <c r="M790" s="2" t="b">
        <f t="shared" si="4"/>
        <v>0</v>
      </c>
      <c r="N790" s="2" t="b">
        <f>IFERROR(__xludf.DUMMYFUNCTION("IF(AND(REGEXMATCH($G$4, ""cd""),M790),N789+J790)"),FALSE)</f>
        <v>0</v>
      </c>
      <c r="O790" s="2" t="str">
        <f t="shared" si="5"/>
        <v>#N/A</v>
      </c>
    </row>
    <row r="791">
      <c r="A791" s="1" t="s">
        <v>2</v>
      </c>
      <c r="B791" s="2" t="str">
        <f t="shared" si="1"/>
        <v>#VALUE!</v>
      </c>
      <c r="C791" s="2" t="str">
        <f>IFERROR(__xludf.DUMMYFUNCTION("SPLIT(B791,"" "")"),"#VALUE!")</f>
        <v>#VALUE!</v>
      </c>
      <c r="E791" s="2" t="str">
        <f t="shared" si="2"/>
        <v>#VALUE!</v>
      </c>
      <c r="F791" s="2" t="str">
        <f>IFERROR(__xludf.DUMMYFUNCTION("SPLIT(E791,"" "")"),"#VALUE!")</f>
        <v>#VALUE!</v>
      </c>
      <c r="I791" s="2" t="str">
        <f t="shared" si="3"/>
        <v>#VALUE!</v>
      </c>
      <c r="J791" s="2" t="str">
        <f>IFERROR(__xludf.DUMMYFUNCTION("SPLIT(I791,"" "")"),"#VALUE!")</f>
        <v>#VALUE!</v>
      </c>
      <c r="M791" s="2" t="b">
        <f t="shared" si="4"/>
        <v>0</v>
      </c>
      <c r="N791" s="2" t="b">
        <f>IFERROR(__xludf.DUMMYFUNCTION("IF(AND(REGEXMATCH($G$4, ""cd""),M791),N790+J791)"),FALSE)</f>
        <v>0</v>
      </c>
      <c r="O791" s="2" t="str">
        <f t="shared" si="5"/>
        <v>#N/A</v>
      </c>
    </row>
    <row r="792">
      <c r="A792" s="1" t="s">
        <v>449</v>
      </c>
      <c r="B792" s="2" t="str">
        <f t="shared" si="1"/>
        <v>#VALUE!</v>
      </c>
      <c r="C792" s="2" t="str">
        <f>IFERROR(__xludf.DUMMYFUNCTION("SPLIT(B792,"" "")"),"#VALUE!")</f>
        <v>#VALUE!</v>
      </c>
      <c r="E792" s="2" t="str">
        <f t="shared" si="2"/>
        <v>#VALUE!</v>
      </c>
      <c r="F792" s="2" t="str">
        <f>IFERROR(__xludf.DUMMYFUNCTION("SPLIT(E792,"" "")"),"#VALUE!")</f>
        <v>#VALUE!</v>
      </c>
      <c r="I792" s="2" t="str">
        <f t="shared" si="3"/>
        <v>#VALUE!</v>
      </c>
      <c r="J792" s="2" t="str">
        <f>IFERROR(__xludf.DUMMYFUNCTION("SPLIT(I792,"" "")"),"#VALUE!")</f>
        <v>#VALUE!</v>
      </c>
      <c r="M792" s="2" t="b">
        <f t="shared" si="4"/>
        <v>0</v>
      </c>
      <c r="N792" s="2" t="b">
        <f>IFERROR(__xludf.DUMMYFUNCTION("IF(AND(REGEXMATCH($G$4, ""cd""),M792),N791+J792)"),FALSE)</f>
        <v>0</v>
      </c>
      <c r="O792" s="2" t="str">
        <f t="shared" si="5"/>
        <v>#N/A</v>
      </c>
    </row>
    <row r="793">
      <c r="A793" s="1" t="s">
        <v>17</v>
      </c>
      <c r="B793" s="2" t="str">
        <f t="shared" si="1"/>
        <v>#VALUE!</v>
      </c>
      <c r="C793" s="2" t="str">
        <f>IFERROR(__xludf.DUMMYFUNCTION("SPLIT(B793,"" "")"),"#VALUE!")</f>
        <v>#VALUE!</v>
      </c>
      <c r="E793" s="2" t="str">
        <f t="shared" si="2"/>
        <v>$ cd ..</v>
      </c>
      <c r="F793" s="2" t="str">
        <f>IFERROR(__xludf.DUMMYFUNCTION("SPLIT(E793,"" "")"),"$")</f>
        <v>$</v>
      </c>
      <c r="G793" s="2" t="str">
        <f>IFERROR(__xludf.DUMMYFUNCTION("""COMPUTED_VALUE"""),"cd")</f>
        <v>cd</v>
      </c>
      <c r="H793" s="2" t="str">
        <f>IFERROR(__xludf.DUMMYFUNCTION("""COMPUTED_VALUE"""),"..")</f>
        <v>..</v>
      </c>
      <c r="I793" s="2" t="str">
        <f t="shared" si="3"/>
        <v>$ cd ..</v>
      </c>
      <c r="J793" s="2" t="str">
        <f>IFERROR(__xludf.DUMMYFUNCTION("SPLIT(I793,"" "")"),"$")</f>
        <v>$</v>
      </c>
      <c r="K793" s="2" t="str">
        <f>IFERROR(__xludf.DUMMYFUNCTION("""COMPUTED_VALUE"""),"cd")</f>
        <v>cd</v>
      </c>
      <c r="L793" s="2" t="str">
        <f>IFERROR(__xludf.DUMMYFUNCTION("""COMPUTED_VALUE"""),"..")</f>
        <v>..</v>
      </c>
      <c r="M793" s="2" t="b">
        <f t="shared" si="4"/>
        <v>0</v>
      </c>
      <c r="N793" s="2" t="b">
        <f>IFERROR(__xludf.DUMMYFUNCTION("IF(AND(REGEXMATCH($G$4, ""cd""),M793),N792+J793)"),FALSE)</f>
        <v>0</v>
      </c>
      <c r="O793" s="2" t="str">
        <f t="shared" si="5"/>
        <v>#N/A</v>
      </c>
    </row>
    <row r="794">
      <c r="A794" s="1" t="s">
        <v>17</v>
      </c>
      <c r="B794" s="2" t="str">
        <f t="shared" si="1"/>
        <v>#VALUE!</v>
      </c>
      <c r="C794" s="2" t="str">
        <f>IFERROR(__xludf.DUMMYFUNCTION("SPLIT(B794,"" "")"),"#VALUE!")</f>
        <v>#VALUE!</v>
      </c>
      <c r="E794" s="2" t="str">
        <f t="shared" si="2"/>
        <v>$ cd ..</v>
      </c>
      <c r="F794" s="2" t="str">
        <f>IFERROR(__xludf.DUMMYFUNCTION("SPLIT(E794,"" "")"),"$")</f>
        <v>$</v>
      </c>
      <c r="G794" s="2" t="str">
        <f>IFERROR(__xludf.DUMMYFUNCTION("""COMPUTED_VALUE"""),"cd")</f>
        <v>cd</v>
      </c>
      <c r="H794" s="2" t="str">
        <f>IFERROR(__xludf.DUMMYFUNCTION("""COMPUTED_VALUE"""),"..")</f>
        <v>..</v>
      </c>
      <c r="I794" s="2" t="str">
        <f t="shared" si="3"/>
        <v>$ cd ..</v>
      </c>
      <c r="J794" s="2" t="str">
        <f>IFERROR(__xludf.DUMMYFUNCTION("SPLIT(I794,"" "")"),"$")</f>
        <v>$</v>
      </c>
      <c r="K794" s="2" t="str">
        <f>IFERROR(__xludf.DUMMYFUNCTION("""COMPUTED_VALUE"""),"cd")</f>
        <v>cd</v>
      </c>
      <c r="L794" s="2" t="str">
        <f>IFERROR(__xludf.DUMMYFUNCTION("""COMPUTED_VALUE"""),"..")</f>
        <v>..</v>
      </c>
      <c r="M794" s="2" t="b">
        <f t="shared" si="4"/>
        <v>0</v>
      </c>
      <c r="N794" s="2" t="b">
        <f>IFERROR(__xludf.DUMMYFUNCTION("IF(AND(REGEXMATCH($G$4, ""cd""),M794),N793+J794)"),FALSE)</f>
        <v>0</v>
      </c>
      <c r="O794" s="2" t="str">
        <f t="shared" si="5"/>
        <v>#N/A</v>
      </c>
    </row>
    <row r="795">
      <c r="A795" s="1" t="s">
        <v>17</v>
      </c>
      <c r="B795" s="2" t="str">
        <f t="shared" si="1"/>
        <v>#VALUE!</v>
      </c>
      <c r="C795" s="2" t="str">
        <f>IFERROR(__xludf.DUMMYFUNCTION("SPLIT(B795,"" "")"),"#VALUE!")</f>
        <v>#VALUE!</v>
      </c>
      <c r="E795" s="2" t="str">
        <f t="shared" si="2"/>
        <v>$ cd ..</v>
      </c>
      <c r="F795" s="2" t="str">
        <f>IFERROR(__xludf.DUMMYFUNCTION("SPLIT(E795,"" "")"),"$")</f>
        <v>$</v>
      </c>
      <c r="G795" s="2" t="str">
        <f>IFERROR(__xludf.DUMMYFUNCTION("""COMPUTED_VALUE"""),"cd")</f>
        <v>cd</v>
      </c>
      <c r="H795" s="2" t="str">
        <f>IFERROR(__xludf.DUMMYFUNCTION("""COMPUTED_VALUE"""),"..")</f>
        <v>..</v>
      </c>
      <c r="I795" s="2" t="str">
        <f t="shared" si="3"/>
        <v>$ cd ..</v>
      </c>
      <c r="J795" s="2" t="str">
        <f>IFERROR(__xludf.DUMMYFUNCTION("SPLIT(I795,"" "")"),"$")</f>
        <v>$</v>
      </c>
      <c r="K795" s="2" t="str">
        <f>IFERROR(__xludf.DUMMYFUNCTION("""COMPUTED_VALUE"""),"cd")</f>
        <v>cd</v>
      </c>
      <c r="L795" s="2" t="str">
        <f>IFERROR(__xludf.DUMMYFUNCTION("""COMPUTED_VALUE"""),"..")</f>
        <v>..</v>
      </c>
      <c r="M795" s="2" t="b">
        <f t="shared" si="4"/>
        <v>0</v>
      </c>
      <c r="N795" s="2" t="b">
        <f>IFERROR(__xludf.DUMMYFUNCTION("IF(AND(REGEXMATCH($G$4, ""cd""),M795),N794+J795)"),FALSE)</f>
        <v>0</v>
      </c>
      <c r="O795" s="2" t="str">
        <f t="shared" si="5"/>
        <v>#N/A</v>
      </c>
    </row>
    <row r="796">
      <c r="A796" s="1" t="s">
        <v>17</v>
      </c>
      <c r="B796" s="2" t="str">
        <f t="shared" si="1"/>
        <v>#VALUE!</v>
      </c>
      <c r="C796" s="2" t="str">
        <f>IFERROR(__xludf.DUMMYFUNCTION("SPLIT(B796,"" "")"),"#VALUE!")</f>
        <v>#VALUE!</v>
      </c>
      <c r="E796" s="2" t="str">
        <f t="shared" si="2"/>
        <v>$ cd ..</v>
      </c>
      <c r="F796" s="2" t="str">
        <f>IFERROR(__xludf.DUMMYFUNCTION("SPLIT(E796,"" "")"),"$")</f>
        <v>$</v>
      </c>
      <c r="G796" s="2" t="str">
        <f>IFERROR(__xludf.DUMMYFUNCTION("""COMPUTED_VALUE"""),"cd")</f>
        <v>cd</v>
      </c>
      <c r="H796" s="2" t="str">
        <f>IFERROR(__xludf.DUMMYFUNCTION("""COMPUTED_VALUE"""),"..")</f>
        <v>..</v>
      </c>
      <c r="I796" s="2" t="str">
        <f t="shared" si="3"/>
        <v>$ cd ..</v>
      </c>
      <c r="J796" s="2" t="str">
        <f>IFERROR(__xludf.DUMMYFUNCTION("SPLIT(I796,"" "")"),"$")</f>
        <v>$</v>
      </c>
      <c r="K796" s="2" t="str">
        <f>IFERROR(__xludf.DUMMYFUNCTION("""COMPUTED_VALUE"""),"cd")</f>
        <v>cd</v>
      </c>
      <c r="L796" s="2" t="str">
        <f>IFERROR(__xludf.DUMMYFUNCTION("""COMPUTED_VALUE"""),"..")</f>
        <v>..</v>
      </c>
      <c r="M796" s="2" t="b">
        <f t="shared" si="4"/>
        <v>0</v>
      </c>
      <c r="N796" s="2" t="b">
        <f>IFERROR(__xludf.DUMMYFUNCTION("IF(AND(REGEXMATCH($G$4, ""cd""),M796),N795+J796)"),FALSE)</f>
        <v>0</v>
      </c>
      <c r="O796" s="2" t="str">
        <f t="shared" si="5"/>
        <v>#N/A</v>
      </c>
    </row>
    <row r="797">
      <c r="A797" s="1" t="s">
        <v>131</v>
      </c>
      <c r="B797" s="2" t="str">
        <f t="shared" si="1"/>
        <v>#VALUE!</v>
      </c>
      <c r="C797" s="2" t="str">
        <f>IFERROR(__xludf.DUMMYFUNCTION("SPLIT(B797,"" "")"),"#VALUE!")</f>
        <v>#VALUE!</v>
      </c>
      <c r="E797" s="2" t="str">
        <f t="shared" si="2"/>
        <v>$ cd mzsfcvgv</v>
      </c>
      <c r="F797" s="2" t="str">
        <f>IFERROR(__xludf.DUMMYFUNCTION("SPLIT(E797,"" "")"),"$")</f>
        <v>$</v>
      </c>
      <c r="G797" s="2" t="str">
        <f>IFERROR(__xludf.DUMMYFUNCTION("""COMPUTED_VALUE"""),"cd")</f>
        <v>cd</v>
      </c>
      <c r="H797" s="2" t="str">
        <f>IFERROR(__xludf.DUMMYFUNCTION("""COMPUTED_VALUE"""),"mzsfcvgv")</f>
        <v>mzsfcvgv</v>
      </c>
      <c r="I797" s="2" t="str">
        <f t="shared" si="3"/>
        <v>#VALUE!</v>
      </c>
      <c r="J797" s="2" t="str">
        <f>IFERROR(__xludf.DUMMYFUNCTION("SPLIT(I797,"" "")"),"#VALUE!")</f>
        <v>#VALUE!</v>
      </c>
      <c r="M797" s="2" t="b">
        <f t="shared" si="4"/>
        <v>0</v>
      </c>
      <c r="N797" s="2" t="b">
        <f>IFERROR(__xludf.DUMMYFUNCTION("IF(AND(REGEXMATCH($G$4, ""cd""),M797),N796+J797)"),FALSE)</f>
        <v>0</v>
      </c>
      <c r="O797" s="2" t="str">
        <f t="shared" si="5"/>
        <v>#N/A</v>
      </c>
    </row>
    <row r="798">
      <c r="A798" s="1" t="s">
        <v>2</v>
      </c>
      <c r="B798" s="2" t="str">
        <f t="shared" si="1"/>
        <v>#VALUE!</v>
      </c>
      <c r="C798" s="2" t="str">
        <f>IFERROR(__xludf.DUMMYFUNCTION("SPLIT(B798,"" "")"),"#VALUE!")</f>
        <v>#VALUE!</v>
      </c>
      <c r="E798" s="2" t="str">
        <f t="shared" si="2"/>
        <v>#VALUE!</v>
      </c>
      <c r="F798" s="2" t="str">
        <f>IFERROR(__xludf.DUMMYFUNCTION("SPLIT(E798,"" "")"),"#VALUE!")</f>
        <v>#VALUE!</v>
      </c>
      <c r="I798" s="2" t="str">
        <f t="shared" si="3"/>
        <v>#VALUE!</v>
      </c>
      <c r="J798" s="2" t="str">
        <f>IFERROR(__xludf.DUMMYFUNCTION("SPLIT(I798,"" "")"),"#VALUE!")</f>
        <v>#VALUE!</v>
      </c>
      <c r="M798" s="2" t="b">
        <f t="shared" si="4"/>
        <v>0</v>
      </c>
      <c r="N798" s="2" t="b">
        <f>IFERROR(__xludf.DUMMYFUNCTION("IF(AND(REGEXMATCH($G$4, ""cd""),M798),N797+J798)"),FALSE)</f>
        <v>0</v>
      </c>
      <c r="O798" s="2" t="str">
        <f t="shared" si="5"/>
        <v>#N/A</v>
      </c>
    </row>
    <row r="799">
      <c r="A799" s="1" t="s">
        <v>50</v>
      </c>
      <c r="B799" s="2" t="str">
        <f t="shared" si="1"/>
        <v>dir hlvpfw</v>
      </c>
      <c r="C799" s="2" t="str">
        <f>IFERROR(__xludf.DUMMYFUNCTION("SPLIT(B799,"" "")"),"dir")</f>
        <v>dir</v>
      </c>
      <c r="D799" s="2" t="str">
        <f>IFERROR(__xludf.DUMMYFUNCTION("""COMPUTED_VALUE"""),"hlvpfw")</f>
        <v>hlvpfw</v>
      </c>
      <c r="E799" s="2" t="str">
        <f t="shared" si="2"/>
        <v>#VALUE!</v>
      </c>
      <c r="F799" s="2" t="str">
        <f>IFERROR(__xludf.DUMMYFUNCTION("SPLIT(E799,"" "")"),"#VALUE!")</f>
        <v>#VALUE!</v>
      </c>
      <c r="I799" s="2" t="str">
        <f t="shared" si="3"/>
        <v>#VALUE!</v>
      </c>
      <c r="J799" s="2" t="str">
        <f>IFERROR(__xludf.DUMMYFUNCTION("SPLIT(I799,"" "")"),"#VALUE!")</f>
        <v>#VALUE!</v>
      </c>
      <c r="M799" s="2" t="b">
        <f t="shared" si="4"/>
        <v>0</v>
      </c>
      <c r="N799" s="2" t="b">
        <f>IFERROR(__xludf.DUMMYFUNCTION("IF(AND(REGEXMATCH($G$4, ""cd""),M799),N798+J799)"),FALSE)</f>
        <v>0</v>
      </c>
      <c r="O799" s="2" t="str">
        <f t="shared" si="5"/>
        <v>#N/A</v>
      </c>
    </row>
    <row r="800">
      <c r="A800" s="1" t="s">
        <v>450</v>
      </c>
      <c r="B800" s="2" t="str">
        <f t="shared" si="1"/>
        <v>dir vbdw</v>
      </c>
      <c r="C800" s="2" t="str">
        <f>IFERROR(__xludf.DUMMYFUNCTION("SPLIT(B800,"" "")"),"dir")</f>
        <v>dir</v>
      </c>
      <c r="D800" s="2" t="str">
        <f>IFERROR(__xludf.DUMMYFUNCTION("""COMPUTED_VALUE"""),"vbdw")</f>
        <v>vbdw</v>
      </c>
      <c r="E800" s="2" t="str">
        <f t="shared" si="2"/>
        <v>#VALUE!</v>
      </c>
      <c r="F800" s="2" t="str">
        <f>IFERROR(__xludf.DUMMYFUNCTION("SPLIT(E800,"" "")"),"#VALUE!")</f>
        <v>#VALUE!</v>
      </c>
      <c r="I800" s="2" t="str">
        <f t="shared" si="3"/>
        <v>#VALUE!</v>
      </c>
      <c r="J800" s="2" t="str">
        <f>IFERROR(__xludf.DUMMYFUNCTION("SPLIT(I800,"" "")"),"#VALUE!")</f>
        <v>#VALUE!</v>
      </c>
      <c r="M800" s="2" t="b">
        <f t="shared" si="4"/>
        <v>0</v>
      </c>
      <c r="N800" s="2" t="b">
        <f>IFERROR(__xludf.DUMMYFUNCTION("IF(AND(REGEXMATCH($G$4, ""cd""),M800),N799+J800)"),FALSE)</f>
        <v>0</v>
      </c>
      <c r="O800" s="2" t="str">
        <f t="shared" si="5"/>
        <v>#N/A</v>
      </c>
    </row>
    <row r="801">
      <c r="A801" s="1" t="s">
        <v>52</v>
      </c>
      <c r="B801" s="2" t="str">
        <f t="shared" si="1"/>
        <v>#VALUE!</v>
      </c>
      <c r="C801" s="2" t="str">
        <f>IFERROR(__xludf.DUMMYFUNCTION("SPLIT(B801,"" "")"),"#VALUE!")</f>
        <v>#VALUE!</v>
      </c>
      <c r="E801" s="2" t="str">
        <f t="shared" si="2"/>
        <v>$ cd hlvpfw</v>
      </c>
      <c r="F801" s="2" t="str">
        <f>IFERROR(__xludf.DUMMYFUNCTION("SPLIT(E801,"" "")"),"$")</f>
        <v>$</v>
      </c>
      <c r="G801" s="2" t="str">
        <f>IFERROR(__xludf.DUMMYFUNCTION("""COMPUTED_VALUE"""),"cd")</f>
        <v>cd</v>
      </c>
      <c r="H801" s="2" t="str">
        <f>IFERROR(__xludf.DUMMYFUNCTION("""COMPUTED_VALUE"""),"hlvpfw")</f>
        <v>hlvpfw</v>
      </c>
      <c r="I801" s="2" t="str">
        <f t="shared" si="3"/>
        <v>#VALUE!</v>
      </c>
      <c r="J801" s="2" t="str">
        <f>IFERROR(__xludf.DUMMYFUNCTION("SPLIT(I801,"" "")"),"#VALUE!")</f>
        <v>#VALUE!</v>
      </c>
      <c r="M801" s="2" t="b">
        <f t="shared" si="4"/>
        <v>0</v>
      </c>
      <c r="N801" s="2" t="b">
        <f>IFERROR(__xludf.DUMMYFUNCTION("IF(AND(REGEXMATCH($G$4, ""cd""),M801),N800+J801)"),FALSE)</f>
        <v>0</v>
      </c>
      <c r="O801" s="2" t="str">
        <f t="shared" si="5"/>
        <v>#N/A</v>
      </c>
    </row>
    <row r="802">
      <c r="A802" s="1" t="s">
        <v>2</v>
      </c>
      <c r="B802" s="2" t="str">
        <f t="shared" si="1"/>
        <v>#VALUE!</v>
      </c>
      <c r="C802" s="2" t="str">
        <f>IFERROR(__xludf.DUMMYFUNCTION("SPLIT(B802,"" "")"),"#VALUE!")</f>
        <v>#VALUE!</v>
      </c>
      <c r="E802" s="2" t="str">
        <f t="shared" si="2"/>
        <v>#VALUE!</v>
      </c>
      <c r="F802" s="2" t="str">
        <f>IFERROR(__xludf.DUMMYFUNCTION("SPLIT(E802,"" "")"),"#VALUE!")</f>
        <v>#VALUE!</v>
      </c>
      <c r="I802" s="2" t="str">
        <f t="shared" si="3"/>
        <v>#VALUE!</v>
      </c>
      <c r="J802" s="2" t="str">
        <f>IFERROR(__xludf.DUMMYFUNCTION("SPLIT(I802,"" "")"),"#VALUE!")</f>
        <v>#VALUE!</v>
      </c>
      <c r="M802" s="2" t="b">
        <f t="shared" si="4"/>
        <v>0</v>
      </c>
      <c r="N802" s="2" t="b">
        <f>IFERROR(__xludf.DUMMYFUNCTION("IF(AND(REGEXMATCH($G$4, ""cd""),M802),N801+J802)"),FALSE)</f>
        <v>0</v>
      </c>
      <c r="O802" s="2" t="str">
        <f t="shared" si="5"/>
        <v>#N/A</v>
      </c>
    </row>
    <row r="803">
      <c r="A803" s="1" t="s">
        <v>451</v>
      </c>
      <c r="B803" s="2" t="str">
        <f t="shared" si="1"/>
        <v>#VALUE!</v>
      </c>
      <c r="C803" s="2" t="str">
        <f>IFERROR(__xludf.DUMMYFUNCTION("SPLIT(B803,"" "")"),"#VALUE!")</f>
        <v>#VALUE!</v>
      </c>
      <c r="E803" s="2" t="str">
        <f t="shared" si="2"/>
        <v>#VALUE!</v>
      </c>
      <c r="F803" s="2" t="str">
        <f>IFERROR(__xludf.DUMMYFUNCTION("SPLIT(E803,"" "")"),"#VALUE!")</f>
        <v>#VALUE!</v>
      </c>
      <c r="I803" s="2" t="str">
        <f t="shared" si="3"/>
        <v>#VALUE!</v>
      </c>
      <c r="J803" s="2" t="str">
        <f>IFERROR(__xludf.DUMMYFUNCTION("SPLIT(I803,"" "")"),"#VALUE!")</f>
        <v>#VALUE!</v>
      </c>
      <c r="M803" s="2" t="b">
        <f t="shared" si="4"/>
        <v>0</v>
      </c>
      <c r="N803" s="2" t="b">
        <f>IFERROR(__xludf.DUMMYFUNCTION("IF(AND(REGEXMATCH($G$4, ""cd""),M803),N802+J803)"),FALSE)</f>
        <v>0</v>
      </c>
      <c r="O803" s="2" t="str">
        <f t="shared" si="5"/>
        <v>#N/A</v>
      </c>
    </row>
    <row r="804">
      <c r="A804" s="1" t="s">
        <v>17</v>
      </c>
      <c r="B804" s="2" t="str">
        <f t="shared" si="1"/>
        <v>#VALUE!</v>
      </c>
      <c r="C804" s="2" t="str">
        <f>IFERROR(__xludf.DUMMYFUNCTION("SPLIT(B804,"" "")"),"#VALUE!")</f>
        <v>#VALUE!</v>
      </c>
      <c r="E804" s="2" t="str">
        <f t="shared" si="2"/>
        <v>$ cd ..</v>
      </c>
      <c r="F804" s="2" t="str">
        <f>IFERROR(__xludf.DUMMYFUNCTION("SPLIT(E804,"" "")"),"$")</f>
        <v>$</v>
      </c>
      <c r="G804" s="2" t="str">
        <f>IFERROR(__xludf.DUMMYFUNCTION("""COMPUTED_VALUE"""),"cd")</f>
        <v>cd</v>
      </c>
      <c r="H804" s="2" t="str">
        <f>IFERROR(__xludf.DUMMYFUNCTION("""COMPUTED_VALUE"""),"..")</f>
        <v>..</v>
      </c>
      <c r="I804" s="2" t="str">
        <f t="shared" si="3"/>
        <v>$ cd ..</v>
      </c>
      <c r="J804" s="2" t="str">
        <f>IFERROR(__xludf.DUMMYFUNCTION("SPLIT(I804,"" "")"),"$")</f>
        <v>$</v>
      </c>
      <c r="K804" s="2" t="str">
        <f>IFERROR(__xludf.DUMMYFUNCTION("""COMPUTED_VALUE"""),"cd")</f>
        <v>cd</v>
      </c>
      <c r="L804" s="2" t="str">
        <f>IFERROR(__xludf.DUMMYFUNCTION("""COMPUTED_VALUE"""),"..")</f>
        <v>..</v>
      </c>
      <c r="M804" s="2" t="b">
        <f t="shared" si="4"/>
        <v>0</v>
      </c>
      <c r="N804" s="2" t="b">
        <f>IFERROR(__xludf.DUMMYFUNCTION("IF(AND(REGEXMATCH($G$4, ""cd""),M804),N803+J804)"),FALSE)</f>
        <v>0</v>
      </c>
      <c r="O804" s="2" t="str">
        <f t="shared" si="5"/>
        <v>#N/A</v>
      </c>
    </row>
    <row r="805">
      <c r="A805" s="1" t="s">
        <v>452</v>
      </c>
      <c r="B805" s="2" t="str">
        <f t="shared" si="1"/>
        <v>#VALUE!</v>
      </c>
      <c r="C805" s="2" t="str">
        <f>IFERROR(__xludf.DUMMYFUNCTION("SPLIT(B805,"" "")"),"#VALUE!")</f>
        <v>#VALUE!</v>
      </c>
      <c r="E805" s="2" t="str">
        <f t="shared" si="2"/>
        <v>$ cd vbdw</v>
      </c>
      <c r="F805" s="2" t="str">
        <f>IFERROR(__xludf.DUMMYFUNCTION("SPLIT(E805,"" "")"),"$")</f>
        <v>$</v>
      </c>
      <c r="G805" s="2" t="str">
        <f>IFERROR(__xludf.DUMMYFUNCTION("""COMPUTED_VALUE"""),"cd")</f>
        <v>cd</v>
      </c>
      <c r="H805" s="2" t="str">
        <f>IFERROR(__xludf.DUMMYFUNCTION("""COMPUTED_VALUE"""),"vbdw")</f>
        <v>vbdw</v>
      </c>
      <c r="I805" s="2" t="str">
        <f t="shared" si="3"/>
        <v>#VALUE!</v>
      </c>
      <c r="J805" s="2" t="str">
        <f>IFERROR(__xludf.DUMMYFUNCTION("SPLIT(I805,"" "")"),"#VALUE!")</f>
        <v>#VALUE!</v>
      </c>
      <c r="M805" s="2" t="b">
        <f t="shared" si="4"/>
        <v>0</v>
      </c>
      <c r="N805" s="2" t="b">
        <f>IFERROR(__xludf.DUMMYFUNCTION("IF(AND(REGEXMATCH($G$4, ""cd""),M805),N804+J805)"),FALSE)</f>
        <v>0</v>
      </c>
      <c r="O805" s="2" t="str">
        <f t="shared" si="5"/>
        <v>#N/A</v>
      </c>
    </row>
    <row r="806">
      <c r="A806" s="1" t="s">
        <v>2</v>
      </c>
      <c r="B806" s="2" t="str">
        <f t="shared" si="1"/>
        <v>#VALUE!</v>
      </c>
      <c r="C806" s="2" t="str">
        <f>IFERROR(__xludf.DUMMYFUNCTION("SPLIT(B806,"" "")"),"#VALUE!")</f>
        <v>#VALUE!</v>
      </c>
      <c r="E806" s="2" t="str">
        <f t="shared" si="2"/>
        <v>#VALUE!</v>
      </c>
      <c r="F806" s="2" t="str">
        <f>IFERROR(__xludf.DUMMYFUNCTION("SPLIT(E806,"" "")"),"#VALUE!")</f>
        <v>#VALUE!</v>
      </c>
      <c r="I806" s="2" t="str">
        <f t="shared" si="3"/>
        <v>#VALUE!</v>
      </c>
      <c r="J806" s="2" t="str">
        <f>IFERROR(__xludf.DUMMYFUNCTION("SPLIT(I806,"" "")"),"#VALUE!")</f>
        <v>#VALUE!</v>
      </c>
      <c r="M806" s="2" t="b">
        <f t="shared" si="4"/>
        <v>0</v>
      </c>
      <c r="N806" s="2" t="b">
        <f>IFERROR(__xludf.DUMMYFUNCTION("IF(AND(REGEXMATCH($G$4, ""cd""),M806),N805+J806)"),FALSE)</f>
        <v>0</v>
      </c>
      <c r="O806" s="2" t="str">
        <f t="shared" si="5"/>
        <v>#N/A</v>
      </c>
    </row>
    <row r="807">
      <c r="A807" s="1" t="s">
        <v>453</v>
      </c>
      <c r="B807" s="2" t="str">
        <f t="shared" si="1"/>
        <v>dir csw</v>
      </c>
      <c r="C807" s="2" t="str">
        <f>IFERROR(__xludf.DUMMYFUNCTION("SPLIT(B807,"" "")"),"dir")</f>
        <v>dir</v>
      </c>
      <c r="D807" s="2" t="str">
        <f>IFERROR(__xludf.DUMMYFUNCTION("""COMPUTED_VALUE"""),"csw")</f>
        <v>csw</v>
      </c>
      <c r="E807" s="2" t="str">
        <f t="shared" si="2"/>
        <v>#VALUE!</v>
      </c>
      <c r="F807" s="2" t="str">
        <f>IFERROR(__xludf.DUMMYFUNCTION("SPLIT(E807,"" "")"),"#VALUE!")</f>
        <v>#VALUE!</v>
      </c>
      <c r="I807" s="2" t="str">
        <f t="shared" si="3"/>
        <v>#VALUE!</v>
      </c>
      <c r="J807" s="2" t="str">
        <f>IFERROR(__xludf.DUMMYFUNCTION("SPLIT(I807,"" "")"),"#VALUE!")</f>
        <v>#VALUE!</v>
      </c>
      <c r="M807" s="2" t="b">
        <f t="shared" si="4"/>
        <v>0</v>
      </c>
      <c r="N807" s="2" t="b">
        <f>IFERROR(__xludf.DUMMYFUNCTION("IF(AND(REGEXMATCH($G$4, ""cd""),M807),N806+J807)"),FALSE)</f>
        <v>0</v>
      </c>
      <c r="O807" s="2" t="str">
        <f t="shared" si="5"/>
        <v>#N/A</v>
      </c>
    </row>
    <row r="808">
      <c r="A808" s="1" t="s">
        <v>454</v>
      </c>
      <c r="B808" s="2" t="str">
        <f t="shared" si="1"/>
        <v>#VALUE!</v>
      </c>
      <c r="C808" s="2" t="str">
        <f>IFERROR(__xludf.DUMMYFUNCTION("SPLIT(B808,"" "")"),"#VALUE!")</f>
        <v>#VALUE!</v>
      </c>
      <c r="E808" s="2" t="str">
        <f t="shared" si="2"/>
        <v>$ cd csw</v>
      </c>
      <c r="F808" s="2" t="str">
        <f>IFERROR(__xludf.DUMMYFUNCTION("SPLIT(E808,"" "")"),"$")</f>
        <v>$</v>
      </c>
      <c r="G808" s="2" t="str">
        <f>IFERROR(__xludf.DUMMYFUNCTION("""COMPUTED_VALUE"""),"cd")</f>
        <v>cd</v>
      </c>
      <c r="H808" s="2" t="str">
        <f>IFERROR(__xludf.DUMMYFUNCTION("""COMPUTED_VALUE"""),"csw")</f>
        <v>csw</v>
      </c>
      <c r="I808" s="2" t="str">
        <f t="shared" si="3"/>
        <v>#VALUE!</v>
      </c>
      <c r="J808" s="2" t="str">
        <f>IFERROR(__xludf.DUMMYFUNCTION("SPLIT(I808,"" "")"),"#VALUE!")</f>
        <v>#VALUE!</v>
      </c>
      <c r="M808" s="2" t="b">
        <f t="shared" si="4"/>
        <v>0</v>
      </c>
      <c r="N808" s="2" t="b">
        <f>IFERROR(__xludf.DUMMYFUNCTION("IF(AND(REGEXMATCH($G$4, ""cd""),M808),N807+J808)"),FALSE)</f>
        <v>0</v>
      </c>
      <c r="O808" s="2" t="str">
        <f t="shared" si="5"/>
        <v>#N/A</v>
      </c>
    </row>
    <row r="809">
      <c r="A809" s="1" t="s">
        <v>2</v>
      </c>
      <c r="B809" s="2" t="str">
        <f t="shared" si="1"/>
        <v>#VALUE!</v>
      </c>
      <c r="C809" s="2" t="str">
        <f>IFERROR(__xludf.DUMMYFUNCTION("SPLIT(B809,"" "")"),"#VALUE!")</f>
        <v>#VALUE!</v>
      </c>
      <c r="E809" s="2" t="str">
        <f t="shared" si="2"/>
        <v>#VALUE!</v>
      </c>
      <c r="F809" s="2" t="str">
        <f>IFERROR(__xludf.DUMMYFUNCTION("SPLIT(E809,"" "")"),"#VALUE!")</f>
        <v>#VALUE!</v>
      </c>
      <c r="I809" s="2" t="str">
        <f t="shared" si="3"/>
        <v>#VALUE!</v>
      </c>
      <c r="J809" s="2" t="str">
        <f>IFERROR(__xludf.DUMMYFUNCTION("SPLIT(I809,"" "")"),"#VALUE!")</f>
        <v>#VALUE!</v>
      </c>
      <c r="M809" s="2" t="b">
        <f t="shared" si="4"/>
        <v>0</v>
      </c>
      <c r="N809" s="2" t="b">
        <f>IFERROR(__xludf.DUMMYFUNCTION("IF(AND(REGEXMATCH($G$4, ""cd""),M809),N808+J809)"),FALSE)</f>
        <v>0</v>
      </c>
      <c r="O809" s="2" t="str">
        <f t="shared" si="5"/>
        <v>#N/A</v>
      </c>
    </row>
    <row r="810">
      <c r="A810" s="1" t="s">
        <v>455</v>
      </c>
      <c r="B810" s="2" t="str">
        <f t="shared" si="1"/>
        <v>#VALUE!</v>
      </c>
      <c r="C810" s="2" t="str">
        <f>IFERROR(__xludf.DUMMYFUNCTION("SPLIT(B810,"" "")"),"#VALUE!")</f>
        <v>#VALUE!</v>
      </c>
      <c r="E810" s="2" t="str">
        <f t="shared" si="2"/>
        <v>#VALUE!</v>
      </c>
      <c r="F810" s="2" t="str">
        <f>IFERROR(__xludf.DUMMYFUNCTION("SPLIT(E810,"" "")"),"#VALUE!")</f>
        <v>#VALUE!</v>
      </c>
      <c r="I810" s="2" t="str">
        <f t="shared" si="3"/>
        <v>231750 dcjr.jgb</v>
      </c>
      <c r="J810" s="2">
        <f>IFERROR(__xludf.DUMMYFUNCTION("SPLIT(I810,"" "")"),231750.0)</f>
        <v>231750</v>
      </c>
      <c r="K810" s="2" t="str">
        <f>IFERROR(__xludf.DUMMYFUNCTION("""COMPUTED_VALUE"""),"dcjr.jgb")</f>
        <v>dcjr.jgb</v>
      </c>
      <c r="M810" s="2" t="b">
        <f t="shared" si="4"/>
        <v>1</v>
      </c>
      <c r="N810" s="2">
        <f>IFERROR(__xludf.DUMMYFUNCTION("IF(AND(REGEXMATCH($G$4, ""cd""),M810),N809+J810)"),231750.0)</f>
        <v>231750</v>
      </c>
      <c r="O810" s="2" t="str">
        <f t="shared" si="5"/>
        <v>#N/A</v>
      </c>
    </row>
    <row r="811">
      <c r="A811" s="1" t="s">
        <v>456</v>
      </c>
      <c r="B811" s="2" t="str">
        <f t="shared" si="1"/>
        <v>#VALUE!</v>
      </c>
      <c r="C811" s="2" t="str">
        <f>IFERROR(__xludf.DUMMYFUNCTION("SPLIT(B811,"" "")"),"#VALUE!")</f>
        <v>#VALUE!</v>
      </c>
      <c r="E811" s="2" t="str">
        <f t="shared" si="2"/>
        <v>297504 mpq.cdn</v>
      </c>
      <c r="F811" s="2">
        <f>IFERROR(__xludf.DUMMYFUNCTION("SPLIT(E811,"" "")"),297504.0)</f>
        <v>297504</v>
      </c>
      <c r="G811" s="2" t="str">
        <f>IFERROR(__xludf.DUMMYFUNCTION("""COMPUTED_VALUE"""),"mpq.cdn")</f>
        <v>mpq.cdn</v>
      </c>
      <c r="I811" s="2" t="str">
        <f t="shared" si="3"/>
        <v>297504 mpq.cdn</v>
      </c>
      <c r="J811" s="2">
        <f>IFERROR(__xludf.DUMMYFUNCTION("SPLIT(I811,"" "")"),297504.0)</f>
        <v>297504</v>
      </c>
      <c r="K811" s="2" t="str">
        <f>IFERROR(__xludf.DUMMYFUNCTION("""COMPUTED_VALUE"""),"mpq.cdn")</f>
        <v>mpq.cdn</v>
      </c>
      <c r="M811" s="2" t="b">
        <f t="shared" si="4"/>
        <v>1</v>
      </c>
      <c r="N811" s="2">
        <f>IFERROR(__xludf.DUMMYFUNCTION("IF(AND(REGEXMATCH($G$4, ""cd""),M811),N810+J811)"),529254.0)</f>
        <v>529254</v>
      </c>
      <c r="O811" s="2" t="str">
        <f t="shared" si="5"/>
        <v>#N/A</v>
      </c>
    </row>
    <row r="812">
      <c r="A812" s="1" t="s">
        <v>457</v>
      </c>
      <c r="B812" s="2" t="str">
        <f t="shared" si="1"/>
        <v>#VALUE!</v>
      </c>
      <c r="C812" s="2" t="str">
        <f>IFERROR(__xludf.DUMMYFUNCTION("SPLIT(B812,"" "")"),"#VALUE!")</f>
        <v>#VALUE!</v>
      </c>
      <c r="E812" s="2" t="str">
        <f t="shared" si="2"/>
        <v>#VALUE!</v>
      </c>
      <c r="F812" s="2" t="str">
        <f>IFERROR(__xludf.DUMMYFUNCTION("SPLIT(E812,"" "")"),"#VALUE!")</f>
        <v>#VALUE!</v>
      </c>
      <c r="I812" s="2" t="str">
        <f t="shared" si="3"/>
        <v>215564 plm.rtl</v>
      </c>
      <c r="J812" s="2">
        <f>IFERROR(__xludf.DUMMYFUNCTION("SPLIT(I812,"" "")"),215564.0)</f>
        <v>215564</v>
      </c>
      <c r="K812" s="2" t="str">
        <f>IFERROR(__xludf.DUMMYFUNCTION("""COMPUTED_VALUE"""),"plm.rtl")</f>
        <v>plm.rtl</v>
      </c>
      <c r="M812" s="2" t="b">
        <f t="shared" si="4"/>
        <v>1</v>
      </c>
      <c r="N812" s="2">
        <f>IFERROR(__xludf.DUMMYFUNCTION("IF(AND(REGEXMATCH($G$4, ""cd""),M812),N811+J812)"),744818.0)</f>
        <v>744818</v>
      </c>
      <c r="O812" s="2" t="str">
        <f t="shared" si="5"/>
        <v>#N/A</v>
      </c>
    </row>
    <row r="813">
      <c r="A813" s="1" t="s">
        <v>17</v>
      </c>
      <c r="B813" s="2" t="str">
        <f t="shared" si="1"/>
        <v>#VALUE!</v>
      </c>
      <c r="C813" s="2" t="str">
        <f>IFERROR(__xludf.DUMMYFUNCTION("SPLIT(B813,"" "")"),"#VALUE!")</f>
        <v>#VALUE!</v>
      </c>
      <c r="E813" s="2" t="str">
        <f t="shared" si="2"/>
        <v>$ cd ..</v>
      </c>
      <c r="F813" s="2" t="str">
        <f>IFERROR(__xludf.DUMMYFUNCTION("SPLIT(E813,"" "")"),"$")</f>
        <v>$</v>
      </c>
      <c r="G813" s="2" t="str">
        <f>IFERROR(__xludf.DUMMYFUNCTION("""COMPUTED_VALUE"""),"cd")</f>
        <v>cd</v>
      </c>
      <c r="H813" s="2" t="str">
        <f>IFERROR(__xludf.DUMMYFUNCTION("""COMPUTED_VALUE"""),"..")</f>
        <v>..</v>
      </c>
      <c r="I813" s="2" t="str">
        <f t="shared" si="3"/>
        <v>$ cd ..</v>
      </c>
      <c r="J813" s="2" t="str">
        <f>IFERROR(__xludf.DUMMYFUNCTION("SPLIT(I813,"" "")"),"$")</f>
        <v>$</v>
      </c>
      <c r="K813" s="2" t="str">
        <f>IFERROR(__xludf.DUMMYFUNCTION("""COMPUTED_VALUE"""),"cd")</f>
        <v>cd</v>
      </c>
      <c r="L813" s="2" t="str">
        <f>IFERROR(__xludf.DUMMYFUNCTION("""COMPUTED_VALUE"""),"..")</f>
        <v>..</v>
      </c>
      <c r="M813" s="2" t="b">
        <f t="shared" si="4"/>
        <v>0</v>
      </c>
      <c r="N813" s="2" t="b">
        <f>IFERROR(__xludf.DUMMYFUNCTION("IF(AND(REGEXMATCH($G$4, ""cd""),M813),N812+J813)"),FALSE)</f>
        <v>0</v>
      </c>
      <c r="O813" s="2" t="str">
        <f t="shared" si="5"/>
        <v>#N/A</v>
      </c>
    </row>
    <row r="814">
      <c r="A814" s="1" t="s">
        <v>17</v>
      </c>
      <c r="B814" s="2" t="str">
        <f t="shared" si="1"/>
        <v>#VALUE!</v>
      </c>
      <c r="C814" s="2" t="str">
        <f>IFERROR(__xludf.DUMMYFUNCTION("SPLIT(B814,"" "")"),"#VALUE!")</f>
        <v>#VALUE!</v>
      </c>
      <c r="E814" s="2" t="str">
        <f t="shared" si="2"/>
        <v>$ cd ..</v>
      </c>
      <c r="F814" s="2" t="str">
        <f>IFERROR(__xludf.DUMMYFUNCTION("SPLIT(E814,"" "")"),"$")</f>
        <v>$</v>
      </c>
      <c r="G814" s="2" t="str">
        <f>IFERROR(__xludf.DUMMYFUNCTION("""COMPUTED_VALUE"""),"cd")</f>
        <v>cd</v>
      </c>
      <c r="H814" s="2" t="str">
        <f>IFERROR(__xludf.DUMMYFUNCTION("""COMPUTED_VALUE"""),"..")</f>
        <v>..</v>
      </c>
      <c r="I814" s="2" t="str">
        <f t="shared" si="3"/>
        <v>$ cd ..</v>
      </c>
      <c r="J814" s="2" t="str">
        <f>IFERROR(__xludf.DUMMYFUNCTION("SPLIT(I814,"" "")"),"$")</f>
        <v>$</v>
      </c>
      <c r="K814" s="2" t="str">
        <f>IFERROR(__xludf.DUMMYFUNCTION("""COMPUTED_VALUE"""),"cd")</f>
        <v>cd</v>
      </c>
      <c r="L814" s="2" t="str">
        <f>IFERROR(__xludf.DUMMYFUNCTION("""COMPUTED_VALUE"""),"..")</f>
        <v>..</v>
      </c>
      <c r="M814" s="2" t="b">
        <f t="shared" si="4"/>
        <v>0</v>
      </c>
      <c r="N814" s="2" t="b">
        <f>IFERROR(__xludf.DUMMYFUNCTION("IF(AND(REGEXMATCH($G$4, ""cd""),M814),N813+J814)"),FALSE)</f>
        <v>0</v>
      </c>
      <c r="O814" s="2" t="str">
        <f t="shared" si="5"/>
        <v>#N/A</v>
      </c>
    </row>
    <row r="815">
      <c r="A815" s="1" t="s">
        <v>17</v>
      </c>
      <c r="B815" s="2" t="str">
        <f t="shared" si="1"/>
        <v>#VALUE!</v>
      </c>
      <c r="C815" s="2" t="str">
        <f>IFERROR(__xludf.DUMMYFUNCTION("SPLIT(B815,"" "")"),"#VALUE!")</f>
        <v>#VALUE!</v>
      </c>
      <c r="E815" s="2" t="str">
        <f t="shared" si="2"/>
        <v>$ cd ..</v>
      </c>
      <c r="F815" s="2" t="str">
        <f>IFERROR(__xludf.DUMMYFUNCTION("SPLIT(E815,"" "")"),"$")</f>
        <v>$</v>
      </c>
      <c r="G815" s="2" t="str">
        <f>IFERROR(__xludf.DUMMYFUNCTION("""COMPUTED_VALUE"""),"cd")</f>
        <v>cd</v>
      </c>
      <c r="H815" s="2" t="str">
        <f>IFERROR(__xludf.DUMMYFUNCTION("""COMPUTED_VALUE"""),"..")</f>
        <v>..</v>
      </c>
      <c r="I815" s="2" t="str">
        <f t="shared" si="3"/>
        <v>$ cd ..</v>
      </c>
      <c r="J815" s="2" t="str">
        <f>IFERROR(__xludf.DUMMYFUNCTION("SPLIT(I815,"" "")"),"$")</f>
        <v>$</v>
      </c>
      <c r="K815" s="2" t="str">
        <f>IFERROR(__xludf.DUMMYFUNCTION("""COMPUTED_VALUE"""),"cd")</f>
        <v>cd</v>
      </c>
      <c r="L815" s="2" t="str">
        <f>IFERROR(__xludf.DUMMYFUNCTION("""COMPUTED_VALUE"""),"..")</f>
        <v>..</v>
      </c>
      <c r="M815" s="2" t="b">
        <f t="shared" si="4"/>
        <v>0</v>
      </c>
      <c r="N815" s="2" t="b">
        <f>IFERROR(__xludf.DUMMYFUNCTION("IF(AND(REGEXMATCH($G$4, ""cd""),M815),N814+J815)"),FALSE)</f>
        <v>0</v>
      </c>
      <c r="O815" s="2" t="str">
        <f t="shared" si="5"/>
        <v>#N/A</v>
      </c>
    </row>
    <row r="816">
      <c r="A816" s="1" t="s">
        <v>458</v>
      </c>
      <c r="B816" s="2" t="str">
        <f t="shared" si="1"/>
        <v>#VALUE!</v>
      </c>
      <c r="C816" s="2" t="str">
        <f>IFERROR(__xludf.DUMMYFUNCTION("SPLIT(B816,"" "")"),"#VALUE!")</f>
        <v>#VALUE!</v>
      </c>
      <c r="E816" s="2" t="str">
        <f t="shared" si="2"/>
        <v>$ cd qgj</v>
      </c>
      <c r="F816" s="2" t="str">
        <f>IFERROR(__xludf.DUMMYFUNCTION("SPLIT(E816,"" "")"),"$")</f>
        <v>$</v>
      </c>
      <c r="G816" s="2" t="str">
        <f>IFERROR(__xludf.DUMMYFUNCTION("""COMPUTED_VALUE"""),"cd")</f>
        <v>cd</v>
      </c>
      <c r="H816" s="2" t="str">
        <f>IFERROR(__xludf.DUMMYFUNCTION("""COMPUTED_VALUE"""),"qgj")</f>
        <v>qgj</v>
      </c>
      <c r="I816" s="2" t="str">
        <f t="shared" si="3"/>
        <v>#VALUE!</v>
      </c>
      <c r="J816" s="2" t="str">
        <f>IFERROR(__xludf.DUMMYFUNCTION("SPLIT(I816,"" "")"),"#VALUE!")</f>
        <v>#VALUE!</v>
      </c>
      <c r="M816" s="2" t="b">
        <f t="shared" si="4"/>
        <v>0</v>
      </c>
      <c r="N816" s="2" t="b">
        <f>IFERROR(__xludf.DUMMYFUNCTION("IF(AND(REGEXMATCH($G$4, ""cd""),M816),N815+J816)"),FALSE)</f>
        <v>0</v>
      </c>
      <c r="O816" s="2" t="str">
        <f t="shared" si="5"/>
        <v>#N/A</v>
      </c>
    </row>
    <row r="817">
      <c r="A817" s="1" t="s">
        <v>2</v>
      </c>
      <c r="B817" s="2" t="str">
        <f t="shared" si="1"/>
        <v>#VALUE!</v>
      </c>
      <c r="C817" s="2" t="str">
        <f>IFERROR(__xludf.DUMMYFUNCTION("SPLIT(B817,"" "")"),"#VALUE!")</f>
        <v>#VALUE!</v>
      </c>
      <c r="E817" s="2" t="str">
        <f t="shared" si="2"/>
        <v>#VALUE!</v>
      </c>
      <c r="F817" s="2" t="str">
        <f>IFERROR(__xludf.DUMMYFUNCTION("SPLIT(E817,"" "")"),"#VALUE!")</f>
        <v>#VALUE!</v>
      </c>
      <c r="I817" s="2" t="str">
        <f t="shared" si="3"/>
        <v>#VALUE!</v>
      </c>
      <c r="J817" s="2" t="str">
        <f>IFERROR(__xludf.DUMMYFUNCTION("SPLIT(I817,"" "")"),"#VALUE!")</f>
        <v>#VALUE!</v>
      </c>
      <c r="M817" s="2" t="b">
        <f t="shared" si="4"/>
        <v>0</v>
      </c>
      <c r="N817" s="2" t="b">
        <f>IFERROR(__xludf.DUMMYFUNCTION("IF(AND(REGEXMATCH($G$4, ""cd""),M817),N816+J817)"),FALSE)</f>
        <v>0</v>
      </c>
      <c r="O817" s="2" t="str">
        <f t="shared" si="5"/>
        <v>#N/A</v>
      </c>
    </row>
    <row r="818">
      <c r="A818" s="1" t="s">
        <v>459</v>
      </c>
      <c r="B818" s="2" t="str">
        <f t="shared" si="1"/>
        <v>#VALUE!</v>
      </c>
      <c r="C818" s="2" t="str">
        <f>IFERROR(__xludf.DUMMYFUNCTION("SPLIT(B818,"" "")"),"#VALUE!")</f>
        <v>#VALUE!</v>
      </c>
      <c r="E818" s="2" t="str">
        <f t="shared" si="2"/>
        <v>#VALUE!</v>
      </c>
      <c r="F818" s="2" t="str">
        <f>IFERROR(__xludf.DUMMYFUNCTION("SPLIT(E818,"" "")"),"#VALUE!")</f>
        <v>#VALUE!</v>
      </c>
      <c r="I818" s="2" t="str">
        <f t="shared" si="3"/>
        <v>#VALUE!</v>
      </c>
      <c r="J818" s="2" t="str">
        <f>IFERROR(__xludf.DUMMYFUNCTION("SPLIT(I818,"" "")"),"#VALUE!")</f>
        <v>#VALUE!</v>
      </c>
      <c r="M818" s="2" t="b">
        <f t="shared" si="4"/>
        <v>0</v>
      </c>
      <c r="N818" s="2" t="b">
        <f>IFERROR(__xludf.DUMMYFUNCTION("IF(AND(REGEXMATCH($G$4, ""cd""),M818),N817+J818)"),FALSE)</f>
        <v>0</v>
      </c>
      <c r="O818" s="2" t="str">
        <f t="shared" si="5"/>
        <v>#N/A</v>
      </c>
    </row>
    <row r="819">
      <c r="A819" s="1" t="s">
        <v>460</v>
      </c>
      <c r="B819" s="2" t="str">
        <f t="shared" si="1"/>
        <v>dir lmp</v>
      </c>
      <c r="C819" s="2" t="str">
        <f>IFERROR(__xludf.DUMMYFUNCTION("SPLIT(B819,"" "")"),"dir")</f>
        <v>dir</v>
      </c>
      <c r="D819" s="2" t="str">
        <f>IFERROR(__xludf.DUMMYFUNCTION("""COMPUTED_VALUE"""),"lmp")</f>
        <v>lmp</v>
      </c>
      <c r="E819" s="2" t="str">
        <f t="shared" si="2"/>
        <v>#VALUE!</v>
      </c>
      <c r="F819" s="2" t="str">
        <f>IFERROR(__xludf.DUMMYFUNCTION("SPLIT(E819,"" "")"),"#VALUE!")</f>
        <v>#VALUE!</v>
      </c>
      <c r="I819" s="2" t="str">
        <f t="shared" si="3"/>
        <v>#VALUE!</v>
      </c>
      <c r="J819" s="2" t="str">
        <f>IFERROR(__xludf.DUMMYFUNCTION("SPLIT(I819,"" "")"),"#VALUE!")</f>
        <v>#VALUE!</v>
      </c>
      <c r="M819" s="2" t="b">
        <f t="shared" si="4"/>
        <v>0</v>
      </c>
      <c r="N819" s="2" t="b">
        <f>IFERROR(__xludf.DUMMYFUNCTION("IF(AND(REGEXMATCH($G$4, ""cd""),M819),N818+J819)"),FALSE)</f>
        <v>0</v>
      </c>
      <c r="O819" s="2" t="str">
        <f t="shared" si="5"/>
        <v>#N/A</v>
      </c>
    </row>
    <row r="820">
      <c r="A820" s="1" t="s">
        <v>461</v>
      </c>
      <c r="B820" s="2" t="str">
        <f t="shared" si="1"/>
        <v>#VALUE!</v>
      </c>
      <c r="C820" s="2" t="str">
        <f>IFERROR(__xludf.DUMMYFUNCTION("SPLIT(B820,"" "")"),"#VALUE!")</f>
        <v>#VALUE!</v>
      </c>
      <c r="E820" s="2" t="str">
        <f t="shared" si="2"/>
        <v>250495 mpq.cdn</v>
      </c>
      <c r="F820" s="2">
        <f>IFERROR(__xludf.DUMMYFUNCTION("SPLIT(E820,"" "")"),250495.0)</f>
        <v>250495</v>
      </c>
      <c r="G820" s="2" t="str">
        <f>IFERROR(__xludf.DUMMYFUNCTION("""COMPUTED_VALUE"""),"mpq.cdn")</f>
        <v>mpq.cdn</v>
      </c>
      <c r="I820" s="2" t="str">
        <f t="shared" si="3"/>
        <v>250495 mpq.cdn</v>
      </c>
      <c r="J820" s="2">
        <f>IFERROR(__xludf.DUMMYFUNCTION("SPLIT(I820,"" "")"),250495.0)</f>
        <v>250495</v>
      </c>
      <c r="K820" s="2" t="str">
        <f>IFERROR(__xludf.DUMMYFUNCTION("""COMPUTED_VALUE"""),"mpq.cdn")</f>
        <v>mpq.cdn</v>
      </c>
      <c r="M820" s="2" t="b">
        <f t="shared" si="4"/>
        <v>1</v>
      </c>
      <c r="N820" s="2">
        <f>IFERROR(__xludf.DUMMYFUNCTION("IF(AND(REGEXMATCH($G$4, ""cd""),M820),N819+J820)"),250495.0)</f>
        <v>250495</v>
      </c>
      <c r="O820" s="2" t="str">
        <f t="shared" si="5"/>
        <v>#N/A</v>
      </c>
    </row>
    <row r="821">
      <c r="A821" s="1" t="s">
        <v>39</v>
      </c>
      <c r="B821" s="2" t="str">
        <f t="shared" si="1"/>
        <v>dir slzdbm</v>
      </c>
      <c r="C821" s="2" t="str">
        <f>IFERROR(__xludf.DUMMYFUNCTION("SPLIT(B821,"" "")"),"dir")</f>
        <v>dir</v>
      </c>
      <c r="D821" s="2" t="str">
        <f>IFERROR(__xludf.DUMMYFUNCTION("""COMPUTED_VALUE"""),"slzdbm")</f>
        <v>slzdbm</v>
      </c>
      <c r="E821" s="2" t="str">
        <f t="shared" si="2"/>
        <v>#VALUE!</v>
      </c>
      <c r="F821" s="2" t="str">
        <f>IFERROR(__xludf.DUMMYFUNCTION("SPLIT(E821,"" "")"),"#VALUE!")</f>
        <v>#VALUE!</v>
      </c>
      <c r="I821" s="2" t="str">
        <f t="shared" si="3"/>
        <v>#VALUE!</v>
      </c>
      <c r="J821" s="2" t="str">
        <f>IFERROR(__xludf.DUMMYFUNCTION("SPLIT(I821,"" "")"),"#VALUE!")</f>
        <v>#VALUE!</v>
      </c>
      <c r="M821" s="2" t="b">
        <f t="shared" si="4"/>
        <v>0</v>
      </c>
      <c r="N821" s="2" t="b">
        <f>IFERROR(__xludf.DUMMYFUNCTION("IF(AND(REGEXMATCH($G$4, ""cd""),M821),N820+J821)"),FALSE)</f>
        <v>0</v>
      </c>
      <c r="O821" s="2" t="str">
        <f t="shared" si="5"/>
        <v>#N/A</v>
      </c>
    </row>
    <row r="822">
      <c r="A822" s="1" t="s">
        <v>462</v>
      </c>
      <c r="B822" s="2" t="str">
        <f t="shared" si="1"/>
        <v>#VALUE!</v>
      </c>
      <c r="C822" s="2" t="str">
        <f>IFERROR(__xludf.DUMMYFUNCTION("SPLIT(B822,"" "")"),"#VALUE!")</f>
        <v>#VALUE!</v>
      </c>
      <c r="E822" s="2" t="str">
        <f t="shared" si="2"/>
        <v>#VALUE!</v>
      </c>
      <c r="F822" s="2" t="str">
        <f>IFERROR(__xludf.DUMMYFUNCTION("SPLIT(E822,"" "")"),"#VALUE!")</f>
        <v>#VALUE!</v>
      </c>
      <c r="I822" s="2" t="str">
        <f t="shared" si="3"/>
        <v>#VALUE!</v>
      </c>
      <c r="J822" s="2" t="str">
        <f>IFERROR(__xludf.DUMMYFUNCTION("SPLIT(I822,"" "")"),"#VALUE!")</f>
        <v>#VALUE!</v>
      </c>
      <c r="M822" s="2" t="b">
        <f t="shared" si="4"/>
        <v>0</v>
      </c>
      <c r="N822" s="2" t="b">
        <f>IFERROR(__xludf.DUMMYFUNCTION("IF(AND(REGEXMATCH($G$4, ""cd""),M822),N821+J822)"),FALSE)</f>
        <v>0</v>
      </c>
      <c r="O822" s="2" t="str">
        <f t="shared" si="5"/>
        <v>#N/A</v>
      </c>
    </row>
    <row r="823">
      <c r="A823" s="1" t="s">
        <v>463</v>
      </c>
      <c r="B823" s="2" t="str">
        <f t="shared" si="1"/>
        <v>dir tzth</v>
      </c>
      <c r="C823" s="2" t="str">
        <f>IFERROR(__xludf.DUMMYFUNCTION("SPLIT(B823,"" "")"),"dir")</f>
        <v>dir</v>
      </c>
      <c r="D823" s="2" t="str">
        <f>IFERROR(__xludf.DUMMYFUNCTION("""COMPUTED_VALUE"""),"tzth")</f>
        <v>tzth</v>
      </c>
      <c r="E823" s="2" t="str">
        <f t="shared" si="2"/>
        <v>#VALUE!</v>
      </c>
      <c r="F823" s="2" t="str">
        <f>IFERROR(__xludf.DUMMYFUNCTION("SPLIT(E823,"" "")"),"#VALUE!")</f>
        <v>#VALUE!</v>
      </c>
      <c r="I823" s="2" t="str">
        <f t="shared" si="3"/>
        <v>#VALUE!</v>
      </c>
      <c r="J823" s="2" t="str">
        <f>IFERROR(__xludf.DUMMYFUNCTION("SPLIT(I823,"" "")"),"#VALUE!")</f>
        <v>#VALUE!</v>
      </c>
      <c r="M823" s="2" t="b">
        <f t="shared" si="4"/>
        <v>0</v>
      </c>
      <c r="N823" s="2" t="b">
        <f>IFERROR(__xludf.DUMMYFUNCTION("IF(AND(REGEXMATCH($G$4, ""cd""),M823),N822+J823)"),FALSE)</f>
        <v>0</v>
      </c>
      <c r="O823" s="2" t="str">
        <f t="shared" si="5"/>
        <v>#N/A</v>
      </c>
    </row>
    <row r="824">
      <c r="A824" s="1" t="s">
        <v>464</v>
      </c>
      <c r="B824" s="2" t="str">
        <f t="shared" si="1"/>
        <v>#VALUE!</v>
      </c>
      <c r="C824" s="2" t="str">
        <f>IFERROR(__xludf.DUMMYFUNCTION("SPLIT(B824,"" "")"),"#VALUE!")</f>
        <v>#VALUE!</v>
      </c>
      <c r="E824" s="2" t="str">
        <f t="shared" si="2"/>
        <v>$ cd lmp</v>
      </c>
      <c r="F824" s="2" t="str">
        <f>IFERROR(__xludf.DUMMYFUNCTION("SPLIT(E824,"" "")"),"$")</f>
        <v>$</v>
      </c>
      <c r="G824" s="2" t="str">
        <f>IFERROR(__xludf.DUMMYFUNCTION("""COMPUTED_VALUE"""),"cd")</f>
        <v>cd</v>
      </c>
      <c r="H824" s="2" t="str">
        <f>IFERROR(__xludf.DUMMYFUNCTION("""COMPUTED_VALUE"""),"lmp")</f>
        <v>lmp</v>
      </c>
      <c r="I824" s="2" t="str">
        <f t="shared" si="3"/>
        <v>#VALUE!</v>
      </c>
      <c r="J824" s="2" t="str">
        <f>IFERROR(__xludf.DUMMYFUNCTION("SPLIT(I824,"" "")"),"#VALUE!")</f>
        <v>#VALUE!</v>
      </c>
      <c r="M824" s="2" t="b">
        <f t="shared" si="4"/>
        <v>0</v>
      </c>
      <c r="N824" s="2" t="b">
        <f>IFERROR(__xludf.DUMMYFUNCTION("IF(AND(REGEXMATCH($G$4, ""cd""),M824),N823+J824)"),FALSE)</f>
        <v>0</v>
      </c>
      <c r="O824" s="2" t="str">
        <f t="shared" si="5"/>
        <v>#N/A</v>
      </c>
    </row>
    <row r="825">
      <c r="A825" s="1" t="s">
        <v>2</v>
      </c>
      <c r="B825" s="2" t="str">
        <f t="shared" si="1"/>
        <v>#VALUE!</v>
      </c>
      <c r="C825" s="2" t="str">
        <f>IFERROR(__xludf.DUMMYFUNCTION("SPLIT(B825,"" "")"),"#VALUE!")</f>
        <v>#VALUE!</v>
      </c>
      <c r="E825" s="2" t="str">
        <f t="shared" si="2"/>
        <v>#VALUE!</v>
      </c>
      <c r="F825" s="2" t="str">
        <f>IFERROR(__xludf.DUMMYFUNCTION("SPLIT(E825,"" "")"),"#VALUE!")</f>
        <v>#VALUE!</v>
      </c>
      <c r="I825" s="2" t="str">
        <f t="shared" si="3"/>
        <v>#VALUE!</v>
      </c>
      <c r="J825" s="2" t="str">
        <f>IFERROR(__xludf.DUMMYFUNCTION("SPLIT(I825,"" "")"),"#VALUE!")</f>
        <v>#VALUE!</v>
      </c>
      <c r="M825" s="2" t="b">
        <f t="shared" si="4"/>
        <v>0</v>
      </c>
      <c r="N825" s="2" t="b">
        <f>IFERROR(__xludf.DUMMYFUNCTION("IF(AND(REGEXMATCH($G$4, ""cd""),M825),N824+J825)"),FALSE)</f>
        <v>0</v>
      </c>
      <c r="O825" s="2" t="str">
        <f t="shared" si="5"/>
        <v>#N/A</v>
      </c>
    </row>
    <row r="826">
      <c r="A826" s="1" t="s">
        <v>4</v>
      </c>
      <c r="B826" s="2" t="str">
        <f t="shared" si="1"/>
        <v>dir jnwr</v>
      </c>
      <c r="C826" s="2" t="str">
        <f>IFERROR(__xludf.DUMMYFUNCTION("SPLIT(B826,"" "")"),"dir")</f>
        <v>dir</v>
      </c>
      <c r="D826" s="2" t="str">
        <f>IFERROR(__xludf.DUMMYFUNCTION("""COMPUTED_VALUE"""),"jnwr")</f>
        <v>jnwr</v>
      </c>
      <c r="E826" s="2" t="str">
        <f t="shared" si="2"/>
        <v>#VALUE!</v>
      </c>
      <c r="F826" s="2" t="str">
        <f>IFERROR(__xludf.DUMMYFUNCTION("SPLIT(E826,"" "")"),"#VALUE!")</f>
        <v>#VALUE!</v>
      </c>
      <c r="I826" s="2" t="str">
        <f t="shared" si="3"/>
        <v>#VALUE!</v>
      </c>
      <c r="J826" s="2" t="str">
        <f>IFERROR(__xludf.DUMMYFUNCTION("SPLIT(I826,"" "")"),"#VALUE!")</f>
        <v>#VALUE!</v>
      </c>
      <c r="M826" s="2" t="b">
        <f t="shared" si="4"/>
        <v>0</v>
      </c>
      <c r="N826" s="2" t="b">
        <f>IFERROR(__xludf.DUMMYFUNCTION("IF(AND(REGEXMATCH($G$4, ""cd""),M826),N825+J826)"),FALSE)</f>
        <v>0</v>
      </c>
      <c r="O826" s="2" t="str">
        <f t="shared" si="5"/>
        <v>#N/A</v>
      </c>
    </row>
    <row r="827">
      <c r="A827" s="1" t="s">
        <v>20</v>
      </c>
      <c r="B827" s="2" t="str">
        <f t="shared" si="1"/>
        <v>#VALUE!</v>
      </c>
      <c r="C827" s="2" t="str">
        <f>IFERROR(__xludf.DUMMYFUNCTION("SPLIT(B827,"" "")"),"#VALUE!")</f>
        <v>#VALUE!</v>
      </c>
      <c r="E827" s="2" t="str">
        <f t="shared" si="2"/>
        <v>$ cd jnwr</v>
      </c>
      <c r="F827" s="2" t="str">
        <f>IFERROR(__xludf.DUMMYFUNCTION("SPLIT(E827,"" "")"),"$")</f>
        <v>$</v>
      </c>
      <c r="G827" s="2" t="str">
        <f>IFERROR(__xludf.DUMMYFUNCTION("""COMPUTED_VALUE"""),"cd")</f>
        <v>cd</v>
      </c>
      <c r="H827" s="2" t="str">
        <f>IFERROR(__xludf.DUMMYFUNCTION("""COMPUTED_VALUE"""),"jnwr")</f>
        <v>jnwr</v>
      </c>
      <c r="I827" s="2" t="str">
        <f t="shared" si="3"/>
        <v>#VALUE!</v>
      </c>
      <c r="J827" s="2" t="str">
        <f>IFERROR(__xludf.DUMMYFUNCTION("SPLIT(I827,"" "")"),"#VALUE!")</f>
        <v>#VALUE!</v>
      </c>
      <c r="M827" s="2" t="b">
        <f t="shared" si="4"/>
        <v>0</v>
      </c>
      <c r="N827" s="2" t="b">
        <f>IFERROR(__xludf.DUMMYFUNCTION("IF(AND(REGEXMATCH($G$4, ""cd""),M827),N826+J827)"),FALSE)</f>
        <v>0</v>
      </c>
      <c r="O827" s="2" t="str">
        <f t="shared" si="5"/>
        <v>#N/A</v>
      </c>
    </row>
    <row r="828">
      <c r="A828" s="1" t="s">
        <v>2</v>
      </c>
      <c r="B828" s="2" t="str">
        <f t="shared" si="1"/>
        <v>#VALUE!</v>
      </c>
      <c r="C828" s="2" t="str">
        <f>IFERROR(__xludf.DUMMYFUNCTION("SPLIT(B828,"" "")"),"#VALUE!")</f>
        <v>#VALUE!</v>
      </c>
      <c r="E828" s="2" t="str">
        <f t="shared" si="2"/>
        <v>#VALUE!</v>
      </c>
      <c r="F828" s="2" t="str">
        <f>IFERROR(__xludf.DUMMYFUNCTION("SPLIT(E828,"" "")"),"#VALUE!")</f>
        <v>#VALUE!</v>
      </c>
      <c r="I828" s="2" t="str">
        <f t="shared" si="3"/>
        <v>#VALUE!</v>
      </c>
      <c r="J828" s="2" t="str">
        <f>IFERROR(__xludf.DUMMYFUNCTION("SPLIT(I828,"" "")"),"#VALUE!")</f>
        <v>#VALUE!</v>
      </c>
      <c r="M828" s="2" t="b">
        <f t="shared" si="4"/>
        <v>0</v>
      </c>
      <c r="N828" s="2" t="b">
        <f>IFERROR(__xludf.DUMMYFUNCTION("IF(AND(REGEXMATCH($G$4, ""cd""),M828),N827+J828)"),FALSE)</f>
        <v>0</v>
      </c>
      <c r="O828" s="2" t="str">
        <f t="shared" si="5"/>
        <v>#N/A</v>
      </c>
    </row>
    <row r="829">
      <c r="A829" s="1" t="s">
        <v>465</v>
      </c>
      <c r="B829" s="2" t="str">
        <f t="shared" si="1"/>
        <v>#VALUE!</v>
      </c>
      <c r="C829" s="2" t="str">
        <f>IFERROR(__xludf.DUMMYFUNCTION("SPLIT(B829,"" "")"),"#VALUE!")</f>
        <v>#VALUE!</v>
      </c>
      <c r="E829" s="2" t="str">
        <f t="shared" si="2"/>
        <v>#VALUE!</v>
      </c>
      <c r="F829" s="2" t="str">
        <f>IFERROR(__xludf.DUMMYFUNCTION("SPLIT(E829,"" "")"),"#VALUE!")</f>
        <v>#VALUE!</v>
      </c>
      <c r="I829" s="2" t="str">
        <f t="shared" si="3"/>
        <v>284951 zcgrgff.slq</v>
      </c>
      <c r="J829" s="2">
        <f>IFERROR(__xludf.DUMMYFUNCTION("SPLIT(I829,"" "")"),284951.0)</f>
        <v>284951</v>
      </c>
      <c r="K829" s="2" t="str">
        <f>IFERROR(__xludf.DUMMYFUNCTION("""COMPUTED_VALUE"""),"zcgrgff.slq")</f>
        <v>zcgrgff.slq</v>
      </c>
      <c r="M829" s="2" t="b">
        <f t="shared" si="4"/>
        <v>1</v>
      </c>
      <c r="N829" s="2">
        <f>IFERROR(__xludf.DUMMYFUNCTION("IF(AND(REGEXMATCH($G$4, ""cd""),M829),N828+J829)"),284951.0)</f>
        <v>284951</v>
      </c>
      <c r="O829" s="2" t="str">
        <f t="shared" si="5"/>
        <v>#N/A</v>
      </c>
    </row>
    <row r="830">
      <c r="A830" s="1" t="s">
        <v>17</v>
      </c>
      <c r="B830" s="2" t="str">
        <f t="shared" si="1"/>
        <v>#VALUE!</v>
      </c>
      <c r="C830" s="2" t="str">
        <f>IFERROR(__xludf.DUMMYFUNCTION("SPLIT(B830,"" "")"),"#VALUE!")</f>
        <v>#VALUE!</v>
      </c>
      <c r="E830" s="2" t="str">
        <f t="shared" si="2"/>
        <v>$ cd ..</v>
      </c>
      <c r="F830" s="2" t="str">
        <f>IFERROR(__xludf.DUMMYFUNCTION("SPLIT(E830,"" "")"),"$")</f>
        <v>$</v>
      </c>
      <c r="G830" s="2" t="str">
        <f>IFERROR(__xludf.DUMMYFUNCTION("""COMPUTED_VALUE"""),"cd")</f>
        <v>cd</v>
      </c>
      <c r="H830" s="2" t="str">
        <f>IFERROR(__xludf.DUMMYFUNCTION("""COMPUTED_VALUE"""),"..")</f>
        <v>..</v>
      </c>
      <c r="I830" s="2" t="str">
        <f t="shared" si="3"/>
        <v>$ cd ..</v>
      </c>
      <c r="J830" s="2" t="str">
        <f>IFERROR(__xludf.DUMMYFUNCTION("SPLIT(I830,"" "")"),"$")</f>
        <v>$</v>
      </c>
      <c r="K830" s="2" t="str">
        <f>IFERROR(__xludf.DUMMYFUNCTION("""COMPUTED_VALUE"""),"cd")</f>
        <v>cd</v>
      </c>
      <c r="L830" s="2" t="str">
        <f>IFERROR(__xludf.DUMMYFUNCTION("""COMPUTED_VALUE"""),"..")</f>
        <v>..</v>
      </c>
      <c r="M830" s="2" t="b">
        <f t="shared" si="4"/>
        <v>0</v>
      </c>
      <c r="N830" s="2" t="b">
        <f>IFERROR(__xludf.DUMMYFUNCTION("IF(AND(REGEXMATCH($G$4, ""cd""),M830),N829+J830)"),FALSE)</f>
        <v>0</v>
      </c>
      <c r="O830" s="2" t="str">
        <f t="shared" si="5"/>
        <v>#N/A</v>
      </c>
    </row>
    <row r="831">
      <c r="A831" s="1" t="s">
        <v>17</v>
      </c>
      <c r="B831" s="2" t="str">
        <f t="shared" si="1"/>
        <v>#VALUE!</v>
      </c>
      <c r="C831" s="2" t="str">
        <f>IFERROR(__xludf.DUMMYFUNCTION("SPLIT(B831,"" "")"),"#VALUE!")</f>
        <v>#VALUE!</v>
      </c>
      <c r="E831" s="2" t="str">
        <f t="shared" si="2"/>
        <v>$ cd ..</v>
      </c>
      <c r="F831" s="2" t="str">
        <f>IFERROR(__xludf.DUMMYFUNCTION("SPLIT(E831,"" "")"),"$")</f>
        <v>$</v>
      </c>
      <c r="G831" s="2" t="str">
        <f>IFERROR(__xludf.DUMMYFUNCTION("""COMPUTED_VALUE"""),"cd")</f>
        <v>cd</v>
      </c>
      <c r="H831" s="2" t="str">
        <f>IFERROR(__xludf.DUMMYFUNCTION("""COMPUTED_VALUE"""),"..")</f>
        <v>..</v>
      </c>
      <c r="I831" s="2" t="str">
        <f t="shared" si="3"/>
        <v>$ cd ..</v>
      </c>
      <c r="J831" s="2" t="str">
        <f>IFERROR(__xludf.DUMMYFUNCTION("SPLIT(I831,"" "")"),"$")</f>
        <v>$</v>
      </c>
      <c r="K831" s="2" t="str">
        <f>IFERROR(__xludf.DUMMYFUNCTION("""COMPUTED_VALUE"""),"cd")</f>
        <v>cd</v>
      </c>
      <c r="L831" s="2" t="str">
        <f>IFERROR(__xludf.DUMMYFUNCTION("""COMPUTED_VALUE"""),"..")</f>
        <v>..</v>
      </c>
      <c r="M831" s="2" t="b">
        <f t="shared" si="4"/>
        <v>0</v>
      </c>
      <c r="N831" s="2" t="b">
        <f>IFERROR(__xludf.DUMMYFUNCTION("IF(AND(REGEXMATCH($G$4, ""cd""),M831),N830+J831)"),FALSE)</f>
        <v>0</v>
      </c>
      <c r="O831" s="2" t="str">
        <f t="shared" si="5"/>
        <v>#N/A</v>
      </c>
    </row>
    <row r="832">
      <c r="A832" s="1" t="s">
        <v>60</v>
      </c>
      <c r="B832" s="2" t="str">
        <f t="shared" si="1"/>
        <v>#VALUE!</v>
      </c>
      <c r="C832" s="2" t="str">
        <f>IFERROR(__xludf.DUMMYFUNCTION("SPLIT(B832,"" "")"),"#VALUE!")</f>
        <v>#VALUE!</v>
      </c>
      <c r="E832" s="2" t="str">
        <f t="shared" si="2"/>
        <v>$ cd slzdbm</v>
      </c>
      <c r="F832" s="2" t="str">
        <f>IFERROR(__xludf.DUMMYFUNCTION("SPLIT(E832,"" "")"),"$")</f>
        <v>$</v>
      </c>
      <c r="G832" s="2" t="str">
        <f>IFERROR(__xludf.DUMMYFUNCTION("""COMPUTED_VALUE"""),"cd")</f>
        <v>cd</v>
      </c>
      <c r="H832" s="2" t="str">
        <f>IFERROR(__xludf.DUMMYFUNCTION("""COMPUTED_VALUE"""),"slzdbm")</f>
        <v>slzdbm</v>
      </c>
      <c r="I832" s="2" t="str">
        <f t="shared" si="3"/>
        <v>#VALUE!</v>
      </c>
      <c r="J832" s="2" t="str">
        <f>IFERROR(__xludf.DUMMYFUNCTION("SPLIT(I832,"" "")"),"#VALUE!")</f>
        <v>#VALUE!</v>
      </c>
      <c r="M832" s="2" t="b">
        <f t="shared" si="4"/>
        <v>0</v>
      </c>
      <c r="N832" s="2" t="b">
        <f>IFERROR(__xludf.DUMMYFUNCTION("IF(AND(REGEXMATCH($G$4, ""cd""),M832),N831+J832)"),FALSE)</f>
        <v>0</v>
      </c>
      <c r="O832" s="2" t="str">
        <f t="shared" si="5"/>
        <v>#N/A</v>
      </c>
    </row>
    <row r="833">
      <c r="A833" s="1" t="s">
        <v>2</v>
      </c>
      <c r="B833" s="2" t="str">
        <f t="shared" si="1"/>
        <v>#VALUE!</v>
      </c>
      <c r="C833" s="2" t="str">
        <f>IFERROR(__xludf.DUMMYFUNCTION("SPLIT(B833,"" "")"),"#VALUE!")</f>
        <v>#VALUE!</v>
      </c>
      <c r="E833" s="2" t="str">
        <f t="shared" si="2"/>
        <v>#VALUE!</v>
      </c>
      <c r="F833" s="2" t="str">
        <f>IFERROR(__xludf.DUMMYFUNCTION("SPLIT(E833,"" "")"),"#VALUE!")</f>
        <v>#VALUE!</v>
      </c>
      <c r="I833" s="2" t="str">
        <f t="shared" si="3"/>
        <v>#VALUE!</v>
      </c>
      <c r="J833" s="2" t="str">
        <f>IFERROR(__xludf.DUMMYFUNCTION("SPLIT(I833,"" "")"),"#VALUE!")</f>
        <v>#VALUE!</v>
      </c>
      <c r="M833" s="2" t="b">
        <f t="shared" si="4"/>
        <v>0</v>
      </c>
      <c r="N833" s="2" t="b">
        <f>IFERROR(__xludf.DUMMYFUNCTION("IF(AND(REGEXMATCH($G$4, ""cd""),M833),N832+J833)"),FALSE)</f>
        <v>0</v>
      </c>
      <c r="O833" s="2" t="str">
        <f t="shared" si="5"/>
        <v>#N/A</v>
      </c>
    </row>
    <row r="834">
      <c r="A834" s="1" t="s">
        <v>466</v>
      </c>
      <c r="B834" s="2" t="str">
        <f t="shared" si="1"/>
        <v>#VALUE!</v>
      </c>
      <c r="C834" s="2" t="str">
        <f>IFERROR(__xludf.DUMMYFUNCTION("SPLIT(B834,"" "")"),"#VALUE!")</f>
        <v>#VALUE!</v>
      </c>
      <c r="E834" s="2" t="str">
        <f t="shared" si="2"/>
        <v>#VALUE!</v>
      </c>
      <c r="F834" s="2" t="str">
        <f>IFERROR(__xludf.DUMMYFUNCTION("SPLIT(E834,"" "")"),"#VALUE!")</f>
        <v>#VALUE!</v>
      </c>
      <c r="I834" s="2" t="str">
        <f t="shared" si="3"/>
        <v>266715 hzbq.plc</v>
      </c>
      <c r="J834" s="2">
        <f>IFERROR(__xludf.DUMMYFUNCTION("SPLIT(I834,"" "")"),266715.0)</f>
        <v>266715</v>
      </c>
      <c r="K834" s="2" t="str">
        <f>IFERROR(__xludf.DUMMYFUNCTION("""COMPUTED_VALUE"""),"hzbq.plc")</f>
        <v>hzbq.plc</v>
      </c>
      <c r="M834" s="2" t="b">
        <f t="shared" si="4"/>
        <v>1</v>
      </c>
      <c r="N834" s="2">
        <f>IFERROR(__xludf.DUMMYFUNCTION("IF(AND(REGEXMATCH($G$4, ""cd""),M834),N833+J834)"),266715.0)</f>
        <v>266715</v>
      </c>
      <c r="O834" s="2" t="str">
        <f t="shared" si="5"/>
        <v>#N/A</v>
      </c>
    </row>
    <row r="835">
      <c r="A835" s="1" t="s">
        <v>4</v>
      </c>
      <c r="B835" s="2" t="str">
        <f t="shared" si="1"/>
        <v>dir jnwr</v>
      </c>
      <c r="C835" s="2" t="str">
        <f>IFERROR(__xludf.DUMMYFUNCTION("SPLIT(B835,"" "")"),"dir")</f>
        <v>dir</v>
      </c>
      <c r="D835" s="2" t="str">
        <f>IFERROR(__xludf.DUMMYFUNCTION("""COMPUTED_VALUE"""),"jnwr")</f>
        <v>jnwr</v>
      </c>
      <c r="E835" s="2" t="str">
        <f t="shared" si="2"/>
        <v>#VALUE!</v>
      </c>
      <c r="F835" s="2" t="str">
        <f>IFERROR(__xludf.DUMMYFUNCTION("SPLIT(E835,"" "")"),"#VALUE!")</f>
        <v>#VALUE!</v>
      </c>
      <c r="I835" s="2" t="str">
        <f t="shared" si="3"/>
        <v>#VALUE!</v>
      </c>
      <c r="J835" s="2" t="str">
        <f>IFERROR(__xludf.DUMMYFUNCTION("SPLIT(I835,"" "")"),"#VALUE!")</f>
        <v>#VALUE!</v>
      </c>
      <c r="M835" s="2" t="b">
        <f t="shared" si="4"/>
        <v>0</v>
      </c>
      <c r="N835" s="2" t="b">
        <f>IFERROR(__xludf.DUMMYFUNCTION("IF(AND(REGEXMATCH($G$4, ""cd""),M835),N834+J835)"),FALSE)</f>
        <v>0</v>
      </c>
      <c r="O835" s="2" t="str">
        <f t="shared" si="5"/>
        <v>#N/A</v>
      </c>
    </row>
    <row r="836">
      <c r="A836" s="1" t="s">
        <v>467</v>
      </c>
      <c r="B836" s="2" t="str">
        <f t="shared" si="1"/>
        <v>#VALUE!</v>
      </c>
      <c r="C836" s="2" t="str">
        <f>IFERROR(__xludf.DUMMYFUNCTION("SPLIT(B836,"" "")"),"#VALUE!")</f>
        <v>#VALUE!</v>
      </c>
      <c r="E836" s="2" t="str">
        <f t="shared" si="2"/>
        <v>#VALUE!</v>
      </c>
      <c r="F836" s="2" t="str">
        <f>IFERROR(__xludf.DUMMYFUNCTION("SPLIT(E836,"" "")"),"#VALUE!")</f>
        <v>#VALUE!</v>
      </c>
      <c r="I836" s="2" t="str">
        <f t="shared" si="3"/>
        <v>11379 mzsfcvgv.rbw</v>
      </c>
      <c r="J836" s="2">
        <f>IFERROR(__xludf.DUMMYFUNCTION("SPLIT(I836,"" "")"),11379.0)</f>
        <v>11379</v>
      </c>
      <c r="K836" s="2" t="str">
        <f>IFERROR(__xludf.DUMMYFUNCTION("""COMPUTED_VALUE"""),"mzsfcvgv.rbw")</f>
        <v>mzsfcvgv.rbw</v>
      </c>
      <c r="M836" s="2" t="b">
        <f t="shared" si="4"/>
        <v>1</v>
      </c>
      <c r="N836" s="2">
        <f>IFERROR(__xludf.DUMMYFUNCTION("IF(AND(REGEXMATCH($G$4, ""cd""),M836),N835+J836)"),11379.0)</f>
        <v>11379</v>
      </c>
      <c r="O836" s="2" t="str">
        <f t="shared" si="5"/>
        <v>#N/A</v>
      </c>
    </row>
    <row r="837">
      <c r="A837" s="1" t="s">
        <v>39</v>
      </c>
      <c r="B837" s="2" t="str">
        <f t="shared" si="1"/>
        <v>dir slzdbm</v>
      </c>
      <c r="C837" s="2" t="str">
        <f>IFERROR(__xludf.DUMMYFUNCTION("SPLIT(B837,"" "")"),"dir")</f>
        <v>dir</v>
      </c>
      <c r="D837" s="2" t="str">
        <f>IFERROR(__xludf.DUMMYFUNCTION("""COMPUTED_VALUE"""),"slzdbm")</f>
        <v>slzdbm</v>
      </c>
      <c r="E837" s="2" t="str">
        <f t="shared" si="2"/>
        <v>#VALUE!</v>
      </c>
      <c r="F837" s="2" t="str">
        <f>IFERROR(__xludf.DUMMYFUNCTION("SPLIT(E837,"" "")"),"#VALUE!")</f>
        <v>#VALUE!</v>
      </c>
      <c r="I837" s="2" t="str">
        <f t="shared" si="3"/>
        <v>#VALUE!</v>
      </c>
      <c r="J837" s="2" t="str">
        <f>IFERROR(__xludf.DUMMYFUNCTION("SPLIT(I837,"" "")"),"#VALUE!")</f>
        <v>#VALUE!</v>
      </c>
      <c r="M837" s="2" t="b">
        <f t="shared" si="4"/>
        <v>0</v>
      </c>
      <c r="N837" s="2" t="b">
        <f>IFERROR(__xludf.DUMMYFUNCTION("IF(AND(REGEXMATCH($G$4, ""cd""),M837),N836+J837)"),FALSE)</f>
        <v>0</v>
      </c>
      <c r="O837" s="2" t="str">
        <f t="shared" si="5"/>
        <v>#N/A</v>
      </c>
    </row>
    <row r="838">
      <c r="A838" s="1" t="s">
        <v>20</v>
      </c>
      <c r="B838" s="2" t="str">
        <f t="shared" si="1"/>
        <v>#VALUE!</v>
      </c>
      <c r="C838" s="2" t="str">
        <f>IFERROR(__xludf.DUMMYFUNCTION("SPLIT(B838,"" "")"),"#VALUE!")</f>
        <v>#VALUE!</v>
      </c>
      <c r="E838" s="2" t="str">
        <f t="shared" si="2"/>
        <v>$ cd jnwr</v>
      </c>
      <c r="F838" s="2" t="str">
        <f>IFERROR(__xludf.DUMMYFUNCTION("SPLIT(E838,"" "")"),"$")</f>
        <v>$</v>
      </c>
      <c r="G838" s="2" t="str">
        <f>IFERROR(__xludf.DUMMYFUNCTION("""COMPUTED_VALUE"""),"cd")</f>
        <v>cd</v>
      </c>
      <c r="H838" s="2" t="str">
        <f>IFERROR(__xludf.DUMMYFUNCTION("""COMPUTED_VALUE"""),"jnwr")</f>
        <v>jnwr</v>
      </c>
      <c r="I838" s="2" t="str">
        <f t="shared" si="3"/>
        <v>#VALUE!</v>
      </c>
      <c r="J838" s="2" t="str">
        <f>IFERROR(__xludf.DUMMYFUNCTION("SPLIT(I838,"" "")"),"#VALUE!")</f>
        <v>#VALUE!</v>
      </c>
      <c r="M838" s="2" t="b">
        <f t="shared" si="4"/>
        <v>0</v>
      </c>
      <c r="N838" s="2" t="b">
        <f>IFERROR(__xludf.DUMMYFUNCTION("IF(AND(REGEXMATCH($G$4, ""cd""),M838),N837+J838)"),FALSE)</f>
        <v>0</v>
      </c>
      <c r="O838" s="2" t="str">
        <f t="shared" si="5"/>
        <v>#N/A</v>
      </c>
    </row>
    <row r="839">
      <c r="A839" s="1" t="s">
        <v>2</v>
      </c>
      <c r="B839" s="2" t="str">
        <f t="shared" si="1"/>
        <v>#VALUE!</v>
      </c>
      <c r="C839" s="2" t="str">
        <f>IFERROR(__xludf.DUMMYFUNCTION("SPLIT(B839,"" "")"),"#VALUE!")</f>
        <v>#VALUE!</v>
      </c>
      <c r="E839" s="2" t="str">
        <f t="shared" si="2"/>
        <v>#VALUE!</v>
      </c>
      <c r="F839" s="2" t="str">
        <f>IFERROR(__xludf.DUMMYFUNCTION("SPLIT(E839,"" "")"),"#VALUE!")</f>
        <v>#VALUE!</v>
      </c>
      <c r="I839" s="2" t="str">
        <f t="shared" si="3"/>
        <v>#VALUE!</v>
      </c>
      <c r="J839" s="2" t="str">
        <f>IFERROR(__xludf.DUMMYFUNCTION("SPLIT(I839,"" "")"),"#VALUE!")</f>
        <v>#VALUE!</v>
      </c>
      <c r="M839" s="2" t="b">
        <f t="shared" si="4"/>
        <v>0</v>
      </c>
      <c r="N839" s="2" t="b">
        <f>IFERROR(__xludf.DUMMYFUNCTION("IF(AND(REGEXMATCH($G$4, ""cd""),M839),N838+J839)"),FALSE)</f>
        <v>0</v>
      </c>
      <c r="O839" s="2" t="str">
        <f t="shared" si="5"/>
        <v>#N/A</v>
      </c>
    </row>
    <row r="840">
      <c r="A840" s="1" t="s">
        <v>468</v>
      </c>
      <c r="B840" s="2" t="str">
        <f t="shared" si="1"/>
        <v>#VALUE!</v>
      </c>
      <c r="C840" s="2" t="str">
        <f>IFERROR(__xludf.DUMMYFUNCTION("SPLIT(B840,"" "")"),"#VALUE!")</f>
        <v>#VALUE!</v>
      </c>
      <c r="E840" s="2" t="str">
        <f t="shared" si="2"/>
        <v>108636 mpq.cdn</v>
      </c>
      <c r="F840" s="2">
        <f>IFERROR(__xludf.DUMMYFUNCTION("SPLIT(E840,"" "")"),108636.0)</f>
        <v>108636</v>
      </c>
      <c r="G840" s="2" t="str">
        <f>IFERROR(__xludf.DUMMYFUNCTION("""COMPUTED_VALUE"""),"mpq.cdn")</f>
        <v>mpq.cdn</v>
      </c>
      <c r="I840" s="2" t="str">
        <f t="shared" si="3"/>
        <v>108636 mpq.cdn</v>
      </c>
      <c r="J840" s="2">
        <f>IFERROR(__xludf.DUMMYFUNCTION("SPLIT(I840,"" "")"),108636.0)</f>
        <v>108636</v>
      </c>
      <c r="K840" s="2" t="str">
        <f>IFERROR(__xludf.DUMMYFUNCTION("""COMPUTED_VALUE"""),"mpq.cdn")</f>
        <v>mpq.cdn</v>
      </c>
      <c r="M840" s="2" t="b">
        <f t="shared" si="4"/>
        <v>1</v>
      </c>
      <c r="N840" s="2">
        <f>IFERROR(__xludf.DUMMYFUNCTION("IF(AND(REGEXMATCH($G$4, ""cd""),M840),N839+J840)"),108636.0)</f>
        <v>108636</v>
      </c>
      <c r="O840" s="2" t="str">
        <f t="shared" si="5"/>
        <v>#N/A</v>
      </c>
    </row>
    <row r="841">
      <c r="A841" s="1" t="s">
        <v>469</v>
      </c>
      <c r="B841" s="2" t="str">
        <f t="shared" si="1"/>
        <v>#VALUE!</v>
      </c>
      <c r="C841" s="2" t="str">
        <f>IFERROR(__xludf.DUMMYFUNCTION("SPLIT(B841,"" "")"),"#VALUE!")</f>
        <v>#VALUE!</v>
      </c>
      <c r="E841" s="2" t="str">
        <f t="shared" si="2"/>
        <v>#VALUE!</v>
      </c>
      <c r="F841" s="2" t="str">
        <f>IFERROR(__xludf.DUMMYFUNCTION("SPLIT(E841,"" "")"),"#VALUE!")</f>
        <v>#VALUE!</v>
      </c>
      <c r="I841" s="2" t="str">
        <f t="shared" si="3"/>
        <v>324035 zzvmlrj.rrl</v>
      </c>
      <c r="J841" s="2">
        <f>IFERROR(__xludf.DUMMYFUNCTION("SPLIT(I841,"" "")"),324035.0)</f>
        <v>324035</v>
      </c>
      <c r="K841" s="2" t="str">
        <f>IFERROR(__xludf.DUMMYFUNCTION("""COMPUTED_VALUE"""),"zzvmlrj.rrl")</f>
        <v>zzvmlrj.rrl</v>
      </c>
      <c r="M841" s="2" t="b">
        <f t="shared" si="4"/>
        <v>1</v>
      </c>
      <c r="N841" s="2">
        <f>IFERROR(__xludf.DUMMYFUNCTION("IF(AND(REGEXMATCH($G$4, ""cd""),M841),N840+J841)"),432671.0)</f>
        <v>432671</v>
      </c>
      <c r="O841" s="2" t="str">
        <f t="shared" si="5"/>
        <v>#N/A</v>
      </c>
    </row>
    <row r="842">
      <c r="A842" s="1" t="s">
        <v>17</v>
      </c>
      <c r="B842" s="2" t="str">
        <f t="shared" si="1"/>
        <v>#VALUE!</v>
      </c>
      <c r="C842" s="2" t="str">
        <f>IFERROR(__xludf.DUMMYFUNCTION("SPLIT(B842,"" "")"),"#VALUE!")</f>
        <v>#VALUE!</v>
      </c>
      <c r="E842" s="2" t="str">
        <f t="shared" si="2"/>
        <v>$ cd ..</v>
      </c>
      <c r="F842" s="2" t="str">
        <f>IFERROR(__xludf.DUMMYFUNCTION("SPLIT(E842,"" "")"),"$")</f>
        <v>$</v>
      </c>
      <c r="G842" s="2" t="str">
        <f>IFERROR(__xludf.DUMMYFUNCTION("""COMPUTED_VALUE"""),"cd")</f>
        <v>cd</v>
      </c>
      <c r="H842" s="2" t="str">
        <f>IFERROR(__xludf.DUMMYFUNCTION("""COMPUTED_VALUE"""),"..")</f>
        <v>..</v>
      </c>
      <c r="I842" s="2" t="str">
        <f t="shared" si="3"/>
        <v>$ cd ..</v>
      </c>
      <c r="J842" s="2" t="str">
        <f>IFERROR(__xludf.DUMMYFUNCTION("SPLIT(I842,"" "")"),"$")</f>
        <v>$</v>
      </c>
      <c r="K842" s="2" t="str">
        <f>IFERROR(__xludf.DUMMYFUNCTION("""COMPUTED_VALUE"""),"cd")</f>
        <v>cd</v>
      </c>
      <c r="L842" s="2" t="str">
        <f>IFERROR(__xludf.DUMMYFUNCTION("""COMPUTED_VALUE"""),"..")</f>
        <v>..</v>
      </c>
      <c r="M842" s="2" t="b">
        <f t="shared" si="4"/>
        <v>0</v>
      </c>
      <c r="N842" s="2" t="b">
        <f>IFERROR(__xludf.DUMMYFUNCTION("IF(AND(REGEXMATCH($G$4, ""cd""),M842),N841+J842)"),FALSE)</f>
        <v>0</v>
      </c>
      <c r="O842" s="2" t="str">
        <f t="shared" si="5"/>
        <v>#N/A</v>
      </c>
    </row>
    <row r="843">
      <c r="A843" s="1" t="s">
        <v>60</v>
      </c>
      <c r="B843" s="2" t="str">
        <f t="shared" si="1"/>
        <v>#VALUE!</v>
      </c>
      <c r="C843" s="2" t="str">
        <f>IFERROR(__xludf.DUMMYFUNCTION("SPLIT(B843,"" "")"),"#VALUE!")</f>
        <v>#VALUE!</v>
      </c>
      <c r="E843" s="2" t="str">
        <f t="shared" si="2"/>
        <v>$ cd slzdbm</v>
      </c>
      <c r="F843" s="2" t="str">
        <f>IFERROR(__xludf.DUMMYFUNCTION("SPLIT(E843,"" "")"),"$")</f>
        <v>$</v>
      </c>
      <c r="G843" s="2" t="str">
        <f>IFERROR(__xludf.DUMMYFUNCTION("""COMPUTED_VALUE"""),"cd")</f>
        <v>cd</v>
      </c>
      <c r="H843" s="2" t="str">
        <f>IFERROR(__xludf.DUMMYFUNCTION("""COMPUTED_VALUE"""),"slzdbm")</f>
        <v>slzdbm</v>
      </c>
      <c r="I843" s="2" t="str">
        <f t="shared" si="3"/>
        <v>#VALUE!</v>
      </c>
      <c r="J843" s="2" t="str">
        <f>IFERROR(__xludf.DUMMYFUNCTION("SPLIT(I843,"" "")"),"#VALUE!")</f>
        <v>#VALUE!</v>
      </c>
      <c r="M843" s="2" t="b">
        <f t="shared" si="4"/>
        <v>0</v>
      </c>
      <c r="N843" s="2" t="b">
        <f>IFERROR(__xludf.DUMMYFUNCTION("IF(AND(REGEXMATCH($G$4, ""cd""),M843),N842+J843)"),FALSE)</f>
        <v>0</v>
      </c>
      <c r="O843" s="2" t="str">
        <f t="shared" si="5"/>
        <v>#N/A</v>
      </c>
    </row>
    <row r="844">
      <c r="A844" s="1" t="s">
        <v>2</v>
      </c>
      <c r="B844" s="2" t="str">
        <f t="shared" si="1"/>
        <v>#VALUE!</v>
      </c>
      <c r="C844" s="2" t="str">
        <f>IFERROR(__xludf.DUMMYFUNCTION("SPLIT(B844,"" "")"),"#VALUE!")</f>
        <v>#VALUE!</v>
      </c>
      <c r="E844" s="2" t="str">
        <f t="shared" si="2"/>
        <v>#VALUE!</v>
      </c>
      <c r="F844" s="2" t="str">
        <f>IFERROR(__xludf.DUMMYFUNCTION("SPLIT(E844,"" "")"),"#VALUE!")</f>
        <v>#VALUE!</v>
      </c>
      <c r="I844" s="2" t="str">
        <f t="shared" si="3"/>
        <v>#VALUE!</v>
      </c>
      <c r="J844" s="2" t="str">
        <f>IFERROR(__xludf.DUMMYFUNCTION("SPLIT(I844,"" "")"),"#VALUE!")</f>
        <v>#VALUE!</v>
      </c>
      <c r="M844" s="2" t="b">
        <f t="shared" si="4"/>
        <v>0</v>
      </c>
      <c r="N844" s="2" t="b">
        <f>IFERROR(__xludf.DUMMYFUNCTION("IF(AND(REGEXMATCH($G$4, ""cd""),M844),N843+J844)"),FALSE)</f>
        <v>0</v>
      </c>
      <c r="O844" s="2" t="str">
        <f t="shared" si="5"/>
        <v>#N/A</v>
      </c>
    </row>
    <row r="845">
      <c r="A845" s="1" t="s">
        <v>470</v>
      </c>
      <c r="B845" s="2" t="str">
        <f t="shared" si="1"/>
        <v>#VALUE!</v>
      </c>
      <c r="C845" s="2" t="str">
        <f>IFERROR(__xludf.DUMMYFUNCTION("SPLIT(B845,"" "")"),"#VALUE!")</f>
        <v>#VALUE!</v>
      </c>
      <c r="E845" s="2" t="str">
        <f t="shared" si="2"/>
        <v>#VALUE!</v>
      </c>
      <c r="F845" s="2" t="str">
        <f>IFERROR(__xludf.DUMMYFUNCTION("SPLIT(E845,"" "")"),"#VALUE!")</f>
        <v>#VALUE!</v>
      </c>
      <c r="I845" s="2" t="str">
        <f t="shared" si="3"/>
        <v>68393 zbdp.gqb</v>
      </c>
      <c r="J845" s="2">
        <f>IFERROR(__xludf.DUMMYFUNCTION("SPLIT(I845,"" "")"),68393.0)</f>
        <v>68393</v>
      </c>
      <c r="K845" s="2" t="str">
        <f>IFERROR(__xludf.DUMMYFUNCTION("""COMPUTED_VALUE"""),"zbdp.gqb")</f>
        <v>zbdp.gqb</v>
      </c>
      <c r="M845" s="2" t="b">
        <f t="shared" si="4"/>
        <v>1</v>
      </c>
      <c r="N845" s="2">
        <f>IFERROR(__xludf.DUMMYFUNCTION("IF(AND(REGEXMATCH($G$4, ""cd""),M845),N844+J845)"),68393.0)</f>
        <v>68393</v>
      </c>
      <c r="O845" s="2" t="str">
        <f t="shared" si="5"/>
        <v>#N/A</v>
      </c>
    </row>
    <row r="846">
      <c r="A846" s="1" t="s">
        <v>17</v>
      </c>
      <c r="B846" s="2" t="str">
        <f t="shared" si="1"/>
        <v>#VALUE!</v>
      </c>
      <c r="C846" s="2" t="str">
        <f>IFERROR(__xludf.DUMMYFUNCTION("SPLIT(B846,"" "")"),"#VALUE!")</f>
        <v>#VALUE!</v>
      </c>
      <c r="E846" s="2" t="str">
        <f t="shared" si="2"/>
        <v>$ cd ..</v>
      </c>
      <c r="F846" s="2" t="str">
        <f>IFERROR(__xludf.DUMMYFUNCTION("SPLIT(E846,"" "")"),"$")</f>
        <v>$</v>
      </c>
      <c r="G846" s="2" t="str">
        <f>IFERROR(__xludf.DUMMYFUNCTION("""COMPUTED_VALUE"""),"cd")</f>
        <v>cd</v>
      </c>
      <c r="H846" s="2" t="str">
        <f>IFERROR(__xludf.DUMMYFUNCTION("""COMPUTED_VALUE"""),"..")</f>
        <v>..</v>
      </c>
      <c r="I846" s="2" t="str">
        <f t="shared" si="3"/>
        <v>$ cd ..</v>
      </c>
      <c r="J846" s="2" t="str">
        <f>IFERROR(__xludf.DUMMYFUNCTION("SPLIT(I846,"" "")"),"$")</f>
        <v>$</v>
      </c>
      <c r="K846" s="2" t="str">
        <f>IFERROR(__xludf.DUMMYFUNCTION("""COMPUTED_VALUE"""),"cd")</f>
        <v>cd</v>
      </c>
      <c r="L846" s="2" t="str">
        <f>IFERROR(__xludf.DUMMYFUNCTION("""COMPUTED_VALUE"""),"..")</f>
        <v>..</v>
      </c>
      <c r="M846" s="2" t="b">
        <f t="shared" si="4"/>
        <v>0</v>
      </c>
      <c r="N846" s="2" t="b">
        <f>IFERROR(__xludf.DUMMYFUNCTION("IF(AND(REGEXMATCH($G$4, ""cd""),M846),N845+J846)"),FALSE)</f>
        <v>0</v>
      </c>
      <c r="O846" s="2" t="str">
        <f t="shared" si="5"/>
        <v>#N/A</v>
      </c>
    </row>
    <row r="847">
      <c r="A847" s="1" t="s">
        <v>17</v>
      </c>
      <c r="B847" s="2" t="str">
        <f t="shared" si="1"/>
        <v>#VALUE!</v>
      </c>
      <c r="C847" s="2" t="str">
        <f>IFERROR(__xludf.DUMMYFUNCTION("SPLIT(B847,"" "")"),"#VALUE!")</f>
        <v>#VALUE!</v>
      </c>
      <c r="E847" s="2" t="str">
        <f t="shared" si="2"/>
        <v>$ cd ..</v>
      </c>
      <c r="F847" s="2" t="str">
        <f>IFERROR(__xludf.DUMMYFUNCTION("SPLIT(E847,"" "")"),"$")</f>
        <v>$</v>
      </c>
      <c r="G847" s="2" t="str">
        <f>IFERROR(__xludf.DUMMYFUNCTION("""COMPUTED_VALUE"""),"cd")</f>
        <v>cd</v>
      </c>
      <c r="H847" s="2" t="str">
        <f>IFERROR(__xludf.DUMMYFUNCTION("""COMPUTED_VALUE"""),"..")</f>
        <v>..</v>
      </c>
      <c r="I847" s="2" t="str">
        <f t="shared" si="3"/>
        <v>$ cd ..</v>
      </c>
      <c r="J847" s="2" t="str">
        <f>IFERROR(__xludf.DUMMYFUNCTION("SPLIT(I847,"" "")"),"$")</f>
        <v>$</v>
      </c>
      <c r="K847" s="2" t="str">
        <f>IFERROR(__xludf.DUMMYFUNCTION("""COMPUTED_VALUE"""),"cd")</f>
        <v>cd</v>
      </c>
      <c r="L847" s="2" t="str">
        <f>IFERROR(__xludf.DUMMYFUNCTION("""COMPUTED_VALUE"""),"..")</f>
        <v>..</v>
      </c>
      <c r="M847" s="2" t="b">
        <f t="shared" si="4"/>
        <v>0</v>
      </c>
      <c r="N847" s="2" t="b">
        <f>IFERROR(__xludf.DUMMYFUNCTION("IF(AND(REGEXMATCH($G$4, ""cd""),M847),N846+J847)"),FALSE)</f>
        <v>0</v>
      </c>
      <c r="O847" s="2" t="str">
        <f t="shared" si="5"/>
        <v>#N/A</v>
      </c>
    </row>
    <row r="848">
      <c r="A848" s="1" t="s">
        <v>471</v>
      </c>
      <c r="B848" s="2" t="str">
        <f t="shared" si="1"/>
        <v>#VALUE!</v>
      </c>
      <c r="C848" s="2" t="str">
        <f>IFERROR(__xludf.DUMMYFUNCTION("SPLIT(B848,"" "")"),"#VALUE!")</f>
        <v>#VALUE!</v>
      </c>
      <c r="E848" s="2" t="str">
        <f t="shared" si="2"/>
        <v>$ cd tzth</v>
      </c>
      <c r="F848" s="2" t="str">
        <f>IFERROR(__xludf.DUMMYFUNCTION("SPLIT(E848,"" "")"),"$")</f>
        <v>$</v>
      </c>
      <c r="G848" s="2" t="str">
        <f>IFERROR(__xludf.DUMMYFUNCTION("""COMPUTED_VALUE"""),"cd")</f>
        <v>cd</v>
      </c>
      <c r="H848" s="2" t="str">
        <f>IFERROR(__xludf.DUMMYFUNCTION("""COMPUTED_VALUE"""),"tzth")</f>
        <v>tzth</v>
      </c>
      <c r="I848" s="2" t="str">
        <f t="shared" si="3"/>
        <v>#VALUE!</v>
      </c>
      <c r="J848" s="2" t="str">
        <f>IFERROR(__xludf.DUMMYFUNCTION("SPLIT(I848,"" "")"),"#VALUE!")</f>
        <v>#VALUE!</v>
      </c>
      <c r="M848" s="2" t="b">
        <f t="shared" si="4"/>
        <v>0</v>
      </c>
      <c r="N848" s="2" t="b">
        <f>IFERROR(__xludf.DUMMYFUNCTION("IF(AND(REGEXMATCH($G$4, ""cd""),M848),N847+J848)"),FALSE)</f>
        <v>0</v>
      </c>
      <c r="O848" s="2" t="str">
        <f t="shared" si="5"/>
        <v>#N/A</v>
      </c>
    </row>
    <row r="849">
      <c r="A849" s="1" t="s">
        <v>2</v>
      </c>
      <c r="B849" s="2" t="str">
        <f t="shared" si="1"/>
        <v>#VALUE!</v>
      </c>
      <c r="C849" s="2" t="str">
        <f>IFERROR(__xludf.DUMMYFUNCTION("SPLIT(B849,"" "")"),"#VALUE!")</f>
        <v>#VALUE!</v>
      </c>
      <c r="E849" s="2" t="str">
        <f t="shared" si="2"/>
        <v>#VALUE!</v>
      </c>
      <c r="F849" s="2" t="str">
        <f>IFERROR(__xludf.DUMMYFUNCTION("SPLIT(E849,"" "")"),"#VALUE!")</f>
        <v>#VALUE!</v>
      </c>
      <c r="I849" s="2" t="str">
        <f t="shared" si="3"/>
        <v>#VALUE!</v>
      </c>
      <c r="J849" s="2" t="str">
        <f>IFERROR(__xludf.DUMMYFUNCTION("SPLIT(I849,"" "")"),"#VALUE!")</f>
        <v>#VALUE!</v>
      </c>
      <c r="M849" s="2" t="b">
        <f t="shared" si="4"/>
        <v>0</v>
      </c>
      <c r="N849" s="2" t="b">
        <f>IFERROR(__xludf.DUMMYFUNCTION("IF(AND(REGEXMATCH($G$4, ""cd""),M849),N848+J849)"),FALSE)</f>
        <v>0</v>
      </c>
      <c r="O849" s="2" t="str">
        <f t="shared" si="5"/>
        <v>#N/A</v>
      </c>
    </row>
    <row r="850">
      <c r="A850" s="1" t="s">
        <v>472</v>
      </c>
      <c r="B850" s="2" t="str">
        <f t="shared" si="1"/>
        <v>#VALUE!</v>
      </c>
      <c r="C850" s="2" t="str">
        <f>IFERROR(__xludf.DUMMYFUNCTION("SPLIT(B850,"" "")"),"#VALUE!")</f>
        <v>#VALUE!</v>
      </c>
      <c r="E850" s="2" t="str">
        <f t="shared" si="2"/>
        <v>#VALUE!</v>
      </c>
      <c r="F850" s="2" t="str">
        <f>IFERROR(__xludf.DUMMYFUNCTION("SPLIT(E850,"" "")"),"#VALUE!")</f>
        <v>#VALUE!</v>
      </c>
      <c r="I850" s="2" t="str">
        <f t="shared" si="3"/>
        <v>12884 hlvpfw.gwl</v>
      </c>
      <c r="J850" s="2">
        <f>IFERROR(__xludf.DUMMYFUNCTION("SPLIT(I850,"" "")"),12884.0)</f>
        <v>12884</v>
      </c>
      <c r="K850" s="2" t="str">
        <f>IFERROR(__xludf.DUMMYFUNCTION("""COMPUTED_VALUE"""),"hlvpfw.gwl")</f>
        <v>hlvpfw.gwl</v>
      </c>
      <c r="M850" s="2" t="b">
        <f t="shared" si="4"/>
        <v>1</v>
      </c>
      <c r="N850" s="2">
        <f>IFERROR(__xludf.DUMMYFUNCTION("IF(AND(REGEXMATCH($G$4, ""cd""),M850),N849+J850)"),12884.0)</f>
        <v>12884</v>
      </c>
      <c r="O850" s="2" t="str">
        <f t="shared" si="5"/>
        <v>#N/A</v>
      </c>
    </row>
    <row r="851">
      <c r="A851" s="1" t="s">
        <v>473</v>
      </c>
      <c r="B851" s="2" t="str">
        <f t="shared" si="1"/>
        <v>#VALUE!</v>
      </c>
      <c r="C851" s="2" t="str">
        <f>IFERROR(__xludf.DUMMYFUNCTION("SPLIT(B851,"" "")"),"#VALUE!")</f>
        <v>#VALUE!</v>
      </c>
      <c r="E851" s="2" t="str">
        <f t="shared" si="2"/>
        <v>#VALUE!</v>
      </c>
      <c r="F851" s="2" t="str">
        <f>IFERROR(__xludf.DUMMYFUNCTION("SPLIT(E851,"" "")"),"#VALUE!")</f>
        <v>#VALUE!</v>
      </c>
      <c r="I851" s="2" t="str">
        <f t="shared" si="3"/>
        <v>#VALUE!</v>
      </c>
      <c r="J851" s="2" t="str">
        <f>IFERROR(__xludf.DUMMYFUNCTION("SPLIT(I851,"" "")"),"#VALUE!")</f>
        <v>#VALUE!</v>
      </c>
      <c r="M851" s="2" t="b">
        <f t="shared" si="4"/>
        <v>0</v>
      </c>
      <c r="N851" s="2" t="b">
        <f>IFERROR(__xludf.DUMMYFUNCTION("IF(AND(REGEXMATCH($G$4, ""cd""),M851),N850+J851)"),FALSE)</f>
        <v>0</v>
      </c>
      <c r="O851" s="2" t="str">
        <f t="shared" si="5"/>
        <v>#N/A</v>
      </c>
    </row>
    <row r="852">
      <c r="A852" s="1" t="s">
        <v>17</v>
      </c>
      <c r="B852" s="2" t="str">
        <f t="shared" si="1"/>
        <v>#VALUE!</v>
      </c>
      <c r="C852" s="2" t="str">
        <f>IFERROR(__xludf.DUMMYFUNCTION("SPLIT(B852,"" "")"),"#VALUE!")</f>
        <v>#VALUE!</v>
      </c>
      <c r="E852" s="2" t="str">
        <f t="shared" si="2"/>
        <v>$ cd ..</v>
      </c>
      <c r="F852" s="2" t="str">
        <f>IFERROR(__xludf.DUMMYFUNCTION("SPLIT(E852,"" "")"),"$")</f>
        <v>$</v>
      </c>
      <c r="G852" s="2" t="str">
        <f>IFERROR(__xludf.DUMMYFUNCTION("""COMPUTED_VALUE"""),"cd")</f>
        <v>cd</v>
      </c>
      <c r="H852" s="2" t="str">
        <f>IFERROR(__xludf.DUMMYFUNCTION("""COMPUTED_VALUE"""),"..")</f>
        <v>..</v>
      </c>
      <c r="I852" s="2" t="str">
        <f t="shared" si="3"/>
        <v>$ cd ..</v>
      </c>
      <c r="J852" s="2" t="str">
        <f>IFERROR(__xludf.DUMMYFUNCTION("SPLIT(I852,"" "")"),"$")</f>
        <v>$</v>
      </c>
      <c r="K852" s="2" t="str">
        <f>IFERROR(__xludf.DUMMYFUNCTION("""COMPUTED_VALUE"""),"cd")</f>
        <v>cd</v>
      </c>
      <c r="L852" s="2" t="str">
        <f>IFERROR(__xludf.DUMMYFUNCTION("""COMPUTED_VALUE"""),"..")</f>
        <v>..</v>
      </c>
      <c r="M852" s="2" t="b">
        <f t="shared" si="4"/>
        <v>0</v>
      </c>
      <c r="N852" s="2" t="b">
        <f>IFERROR(__xludf.DUMMYFUNCTION("IF(AND(REGEXMATCH($G$4, ""cd""),M852),N851+J852)"),FALSE)</f>
        <v>0</v>
      </c>
      <c r="O852" s="2" t="str">
        <f t="shared" si="5"/>
        <v>#N/A</v>
      </c>
    </row>
    <row r="853">
      <c r="A853" s="1" t="s">
        <v>17</v>
      </c>
      <c r="B853" s="2" t="str">
        <f t="shared" si="1"/>
        <v>#VALUE!</v>
      </c>
      <c r="C853" s="2" t="str">
        <f>IFERROR(__xludf.DUMMYFUNCTION("SPLIT(B853,"" "")"),"#VALUE!")</f>
        <v>#VALUE!</v>
      </c>
      <c r="E853" s="2" t="str">
        <f t="shared" si="2"/>
        <v>$ cd ..</v>
      </c>
      <c r="F853" s="2" t="str">
        <f>IFERROR(__xludf.DUMMYFUNCTION("SPLIT(E853,"" "")"),"$")</f>
        <v>$</v>
      </c>
      <c r="G853" s="2" t="str">
        <f>IFERROR(__xludf.DUMMYFUNCTION("""COMPUTED_VALUE"""),"cd")</f>
        <v>cd</v>
      </c>
      <c r="H853" s="2" t="str">
        <f>IFERROR(__xludf.DUMMYFUNCTION("""COMPUTED_VALUE"""),"..")</f>
        <v>..</v>
      </c>
      <c r="I853" s="2" t="str">
        <f t="shared" si="3"/>
        <v>$ cd ..</v>
      </c>
      <c r="J853" s="2" t="str">
        <f>IFERROR(__xludf.DUMMYFUNCTION("SPLIT(I853,"" "")"),"$")</f>
        <v>$</v>
      </c>
      <c r="K853" s="2" t="str">
        <f>IFERROR(__xludf.DUMMYFUNCTION("""COMPUTED_VALUE"""),"cd")</f>
        <v>cd</v>
      </c>
      <c r="L853" s="2" t="str">
        <f>IFERROR(__xludf.DUMMYFUNCTION("""COMPUTED_VALUE"""),"..")</f>
        <v>..</v>
      </c>
      <c r="M853" s="2" t="b">
        <f t="shared" si="4"/>
        <v>0</v>
      </c>
      <c r="N853" s="2" t="b">
        <f>IFERROR(__xludf.DUMMYFUNCTION("IF(AND(REGEXMATCH($G$4, ""cd""),M853),N852+J853)"),FALSE)</f>
        <v>0</v>
      </c>
      <c r="O853" s="2" t="str">
        <f t="shared" si="5"/>
        <v>#N/A</v>
      </c>
    </row>
    <row r="854">
      <c r="A854" s="1" t="s">
        <v>474</v>
      </c>
      <c r="B854" s="2" t="str">
        <f t="shared" si="1"/>
        <v>#VALUE!</v>
      </c>
      <c r="C854" s="2" t="str">
        <f>IFERROR(__xludf.DUMMYFUNCTION("SPLIT(B854,"" "")"),"#VALUE!")</f>
        <v>#VALUE!</v>
      </c>
      <c r="E854" s="2" t="str">
        <f t="shared" si="2"/>
        <v>$ cd wfjzls</v>
      </c>
      <c r="F854" s="2" t="str">
        <f>IFERROR(__xludf.DUMMYFUNCTION("SPLIT(E854,"" "")"),"$")</f>
        <v>$</v>
      </c>
      <c r="G854" s="2" t="str">
        <f>IFERROR(__xludf.DUMMYFUNCTION("""COMPUTED_VALUE"""),"cd")</f>
        <v>cd</v>
      </c>
      <c r="H854" s="2" t="str">
        <f>IFERROR(__xludf.DUMMYFUNCTION("""COMPUTED_VALUE"""),"wfjzls")</f>
        <v>wfjzls</v>
      </c>
      <c r="I854" s="2" t="str">
        <f t="shared" si="3"/>
        <v>#VALUE!</v>
      </c>
      <c r="J854" s="2" t="str">
        <f>IFERROR(__xludf.DUMMYFUNCTION("SPLIT(I854,"" "")"),"#VALUE!")</f>
        <v>#VALUE!</v>
      </c>
      <c r="M854" s="2" t="b">
        <f t="shared" si="4"/>
        <v>0</v>
      </c>
      <c r="N854" s="2" t="b">
        <f>IFERROR(__xludf.DUMMYFUNCTION("IF(AND(REGEXMATCH($G$4, ""cd""),M854),N853+J854)"),FALSE)</f>
        <v>0</v>
      </c>
      <c r="O854" s="2" t="str">
        <f t="shared" si="5"/>
        <v>#N/A</v>
      </c>
    </row>
    <row r="855">
      <c r="A855" s="1" t="s">
        <v>2</v>
      </c>
      <c r="B855" s="2" t="str">
        <f t="shared" si="1"/>
        <v>#VALUE!</v>
      </c>
      <c r="C855" s="2" t="str">
        <f>IFERROR(__xludf.DUMMYFUNCTION("SPLIT(B855,"" "")"),"#VALUE!")</f>
        <v>#VALUE!</v>
      </c>
      <c r="E855" s="2" t="str">
        <f t="shared" si="2"/>
        <v>#VALUE!</v>
      </c>
      <c r="F855" s="2" t="str">
        <f>IFERROR(__xludf.DUMMYFUNCTION("SPLIT(E855,"" "")"),"#VALUE!")</f>
        <v>#VALUE!</v>
      </c>
      <c r="I855" s="2" t="str">
        <f t="shared" si="3"/>
        <v>#VALUE!</v>
      </c>
      <c r="J855" s="2" t="str">
        <f>IFERROR(__xludf.DUMMYFUNCTION("SPLIT(I855,"" "")"),"#VALUE!")</f>
        <v>#VALUE!</v>
      </c>
      <c r="M855" s="2" t="b">
        <f t="shared" si="4"/>
        <v>0</v>
      </c>
      <c r="N855" s="2" t="b">
        <f>IFERROR(__xludf.DUMMYFUNCTION("IF(AND(REGEXMATCH($G$4, ""cd""),M855),N854+J855)"),FALSE)</f>
        <v>0</v>
      </c>
      <c r="O855" s="2" t="str">
        <f t="shared" si="5"/>
        <v>#N/A</v>
      </c>
    </row>
    <row r="856">
      <c r="A856" s="1" t="s">
        <v>475</v>
      </c>
      <c r="B856" s="2" t="str">
        <f t="shared" si="1"/>
        <v>#VALUE!</v>
      </c>
      <c r="C856" s="2" t="str">
        <f>IFERROR(__xludf.DUMMYFUNCTION("SPLIT(B856,"" "")"),"#VALUE!")</f>
        <v>#VALUE!</v>
      </c>
      <c r="E856" s="2" t="str">
        <f t="shared" si="2"/>
        <v>#VALUE!</v>
      </c>
      <c r="F856" s="2" t="str">
        <f>IFERROR(__xludf.DUMMYFUNCTION("SPLIT(E856,"" "")"),"#VALUE!")</f>
        <v>#VALUE!</v>
      </c>
      <c r="I856" s="2" t="str">
        <f t="shared" si="3"/>
        <v>191088 hlvpfw.prw</v>
      </c>
      <c r="J856" s="2">
        <f>IFERROR(__xludf.DUMMYFUNCTION("SPLIT(I856,"" "")"),191088.0)</f>
        <v>191088</v>
      </c>
      <c r="K856" s="2" t="str">
        <f>IFERROR(__xludf.DUMMYFUNCTION("""COMPUTED_VALUE"""),"hlvpfw.prw")</f>
        <v>hlvpfw.prw</v>
      </c>
      <c r="M856" s="2" t="b">
        <f t="shared" si="4"/>
        <v>1</v>
      </c>
      <c r="N856" s="2">
        <f>IFERROR(__xludf.DUMMYFUNCTION("IF(AND(REGEXMATCH($G$4, ""cd""),M856),N855+J856)"),191088.0)</f>
        <v>191088</v>
      </c>
      <c r="O856" s="2" t="str">
        <f t="shared" si="5"/>
        <v>#N/A</v>
      </c>
    </row>
    <row r="857">
      <c r="A857" s="1" t="s">
        <v>476</v>
      </c>
      <c r="B857" s="2" t="str">
        <f t="shared" si="1"/>
        <v>#VALUE!</v>
      </c>
      <c r="C857" s="2" t="str">
        <f>IFERROR(__xludf.DUMMYFUNCTION("SPLIT(B857,"" "")"),"#VALUE!")</f>
        <v>#VALUE!</v>
      </c>
      <c r="E857" s="2" t="str">
        <f t="shared" si="2"/>
        <v>64712 mpq.cdn</v>
      </c>
      <c r="F857" s="2">
        <f>IFERROR(__xludf.DUMMYFUNCTION("SPLIT(E857,"" "")"),64712.0)</f>
        <v>64712</v>
      </c>
      <c r="G857" s="2" t="str">
        <f>IFERROR(__xludf.DUMMYFUNCTION("""COMPUTED_VALUE"""),"mpq.cdn")</f>
        <v>mpq.cdn</v>
      </c>
      <c r="I857" s="2" t="str">
        <f t="shared" si="3"/>
        <v>64712 mpq.cdn</v>
      </c>
      <c r="J857" s="2">
        <f>IFERROR(__xludf.DUMMYFUNCTION("SPLIT(I857,"" "")"),64712.0)</f>
        <v>64712</v>
      </c>
      <c r="K857" s="2" t="str">
        <f>IFERROR(__xludf.DUMMYFUNCTION("""COMPUTED_VALUE"""),"mpq.cdn")</f>
        <v>mpq.cdn</v>
      </c>
      <c r="M857" s="2" t="b">
        <f t="shared" si="4"/>
        <v>1</v>
      </c>
      <c r="N857" s="2">
        <f>IFERROR(__xludf.DUMMYFUNCTION("IF(AND(REGEXMATCH($G$4, ""cd""),M857),N856+J857)"),255800.0)</f>
        <v>255800</v>
      </c>
      <c r="O857" s="2" t="str">
        <f t="shared" si="5"/>
        <v>#N/A</v>
      </c>
    </row>
    <row r="858">
      <c r="A858" s="1" t="s">
        <v>477</v>
      </c>
      <c r="B858" s="2" t="str">
        <f t="shared" si="1"/>
        <v>#VALUE!</v>
      </c>
      <c r="C858" s="2" t="str">
        <f>IFERROR(__xludf.DUMMYFUNCTION("SPLIT(B858,"" "")"),"#VALUE!")</f>
        <v>#VALUE!</v>
      </c>
      <c r="E858" s="2" t="str">
        <f t="shared" si="2"/>
        <v>#VALUE!</v>
      </c>
      <c r="F858" s="2" t="str">
        <f>IFERROR(__xludf.DUMMYFUNCTION("SPLIT(E858,"" "")"),"#VALUE!")</f>
        <v>#VALUE!</v>
      </c>
      <c r="I858" s="2" t="str">
        <f t="shared" si="3"/>
        <v>103828 pjhg.qmc</v>
      </c>
      <c r="J858" s="2">
        <f>IFERROR(__xludf.DUMMYFUNCTION("SPLIT(I858,"" "")"),103828.0)</f>
        <v>103828</v>
      </c>
      <c r="K858" s="2" t="str">
        <f>IFERROR(__xludf.DUMMYFUNCTION("""COMPUTED_VALUE"""),"pjhg.qmc")</f>
        <v>pjhg.qmc</v>
      </c>
      <c r="M858" s="2" t="b">
        <f t="shared" si="4"/>
        <v>1</v>
      </c>
      <c r="N858" s="2">
        <f>IFERROR(__xludf.DUMMYFUNCTION("IF(AND(REGEXMATCH($G$4, ""cd""),M858),N857+J858)"),359628.0)</f>
        <v>359628</v>
      </c>
      <c r="O858" s="2" t="str">
        <f t="shared" si="5"/>
        <v>#N/A</v>
      </c>
    </row>
    <row r="859">
      <c r="A859" s="1" t="s">
        <v>478</v>
      </c>
      <c r="B859" s="2" t="str">
        <f t="shared" si="1"/>
        <v>dir qvmdt</v>
      </c>
      <c r="C859" s="2" t="str">
        <f>IFERROR(__xludf.DUMMYFUNCTION("SPLIT(B859,"" "")"),"dir")</f>
        <v>dir</v>
      </c>
      <c r="D859" s="2" t="str">
        <f>IFERROR(__xludf.DUMMYFUNCTION("""COMPUTED_VALUE"""),"qvmdt")</f>
        <v>qvmdt</v>
      </c>
      <c r="E859" s="2" t="str">
        <f t="shared" si="2"/>
        <v>#VALUE!</v>
      </c>
      <c r="F859" s="2" t="str">
        <f>IFERROR(__xludf.DUMMYFUNCTION("SPLIT(E859,"" "")"),"#VALUE!")</f>
        <v>#VALUE!</v>
      </c>
      <c r="I859" s="2" t="str">
        <f t="shared" si="3"/>
        <v>#VALUE!</v>
      </c>
      <c r="J859" s="2" t="str">
        <f>IFERROR(__xludf.DUMMYFUNCTION("SPLIT(I859,"" "")"),"#VALUE!")</f>
        <v>#VALUE!</v>
      </c>
      <c r="M859" s="2" t="b">
        <f t="shared" si="4"/>
        <v>0</v>
      </c>
      <c r="N859" s="2" t="b">
        <f>IFERROR(__xludf.DUMMYFUNCTION("IF(AND(REGEXMATCH($G$4, ""cd""),M859),N858+J859)"),FALSE)</f>
        <v>0</v>
      </c>
      <c r="O859" s="2" t="str">
        <f t="shared" si="5"/>
        <v>#N/A</v>
      </c>
    </row>
    <row r="860">
      <c r="A860" s="1" t="s">
        <v>479</v>
      </c>
      <c r="B860" s="2" t="str">
        <f t="shared" si="1"/>
        <v>#VALUE!</v>
      </c>
      <c r="C860" s="2" t="str">
        <f>IFERROR(__xludf.DUMMYFUNCTION("SPLIT(B860,"" "")"),"#VALUE!")</f>
        <v>#VALUE!</v>
      </c>
      <c r="E860" s="2" t="str">
        <f t="shared" si="2"/>
        <v>$ cd qvmdt</v>
      </c>
      <c r="F860" s="2" t="str">
        <f>IFERROR(__xludf.DUMMYFUNCTION("SPLIT(E860,"" "")"),"$")</f>
        <v>$</v>
      </c>
      <c r="G860" s="2" t="str">
        <f>IFERROR(__xludf.DUMMYFUNCTION("""COMPUTED_VALUE"""),"cd")</f>
        <v>cd</v>
      </c>
      <c r="H860" s="2" t="str">
        <f>IFERROR(__xludf.DUMMYFUNCTION("""COMPUTED_VALUE"""),"qvmdt")</f>
        <v>qvmdt</v>
      </c>
      <c r="I860" s="2" t="str">
        <f t="shared" si="3"/>
        <v>#VALUE!</v>
      </c>
      <c r="J860" s="2" t="str">
        <f>IFERROR(__xludf.DUMMYFUNCTION("SPLIT(I860,"" "")"),"#VALUE!")</f>
        <v>#VALUE!</v>
      </c>
      <c r="M860" s="2" t="b">
        <f t="shared" si="4"/>
        <v>0</v>
      </c>
      <c r="N860" s="2" t="b">
        <f>IFERROR(__xludf.DUMMYFUNCTION("IF(AND(REGEXMATCH($G$4, ""cd""),M860),N859+J860)"),FALSE)</f>
        <v>0</v>
      </c>
      <c r="O860" s="2" t="str">
        <f t="shared" si="5"/>
        <v>#N/A</v>
      </c>
    </row>
    <row r="861">
      <c r="A861" s="1" t="s">
        <v>2</v>
      </c>
      <c r="B861" s="2" t="str">
        <f t="shared" si="1"/>
        <v>#VALUE!</v>
      </c>
      <c r="C861" s="2" t="str">
        <f>IFERROR(__xludf.DUMMYFUNCTION("SPLIT(B861,"" "")"),"#VALUE!")</f>
        <v>#VALUE!</v>
      </c>
      <c r="E861" s="2" t="str">
        <f t="shared" si="2"/>
        <v>#VALUE!</v>
      </c>
      <c r="F861" s="2" t="str">
        <f>IFERROR(__xludf.DUMMYFUNCTION("SPLIT(E861,"" "")"),"#VALUE!")</f>
        <v>#VALUE!</v>
      </c>
      <c r="I861" s="2" t="str">
        <f t="shared" si="3"/>
        <v>#VALUE!</v>
      </c>
      <c r="J861" s="2" t="str">
        <f>IFERROR(__xludf.DUMMYFUNCTION("SPLIT(I861,"" "")"),"#VALUE!")</f>
        <v>#VALUE!</v>
      </c>
      <c r="M861" s="2" t="b">
        <f t="shared" si="4"/>
        <v>0</v>
      </c>
      <c r="N861" s="2" t="b">
        <f>IFERROR(__xludf.DUMMYFUNCTION("IF(AND(REGEXMATCH($G$4, ""cd""),M861),N860+J861)"),FALSE)</f>
        <v>0</v>
      </c>
      <c r="O861" s="2" t="str">
        <f t="shared" si="5"/>
        <v>#N/A</v>
      </c>
    </row>
    <row r="862">
      <c r="A862" s="1" t="s">
        <v>480</v>
      </c>
      <c r="B862" s="2" t="str">
        <f t="shared" si="1"/>
        <v>#VALUE!</v>
      </c>
      <c r="C862" s="2" t="str">
        <f>IFERROR(__xludf.DUMMYFUNCTION("SPLIT(B862,"" "")"),"#VALUE!")</f>
        <v>#VALUE!</v>
      </c>
      <c r="E862" s="2" t="str">
        <f t="shared" si="2"/>
        <v>#VALUE!</v>
      </c>
      <c r="F862" s="2" t="str">
        <f>IFERROR(__xludf.DUMMYFUNCTION("SPLIT(E862,"" "")"),"#VALUE!")</f>
        <v>#VALUE!</v>
      </c>
      <c r="I862" s="2" t="str">
        <f t="shared" si="3"/>
        <v>#VALUE!</v>
      </c>
      <c r="J862" s="2" t="str">
        <f>IFERROR(__xludf.DUMMYFUNCTION("SPLIT(I862,"" "")"),"#VALUE!")</f>
        <v>#VALUE!</v>
      </c>
      <c r="M862" s="2" t="b">
        <f t="shared" si="4"/>
        <v>0</v>
      </c>
      <c r="N862" s="2" t="b">
        <f>IFERROR(__xludf.DUMMYFUNCTION("IF(AND(REGEXMATCH($G$4, ""cd""),M862),N861+J862)"),FALSE)</f>
        <v>0</v>
      </c>
      <c r="O862" s="2" t="str">
        <f t="shared" si="5"/>
        <v>#N/A</v>
      </c>
    </row>
    <row r="863">
      <c r="A863" s="1" t="s">
        <v>17</v>
      </c>
      <c r="B863" s="2" t="str">
        <f t="shared" si="1"/>
        <v>#VALUE!</v>
      </c>
      <c r="C863" s="2" t="str">
        <f>IFERROR(__xludf.DUMMYFUNCTION("SPLIT(B863,"" "")"),"#VALUE!")</f>
        <v>#VALUE!</v>
      </c>
      <c r="E863" s="2" t="str">
        <f t="shared" si="2"/>
        <v>$ cd ..</v>
      </c>
      <c r="F863" s="2" t="str">
        <f>IFERROR(__xludf.DUMMYFUNCTION("SPLIT(E863,"" "")"),"$")</f>
        <v>$</v>
      </c>
      <c r="G863" s="2" t="str">
        <f>IFERROR(__xludf.DUMMYFUNCTION("""COMPUTED_VALUE"""),"cd")</f>
        <v>cd</v>
      </c>
      <c r="H863" s="2" t="str">
        <f>IFERROR(__xludf.DUMMYFUNCTION("""COMPUTED_VALUE"""),"..")</f>
        <v>..</v>
      </c>
      <c r="I863" s="2" t="str">
        <f t="shared" si="3"/>
        <v>$ cd ..</v>
      </c>
      <c r="J863" s="2" t="str">
        <f>IFERROR(__xludf.DUMMYFUNCTION("SPLIT(I863,"" "")"),"$")</f>
        <v>$</v>
      </c>
      <c r="K863" s="2" t="str">
        <f>IFERROR(__xludf.DUMMYFUNCTION("""COMPUTED_VALUE"""),"cd")</f>
        <v>cd</v>
      </c>
      <c r="L863" s="2" t="str">
        <f>IFERROR(__xludf.DUMMYFUNCTION("""COMPUTED_VALUE"""),"..")</f>
        <v>..</v>
      </c>
      <c r="M863" s="2" t="b">
        <f t="shared" si="4"/>
        <v>0</v>
      </c>
      <c r="N863" s="2" t="b">
        <f>IFERROR(__xludf.DUMMYFUNCTION("IF(AND(REGEXMATCH($G$4, ""cd""),M863),N862+J863)"),FALSE)</f>
        <v>0</v>
      </c>
      <c r="O863" s="2" t="str">
        <f t="shared" si="5"/>
        <v>#N/A</v>
      </c>
    </row>
    <row r="864">
      <c r="A864" s="1" t="s">
        <v>17</v>
      </c>
      <c r="B864" s="2" t="str">
        <f t="shared" si="1"/>
        <v>#VALUE!</v>
      </c>
      <c r="C864" s="2" t="str">
        <f>IFERROR(__xludf.DUMMYFUNCTION("SPLIT(B864,"" "")"),"#VALUE!")</f>
        <v>#VALUE!</v>
      </c>
      <c r="E864" s="2" t="str">
        <f t="shared" si="2"/>
        <v>$ cd ..</v>
      </c>
      <c r="F864" s="2" t="str">
        <f>IFERROR(__xludf.DUMMYFUNCTION("SPLIT(E864,"" "")"),"$")</f>
        <v>$</v>
      </c>
      <c r="G864" s="2" t="str">
        <f>IFERROR(__xludf.DUMMYFUNCTION("""COMPUTED_VALUE"""),"cd")</f>
        <v>cd</v>
      </c>
      <c r="H864" s="2" t="str">
        <f>IFERROR(__xludf.DUMMYFUNCTION("""COMPUTED_VALUE"""),"..")</f>
        <v>..</v>
      </c>
      <c r="I864" s="2" t="str">
        <f t="shared" si="3"/>
        <v>$ cd ..</v>
      </c>
      <c r="J864" s="2" t="str">
        <f>IFERROR(__xludf.DUMMYFUNCTION("SPLIT(I864,"" "")"),"$")</f>
        <v>$</v>
      </c>
      <c r="K864" s="2" t="str">
        <f>IFERROR(__xludf.DUMMYFUNCTION("""COMPUTED_VALUE"""),"cd")</f>
        <v>cd</v>
      </c>
      <c r="L864" s="2" t="str">
        <f>IFERROR(__xludf.DUMMYFUNCTION("""COMPUTED_VALUE"""),"..")</f>
        <v>..</v>
      </c>
      <c r="M864" s="2" t="b">
        <f t="shared" si="4"/>
        <v>0</v>
      </c>
      <c r="N864" s="2" t="b">
        <f>IFERROR(__xludf.DUMMYFUNCTION("IF(AND(REGEXMATCH($G$4, ""cd""),M864),N863+J864)"),FALSE)</f>
        <v>0</v>
      </c>
      <c r="O864" s="2" t="str">
        <f t="shared" si="5"/>
        <v>#N/A</v>
      </c>
    </row>
    <row r="865">
      <c r="A865" s="1" t="s">
        <v>17</v>
      </c>
      <c r="B865" s="2" t="str">
        <f t="shared" si="1"/>
        <v>#VALUE!</v>
      </c>
      <c r="C865" s="2" t="str">
        <f>IFERROR(__xludf.DUMMYFUNCTION("SPLIT(B865,"" "")"),"#VALUE!")</f>
        <v>#VALUE!</v>
      </c>
      <c r="E865" s="2" t="str">
        <f t="shared" si="2"/>
        <v>$ cd ..</v>
      </c>
      <c r="F865" s="2" t="str">
        <f>IFERROR(__xludf.DUMMYFUNCTION("SPLIT(E865,"" "")"),"$")</f>
        <v>$</v>
      </c>
      <c r="G865" s="2" t="str">
        <f>IFERROR(__xludf.DUMMYFUNCTION("""COMPUTED_VALUE"""),"cd")</f>
        <v>cd</v>
      </c>
      <c r="H865" s="2" t="str">
        <f>IFERROR(__xludf.DUMMYFUNCTION("""COMPUTED_VALUE"""),"..")</f>
        <v>..</v>
      </c>
      <c r="I865" s="2" t="str">
        <f t="shared" si="3"/>
        <v>$ cd ..</v>
      </c>
      <c r="J865" s="2" t="str">
        <f>IFERROR(__xludf.DUMMYFUNCTION("SPLIT(I865,"" "")"),"$")</f>
        <v>$</v>
      </c>
      <c r="K865" s="2" t="str">
        <f>IFERROR(__xludf.DUMMYFUNCTION("""COMPUTED_VALUE"""),"cd")</f>
        <v>cd</v>
      </c>
      <c r="L865" s="2" t="str">
        <f>IFERROR(__xludf.DUMMYFUNCTION("""COMPUTED_VALUE"""),"..")</f>
        <v>..</v>
      </c>
      <c r="M865" s="2" t="b">
        <f t="shared" si="4"/>
        <v>0</v>
      </c>
      <c r="N865" s="2" t="b">
        <f>IFERROR(__xludf.DUMMYFUNCTION("IF(AND(REGEXMATCH($G$4, ""cd""),M865),N864+J865)"),FALSE)</f>
        <v>0</v>
      </c>
      <c r="O865" s="2" t="str">
        <f t="shared" si="5"/>
        <v>#N/A</v>
      </c>
    </row>
    <row r="866">
      <c r="A866" s="1" t="s">
        <v>17</v>
      </c>
      <c r="B866" s="2" t="str">
        <f t="shared" si="1"/>
        <v>#VALUE!</v>
      </c>
      <c r="C866" s="2" t="str">
        <f>IFERROR(__xludf.DUMMYFUNCTION("SPLIT(B866,"" "")"),"#VALUE!")</f>
        <v>#VALUE!</v>
      </c>
      <c r="E866" s="2" t="str">
        <f t="shared" si="2"/>
        <v>$ cd ..</v>
      </c>
      <c r="F866" s="2" t="str">
        <f>IFERROR(__xludf.DUMMYFUNCTION("SPLIT(E866,"" "")"),"$")</f>
        <v>$</v>
      </c>
      <c r="G866" s="2" t="str">
        <f>IFERROR(__xludf.DUMMYFUNCTION("""COMPUTED_VALUE"""),"cd")</f>
        <v>cd</v>
      </c>
      <c r="H866" s="2" t="str">
        <f>IFERROR(__xludf.DUMMYFUNCTION("""COMPUTED_VALUE"""),"..")</f>
        <v>..</v>
      </c>
      <c r="I866" s="2" t="str">
        <f t="shared" si="3"/>
        <v>$ cd ..</v>
      </c>
      <c r="J866" s="2" t="str">
        <f>IFERROR(__xludf.DUMMYFUNCTION("SPLIT(I866,"" "")"),"$")</f>
        <v>$</v>
      </c>
      <c r="K866" s="2" t="str">
        <f>IFERROR(__xludf.DUMMYFUNCTION("""COMPUTED_VALUE"""),"cd")</f>
        <v>cd</v>
      </c>
      <c r="L866" s="2" t="str">
        <f>IFERROR(__xludf.DUMMYFUNCTION("""COMPUTED_VALUE"""),"..")</f>
        <v>..</v>
      </c>
      <c r="M866" s="2" t="b">
        <f t="shared" si="4"/>
        <v>0</v>
      </c>
      <c r="N866" s="2" t="b">
        <f>IFERROR(__xludf.DUMMYFUNCTION("IF(AND(REGEXMATCH($G$4, ""cd""),M866),N865+J866)"),FALSE)</f>
        <v>0</v>
      </c>
      <c r="O866" s="2" t="str">
        <f t="shared" si="5"/>
        <v>#N/A</v>
      </c>
    </row>
    <row r="867">
      <c r="A867" s="1" t="s">
        <v>60</v>
      </c>
      <c r="B867" s="2" t="str">
        <f t="shared" si="1"/>
        <v>#VALUE!</v>
      </c>
      <c r="C867" s="2" t="str">
        <f>IFERROR(__xludf.DUMMYFUNCTION("SPLIT(B867,"" "")"),"#VALUE!")</f>
        <v>#VALUE!</v>
      </c>
      <c r="E867" s="2" t="str">
        <f t="shared" si="2"/>
        <v>$ cd slzdbm</v>
      </c>
      <c r="F867" s="2" t="str">
        <f>IFERROR(__xludf.DUMMYFUNCTION("SPLIT(E867,"" "")"),"$")</f>
        <v>$</v>
      </c>
      <c r="G867" s="2" t="str">
        <f>IFERROR(__xludf.DUMMYFUNCTION("""COMPUTED_VALUE"""),"cd")</f>
        <v>cd</v>
      </c>
      <c r="H867" s="2" t="str">
        <f>IFERROR(__xludf.DUMMYFUNCTION("""COMPUTED_VALUE"""),"slzdbm")</f>
        <v>slzdbm</v>
      </c>
      <c r="I867" s="2" t="str">
        <f t="shared" si="3"/>
        <v>#VALUE!</v>
      </c>
      <c r="J867" s="2" t="str">
        <f>IFERROR(__xludf.DUMMYFUNCTION("SPLIT(I867,"" "")"),"#VALUE!")</f>
        <v>#VALUE!</v>
      </c>
      <c r="M867" s="2" t="b">
        <f t="shared" si="4"/>
        <v>0</v>
      </c>
      <c r="N867" s="2" t="b">
        <f>IFERROR(__xludf.DUMMYFUNCTION("IF(AND(REGEXMATCH($G$4, ""cd""),M867),N866+J867)"),FALSE)</f>
        <v>0</v>
      </c>
      <c r="O867" s="2" t="str">
        <f t="shared" si="5"/>
        <v>#N/A</v>
      </c>
    </row>
    <row r="868">
      <c r="A868" s="1" t="s">
        <v>2</v>
      </c>
      <c r="B868" s="2" t="str">
        <f t="shared" si="1"/>
        <v>#VALUE!</v>
      </c>
      <c r="C868" s="2" t="str">
        <f>IFERROR(__xludf.DUMMYFUNCTION("SPLIT(B868,"" "")"),"#VALUE!")</f>
        <v>#VALUE!</v>
      </c>
      <c r="E868" s="2" t="str">
        <f t="shared" si="2"/>
        <v>#VALUE!</v>
      </c>
      <c r="F868" s="2" t="str">
        <f>IFERROR(__xludf.DUMMYFUNCTION("SPLIT(E868,"" "")"),"#VALUE!")</f>
        <v>#VALUE!</v>
      </c>
      <c r="I868" s="2" t="str">
        <f t="shared" si="3"/>
        <v>#VALUE!</v>
      </c>
      <c r="J868" s="2" t="str">
        <f>IFERROR(__xludf.DUMMYFUNCTION("SPLIT(I868,"" "")"),"#VALUE!")</f>
        <v>#VALUE!</v>
      </c>
      <c r="M868" s="2" t="b">
        <f t="shared" si="4"/>
        <v>0</v>
      </c>
      <c r="N868" s="2" t="b">
        <f>IFERROR(__xludf.DUMMYFUNCTION("IF(AND(REGEXMATCH($G$4, ""cd""),M868),N867+J868)"),FALSE)</f>
        <v>0</v>
      </c>
      <c r="O868" s="2" t="str">
        <f t="shared" si="5"/>
        <v>#N/A</v>
      </c>
    </row>
    <row r="869">
      <c r="A869" s="1" t="s">
        <v>481</v>
      </c>
      <c r="B869" s="2" t="str">
        <f t="shared" si="1"/>
        <v>dir hsvbbbp</v>
      </c>
      <c r="C869" s="2" t="str">
        <f>IFERROR(__xludf.DUMMYFUNCTION("SPLIT(B869,"" "")"),"dir")</f>
        <v>dir</v>
      </c>
      <c r="D869" s="2" t="str">
        <f>IFERROR(__xludf.DUMMYFUNCTION("""COMPUTED_VALUE"""),"hsvbbbp")</f>
        <v>hsvbbbp</v>
      </c>
      <c r="E869" s="2" t="str">
        <f t="shared" si="2"/>
        <v>#VALUE!</v>
      </c>
      <c r="F869" s="2" t="str">
        <f>IFERROR(__xludf.DUMMYFUNCTION("SPLIT(E869,"" "")"),"#VALUE!")</f>
        <v>#VALUE!</v>
      </c>
      <c r="I869" s="2" t="str">
        <f t="shared" si="3"/>
        <v>#VALUE!</v>
      </c>
      <c r="J869" s="2" t="str">
        <f>IFERROR(__xludf.DUMMYFUNCTION("SPLIT(I869,"" "")"),"#VALUE!")</f>
        <v>#VALUE!</v>
      </c>
      <c r="M869" s="2" t="b">
        <f t="shared" si="4"/>
        <v>0</v>
      </c>
      <c r="N869" s="2" t="b">
        <f>IFERROR(__xludf.DUMMYFUNCTION("IF(AND(REGEXMATCH($G$4, ""cd""),M869),N868+J869)"),FALSE)</f>
        <v>0</v>
      </c>
      <c r="O869" s="2" t="str">
        <f t="shared" si="5"/>
        <v>#N/A</v>
      </c>
    </row>
    <row r="870">
      <c r="A870" s="1" t="s">
        <v>482</v>
      </c>
      <c r="B870" s="2" t="str">
        <f t="shared" si="1"/>
        <v>dir jdtrdgqs</v>
      </c>
      <c r="C870" s="2" t="str">
        <f>IFERROR(__xludf.DUMMYFUNCTION("SPLIT(B870,"" "")"),"dir")</f>
        <v>dir</v>
      </c>
      <c r="D870" s="2" t="str">
        <f>IFERROR(__xludf.DUMMYFUNCTION("""COMPUTED_VALUE"""),"jdtrdgqs")</f>
        <v>jdtrdgqs</v>
      </c>
      <c r="E870" s="2" t="str">
        <f t="shared" si="2"/>
        <v>#VALUE!</v>
      </c>
      <c r="F870" s="2" t="str">
        <f>IFERROR(__xludf.DUMMYFUNCTION("SPLIT(E870,"" "")"),"#VALUE!")</f>
        <v>#VALUE!</v>
      </c>
      <c r="I870" s="2" t="str">
        <f t="shared" si="3"/>
        <v>#VALUE!</v>
      </c>
      <c r="J870" s="2" t="str">
        <f>IFERROR(__xludf.DUMMYFUNCTION("SPLIT(I870,"" "")"),"#VALUE!")</f>
        <v>#VALUE!</v>
      </c>
      <c r="M870" s="2" t="b">
        <f t="shared" si="4"/>
        <v>0</v>
      </c>
      <c r="N870" s="2" t="b">
        <f>IFERROR(__xludf.DUMMYFUNCTION("IF(AND(REGEXMATCH($G$4, ""cd""),M870),N869+J870)"),FALSE)</f>
        <v>0</v>
      </c>
      <c r="O870" s="2" t="str">
        <f t="shared" si="5"/>
        <v>#N/A</v>
      </c>
    </row>
    <row r="871">
      <c r="A871" s="1" t="s">
        <v>483</v>
      </c>
      <c r="B871" s="2" t="str">
        <f t="shared" si="1"/>
        <v>dir lrldsqcr</v>
      </c>
      <c r="C871" s="2" t="str">
        <f>IFERROR(__xludf.DUMMYFUNCTION("SPLIT(B871,"" "")"),"dir")</f>
        <v>dir</v>
      </c>
      <c r="D871" s="2" t="str">
        <f>IFERROR(__xludf.DUMMYFUNCTION("""COMPUTED_VALUE"""),"lrldsqcr")</f>
        <v>lrldsqcr</v>
      </c>
      <c r="E871" s="2" t="str">
        <f t="shared" si="2"/>
        <v>#VALUE!</v>
      </c>
      <c r="F871" s="2" t="str">
        <f>IFERROR(__xludf.DUMMYFUNCTION("SPLIT(E871,"" "")"),"#VALUE!")</f>
        <v>#VALUE!</v>
      </c>
      <c r="I871" s="2" t="str">
        <f t="shared" si="3"/>
        <v>#VALUE!</v>
      </c>
      <c r="J871" s="2" t="str">
        <f>IFERROR(__xludf.DUMMYFUNCTION("SPLIT(I871,"" "")"),"#VALUE!")</f>
        <v>#VALUE!</v>
      </c>
      <c r="M871" s="2" t="b">
        <f t="shared" si="4"/>
        <v>0</v>
      </c>
      <c r="N871" s="2" t="b">
        <f>IFERROR(__xludf.DUMMYFUNCTION("IF(AND(REGEXMATCH($G$4, ""cd""),M871),N870+J871)"),FALSE)</f>
        <v>0</v>
      </c>
      <c r="O871" s="2" t="str">
        <f t="shared" si="5"/>
        <v>#N/A</v>
      </c>
    </row>
    <row r="872">
      <c r="A872" s="1" t="s">
        <v>484</v>
      </c>
      <c r="B872" s="2" t="str">
        <f t="shared" si="1"/>
        <v>#VALUE!</v>
      </c>
      <c r="C872" s="2" t="str">
        <f>IFERROR(__xludf.DUMMYFUNCTION("SPLIT(B872,"" "")"),"#VALUE!")</f>
        <v>#VALUE!</v>
      </c>
      <c r="E872" s="2" t="str">
        <f t="shared" si="2"/>
        <v>#VALUE!</v>
      </c>
      <c r="F872" s="2" t="str">
        <f>IFERROR(__xludf.DUMMYFUNCTION("SPLIT(E872,"" "")"),"#VALUE!")</f>
        <v>#VALUE!</v>
      </c>
      <c r="I872" s="2" t="str">
        <f t="shared" si="3"/>
        <v>194137 mzsfcvgv.hnv</v>
      </c>
      <c r="J872" s="2">
        <f>IFERROR(__xludf.DUMMYFUNCTION("SPLIT(I872,"" "")"),194137.0)</f>
        <v>194137</v>
      </c>
      <c r="K872" s="2" t="str">
        <f>IFERROR(__xludf.DUMMYFUNCTION("""COMPUTED_VALUE"""),"mzsfcvgv.hnv")</f>
        <v>mzsfcvgv.hnv</v>
      </c>
      <c r="M872" s="2" t="b">
        <f t="shared" si="4"/>
        <v>1</v>
      </c>
      <c r="N872" s="2">
        <f>IFERROR(__xludf.DUMMYFUNCTION("IF(AND(REGEXMATCH($G$4, ""cd""),M872),N871+J872)"),194137.0)</f>
        <v>194137</v>
      </c>
      <c r="O872" s="2" t="str">
        <f t="shared" si="5"/>
        <v>#N/A</v>
      </c>
    </row>
    <row r="873">
      <c r="A873" s="1" t="s">
        <v>485</v>
      </c>
      <c r="B873" s="2" t="str">
        <f t="shared" si="1"/>
        <v>dir nzcbqzdz</v>
      </c>
      <c r="C873" s="2" t="str">
        <f>IFERROR(__xludf.DUMMYFUNCTION("SPLIT(B873,"" "")"),"dir")</f>
        <v>dir</v>
      </c>
      <c r="D873" s="2" t="str">
        <f>IFERROR(__xludf.DUMMYFUNCTION("""COMPUTED_VALUE"""),"nzcbqzdz")</f>
        <v>nzcbqzdz</v>
      </c>
      <c r="E873" s="2" t="str">
        <f t="shared" si="2"/>
        <v>#VALUE!</v>
      </c>
      <c r="F873" s="2" t="str">
        <f>IFERROR(__xludf.DUMMYFUNCTION("SPLIT(E873,"" "")"),"#VALUE!")</f>
        <v>#VALUE!</v>
      </c>
      <c r="I873" s="2" t="str">
        <f t="shared" si="3"/>
        <v>#VALUE!</v>
      </c>
      <c r="J873" s="2" t="str">
        <f>IFERROR(__xludf.DUMMYFUNCTION("SPLIT(I873,"" "")"),"#VALUE!")</f>
        <v>#VALUE!</v>
      </c>
      <c r="M873" s="2" t="b">
        <f t="shared" si="4"/>
        <v>0</v>
      </c>
      <c r="N873" s="2" t="b">
        <f>IFERROR(__xludf.DUMMYFUNCTION("IF(AND(REGEXMATCH($G$4, ""cd""),M873),N872+J873)"),FALSE)</f>
        <v>0</v>
      </c>
      <c r="O873" s="2" t="str">
        <f t="shared" si="5"/>
        <v>#N/A</v>
      </c>
    </row>
    <row r="874">
      <c r="A874" s="1" t="s">
        <v>486</v>
      </c>
      <c r="B874" s="2" t="str">
        <f t="shared" si="1"/>
        <v>#VALUE!</v>
      </c>
      <c r="C874" s="2" t="str">
        <f>IFERROR(__xludf.DUMMYFUNCTION("SPLIT(B874,"" "")"),"#VALUE!")</f>
        <v>#VALUE!</v>
      </c>
      <c r="E874" s="2" t="str">
        <f t="shared" si="2"/>
        <v>$ cd hsvbbbp</v>
      </c>
      <c r="F874" s="2" t="str">
        <f>IFERROR(__xludf.DUMMYFUNCTION("SPLIT(E874,"" "")"),"$")</f>
        <v>$</v>
      </c>
      <c r="G874" s="2" t="str">
        <f>IFERROR(__xludf.DUMMYFUNCTION("""COMPUTED_VALUE"""),"cd")</f>
        <v>cd</v>
      </c>
      <c r="H874" s="2" t="str">
        <f>IFERROR(__xludf.DUMMYFUNCTION("""COMPUTED_VALUE"""),"hsvbbbp")</f>
        <v>hsvbbbp</v>
      </c>
      <c r="I874" s="2" t="str">
        <f t="shared" si="3"/>
        <v>#VALUE!</v>
      </c>
      <c r="J874" s="2" t="str">
        <f>IFERROR(__xludf.DUMMYFUNCTION("SPLIT(I874,"" "")"),"#VALUE!")</f>
        <v>#VALUE!</v>
      </c>
      <c r="M874" s="2" t="b">
        <f t="shared" si="4"/>
        <v>0</v>
      </c>
      <c r="N874" s="2" t="b">
        <f>IFERROR(__xludf.DUMMYFUNCTION("IF(AND(REGEXMATCH($G$4, ""cd""),M874),N873+J874)"),FALSE)</f>
        <v>0</v>
      </c>
      <c r="O874" s="2" t="str">
        <f t="shared" si="5"/>
        <v>#N/A</v>
      </c>
    </row>
    <row r="875">
      <c r="A875" s="1" t="s">
        <v>2</v>
      </c>
      <c r="B875" s="2" t="str">
        <f t="shared" si="1"/>
        <v>#VALUE!</v>
      </c>
      <c r="C875" s="2" t="str">
        <f>IFERROR(__xludf.DUMMYFUNCTION("SPLIT(B875,"" "")"),"#VALUE!")</f>
        <v>#VALUE!</v>
      </c>
      <c r="E875" s="2" t="str">
        <f t="shared" si="2"/>
        <v>#VALUE!</v>
      </c>
      <c r="F875" s="2" t="str">
        <f>IFERROR(__xludf.DUMMYFUNCTION("SPLIT(E875,"" "")"),"#VALUE!")</f>
        <v>#VALUE!</v>
      </c>
      <c r="I875" s="2" t="str">
        <f t="shared" si="3"/>
        <v>#VALUE!</v>
      </c>
      <c r="J875" s="2" t="str">
        <f>IFERROR(__xludf.DUMMYFUNCTION("SPLIT(I875,"" "")"),"#VALUE!")</f>
        <v>#VALUE!</v>
      </c>
      <c r="M875" s="2" t="b">
        <f t="shared" si="4"/>
        <v>0</v>
      </c>
      <c r="N875" s="2" t="b">
        <f>IFERROR(__xludf.DUMMYFUNCTION("IF(AND(REGEXMATCH($G$4, ""cd""),M875),N874+J875)"),FALSE)</f>
        <v>0</v>
      </c>
      <c r="O875" s="2" t="str">
        <f t="shared" si="5"/>
        <v>#N/A</v>
      </c>
    </row>
    <row r="876">
      <c r="A876" s="1" t="s">
        <v>487</v>
      </c>
      <c r="B876" s="2" t="str">
        <f t="shared" si="1"/>
        <v>#VALUE!</v>
      </c>
      <c r="C876" s="2" t="str">
        <f>IFERROR(__xludf.DUMMYFUNCTION("SPLIT(B876,"" "")"),"#VALUE!")</f>
        <v>#VALUE!</v>
      </c>
      <c r="E876" s="2" t="str">
        <f t="shared" si="2"/>
        <v>#VALUE!</v>
      </c>
      <c r="F876" s="2" t="str">
        <f>IFERROR(__xludf.DUMMYFUNCTION("SPLIT(E876,"" "")"),"#VALUE!")</f>
        <v>#VALUE!</v>
      </c>
      <c r="I876" s="2" t="str">
        <f t="shared" si="3"/>
        <v>104752 rcfpnh.vlr</v>
      </c>
      <c r="J876" s="2">
        <f>IFERROR(__xludf.DUMMYFUNCTION("SPLIT(I876,"" "")"),104752.0)</f>
        <v>104752</v>
      </c>
      <c r="K876" s="2" t="str">
        <f>IFERROR(__xludf.DUMMYFUNCTION("""COMPUTED_VALUE"""),"rcfpnh.vlr")</f>
        <v>rcfpnh.vlr</v>
      </c>
      <c r="M876" s="2" t="b">
        <f t="shared" si="4"/>
        <v>1</v>
      </c>
      <c r="N876" s="2">
        <f>IFERROR(__xludf.DUMMYFUNCTION("IF(AND(REGEXMATCH($G$4, ""cd""),M876),N875+J876)"),104752.0)</f>
        <v>104752</v>
      </c>
      <c r="O876" s="2" t="str">
        <f t="shared" si="5"/>
        <v>#N/A</v>
      </c>
    </row>
    <row r="877">
      <c r="A877" s="1" t="s">
        <v>488</v>
      </c>
      <c r="B877" s="2" t="str">
        <f t="shared" si="1"/>
        <v>#VALUE!</v>
      </c>
      <c r="C877" s="2" t="str">
        <f>IFERROR(__xludf.DUMMYFUNCTION("SPLIT(B877,"" "")"),"#VALUE!")</f>
        <v>#VALUE!</v>
      </c>
      <c r="E877" s="2" t="str">
        <f t="shared" si="2"/>
        <v>#VALUE!</v>
      </c>
      <c r="F877" s="2" t="str">
        <f>IFERROR(__xludf.DUMMYFUNCTION("SPLIT(E877,"" "")"),"#VALUE!")</f>
        <v>#VALUE!</v>
      </c>
      <c r="I877" s="2" t="str">
        <f t="shared" si="3"/>
        <v>185473 slzdbm.dbr</v>
      </c>
      <c r="J877" s="2">
        <f>IFERROR(__xludf.DUMMYFUNCTION("SPLIT(I877,"" "")"),185473.0)</f>
        <v>185473</v>
      </c>
      <c r="K877" s="2" t="str">
        <f>IFERROR(__xludf.DUMMYFUNCTION("""COMPUTED_VALUE"""),"slzdbm.dbr")</f>
        <v>slzdbm.dbr</v>
      </c>
      <c r="M877" s="2" t="b">
        <f t="shared" si="4"/>
        <v>1</v>
      </c>
      <c r="N877" s="2">
        <f>IFERROR(__xludf.DUMMYFUNCTION("IF(AND(REGEXMATCH($G$4, ""cd""),M877),N876+J877)"),290225.0)</f>
        <v>290225</v>
      </c>
      <c r="O877" s="2" t="str">
        <f t="shared" si="5"/>
        <v>#N/A</v>
      </c>
    </row>
    <row r="878">
      <c r="A878" s="1" t="s">
        <v>489</v>
      </c>
      <c r="B878" s="2" t="str">
        <f t="shared" si="1"/>
        <v>dir vpwf</v>
      </c>
      <c r="C878" s="2" t="str">
        <f>IFERROR(__xludf.DUMMYFUNCTION("SPLIT(B878,"" "")"),"dir")</f>
        <v>dir</v>
      </c>
      <c r="D878" s="2" t="str">
        <f>IFERROR(__xludf.DUMMYFUNCTION("""COMPUTED_VALUE"""),"vpwf")</f>
        <v>vpwf</v>
      </c>
      <c r="E878" s="2" t="str">
        <f t="shared" si="2"/>
        <v>#VALUE!</v>
      </c>
      <c r="F878" s="2" t="str">
        <f>IFERROR(__xludf.DUMMYFUNCTION("SPLIT(E878,"" "")"),"#VALUE!")</f>
        <v>#VALUE!</v>
      </c>
      <c r="I878" s="2" t="str">
        <f t="shared" si="3"/>
        <v>#VALUE!</v>
      </c>
      <c r="J878" s="2" t="str">
        <f>IFERROR(__xludf.DUMMYFUNCTION("SPLIT(I878,"" "")"),"#VALUE!")</f>
        <v>#VALUE!</v>
      </c>
      <c r="M878" s="2" t="b">
        <f t="shared" si="4"/>
        <v>0</v>
      </c>
      <c r="N878" s="2" t="b">
        <f>IFERROR(__xludf.DUMMYFUNCTION("IF(AND(REGEXMATCH($G$4, ""cd""),M878),N877+J878)"),FALSE)</f>
        <v>0</v>
      </c>
      <c r="O878" s="2" t="str">
        <f t="shared" si="5"/>
        <v>#N/A</v>
      </c>
    </row>
    <row r="879">
      <c r="A879" s="1" t="s">
        <v>490</v>
      </c>
      <c r="B879" s="2" t="str">
        <f t="shared" si="1"/>
        <v>dir zhngz</v>
      </c>
      <c r="C879" s="2" t="str">
        <f>IFERROR(__xludf.DUMMYFUNCTION("SPLIT(B879,"" "")"),"dir")</f>
        <v>dir</v>
      </c>
      <c r="D879" s="2" t="str">
        <f>IFERROR(__xludf.DUMMYFUNCTION("""COMPUTED_VALUE"""),"zhngz")</f>
        <v>zhngz</v>
      </c>
      <c r="E879" s="2" t="str">
        <f t="shared" si="2"/>
        <v>#VALUE!</v>
      </c>
      <c r="F879" s="2" t="str">
        <f>IFERROR(__xludf.DUMMYFUNCTION("SPLIT(E879,"" "")"),"#VALUE!")</f>
        <v>#VALUE!</v>
      </c>
      <c r="I879" s="2" t="str">
        <f t="shared" si="3"/>
        <v>#VALUE!</v>
      </c>
      <c r="J879" s="2" t="str">
        <f>IFERROR(__xludf.DUMMYFUNCTION("SPLIT(I879,"" "")"),"#VALUE!")</f>
        <v>#VALUE!</v>
      </c>
      <c r="M879" s="2" t="b">
        <f t="shared" si="4"/>
        <v>0</v>
      </c>
      <c r="N879" s="2" t="b">
        <f>IFERROR(__xludf.DUMMYFUNCTION("IF(AND(REGEXMATCH($G$4, ""cd""),M879),N878+J879)"),FALSE)</f>
        <v>0</v>
      </c>
      <c r="O879" s="2" t="str">
        <f t="shared" si="5"/>
        <v>#N/A</v>
      </c>
    </row>
    <row r="880">
      <c r="A880" s="1" t="s">
        <v>491</v>
      </c>
      <c r="B880" s="2" t="str">
        <f t="shared" si="1"/>
        <v>#VALUE!</v>
      </c>
      <c r="C880" s="2" t="str">
        <f>IFERROR(__xludf.DUMMYFUNCTION("SPLIT(B880,"" "")"),"#VALUE!")</f>
        <v>#VALUE!</v>
      </c>
      <c r="E880" s="2" t="str">
        <f t="shared" si="2"/>
        <v>$ cd vpwf</v>
      </c>
      <c r="F880" s="2" t="str">
        <f>IFERROR(__xludf.DUMMYFUNCTION("SPLIT(E880,"" "")"),"$")</f>
        <v>$</v>
      </c>
      <c r="G880" s="2" t="str">
        <f>IFERROR(__xludf.DUMMYFUNCTION("""COMPUTED_VALUE"""),"cd")</f>
        <v>cd</v>
      </c>
      <c r="H880" s="2" t="str">
        <f>IFERROR(__xludf.DUMMYFUNCTION("""COMPUTED_VALUE"""),"vpwf")</f>
        <v>vpwf</v>
      </c>
      <c r="I880" s="2" t="str">
        <f t="shared" si="3"/>
        <v>#VALUE!</v>
      </c>
      <c r="J880" s="2" t="str">
        <f>IFERROR(__xludf.DUMMYFUNCTION("SPLIT(I880,"" "")"),"#VALUE!")</f>
        <v>#VALUE!</v>
      </c>
      <c r="M880" s="2" t="b">
        <f t="shared" si="4"/>
        <v>0</v>
      </c>
      <c r="N880" s="2" t="b">
        <f>IFERROR(__xludf.DUMMYFUNCTION("IF(AND(REGEXMATCH($G$4, ""cd""),M880),N879+J880)"),FALSE)</f>
        <v>0</v>
      </c>
      <c r="O880" s="2" t="str">
        <f t="shared" si="5"/>
        <v>#N/A</v>
      </c>
    </row>
    <row r="881">
      <c r="A881" s="1" t="s">
        <v>2</v>
      </c>
      <c r="B881" s="2" t="str">
        <f t="shared" si="1"/>
        <v>#VALUE!</v>
      </c>
      <c r="C881" s="2" t="str">
        <f>IFERROR(__xludf.DUMMYFUNCTION("SPLIT(B881,"" "")"),"#VALUE!")</f>
        <v>#VALUE!</v>
      </c>
      <c r="E881" s="2" t="str">
        <f t="shared" si="2"/>
        <v>#VALUE!</v>
      </c>
      <c r="F881" s="2" t="str">
        <f>IFERROR(__xludf.DUMMYFUNCTION("SPLIT(E881,"" "")"),"#VALUE!")</f>
        <v>#VALUE!</v>
      </c>
      <c r="I881" s="2" t="str">
        <f t="shared" si="3"/>
        <v>#VALUE!</v>
      </c>
      <c r="J881" s="2" t="str">
        <f>IFERROR(__xludf.DUMMYFUNCTION("SPLIT(I881,"" "")"),"#VALUE!")</f>
        <v>#VALUE!</v>
      </c>
      <c r="M881" s="2" t="b">
        <f t="shared" si="4"/>
        <v>0</v>
      </c>
      <c r="N881" s="2" t="b">
        <f>IFERROR(__xludf.DUMMYFUNCTION("IF(AND(REGEXMATCH($G$4, ""cd""),M881),N880+J881)"),FALSE)</f>
        <v>0</v>
      </c>
      <c r="O881" s="2" t="str">
        <f t="shared" si="5"/>
        <v>#N/A</v>
      </c>
    </row>
    <row r="882">
      <c r="A882" s="1" t="s">
        <v>492</v>
      </c>
      <c r="B882" s="2" t="str">
        <f t="shared" si="1"/>
        <v>#VALUE!</v>
      </c>
      <c r="C882" s="2" t="str">
        <f>IFERROR(__xludf.DUMMYFUNCTION("SPLIT(B882,"" "")"),"#VALUE!")</f>
        <v>#VALUE!</v>
      </c>
      <c r="E882" s="2" t="str">
        <f t="shared" si="2"/>
        <v>#VALUE!</v>
      </c>
      <c r="F882" s="2" t="str">
        <f>IFERROR(__xludf.DUMMYFUNCTION("SPLIT(E882,"" "")"),"#VALUE!")</f>
        <v>#VALUE!</v>
      </c>
      <c r="I882" s="2" t="str">
        <f t="shared" si="3"/>
        <v>266988 frhvp.ltf</v>
      </c>
      <c r="J882" s="2">
        <f>IFERROR(__xludf.DUMMYFUNCTION("SPLIT(I882,"" "")"),266988.0)</f>
        <v>266988</v>
      </c>
      <c r="K882" s="2" t="str">
        <f>IFERROR(__xludf.DUMMYFUNCTION("""COMPUTED_VALUE"""),"frhvp.ltf")</f>
        <v>frhvp.ltf</v>
      </c>
      <c r="M882" s="2" t="b">
        <f t="shared" si="4"/>
        <v>1</v>
      </c>
      <c r="N882" s="2">
        <f>IFERROR(__xludf.DUMMYFUNCTION("IF(AND(REGEXMATCH($G$4, ""cd""),M882),N881+J882)"),266988.0)</f>
        <v>266988</v>
      </c>
      <c r="O882" s="2" t="str">
        <f t="shared" si="5"/>
        <v>#N/A</v>
      </c>
    </row>
    <row r="883">
      <c r="A883" s="1" t="s">
        <v>493</v>
      </c>
      <c r="B883" s="2" t="str">
        <f t="shared" si="1"/>
        <v>#VALUE!</v>
      </c>
      <c r="C883" s="2" t="str">
        <f>IFERROR(__xludf.DUMMYFUNCTION("SPLIT(B883,"" "")"),"#VALUE!")</f>
        <v>#VALUE!</v>
      </c>
      <c r="E883" s="2" t="str">
        <f t="shared" si="2"/>
        <v>82931 mpq.cdn</v>
      </c>
      <c r="F883" s="2">
        <f>IFERROR(__xludf.DUMMYFUNCTION("SPLIT(E883,"" "")"),82931.0)</f>
        <v>82931</v>
      </c>
      <c r="G883" s="2" t="str">
        <f>IFERROR(__xludf.DUMMYFUNCTION("""COMPUTED_VALUE"""),"mpq.cdn")</f>
        <v>mpq.cdn</v>
      </c>
      <c r="I883" s="2" t="str">
        <f t="shared" si="3"/>
        <v>82931 mpq.cdn</v>
      </c>
      <c r="J883" s="2">
        <f>IFERROR(__xludf.DUMMYFUNCTION("SPLIT(I883,"" "")"),82931.0)</f>
        <v>82931</v>
      </c>
      <c r="K883" s="2" t="str">
        <f>IFERROR(__xludf.DUMMYFUNCTION("""COMPUTED_VALUE"""),"mpq.cdn")</f>
        <v>mpq.cdn</v>
      </c>
      <c r="M883" s="2" t="b">
        <f t="shared" si="4"/>
        <v>1</v>
      </c>
      <c r="N883" s="2">
        <f>IFERROR(__xludf.DUMMYFUNCTION("IF(AND(REGEXMATCH($G$4, ""cd""),M883),N882+J883)"),349919.0)</f>
        <v>349919</v>
      </c>
      <c r="O883" s="2" t="str">
        <f t="shared" si="5"/>
        <v>#N/A</v>
      </c>
    </row>
    <row r="884">
      <c r="A884" s="1" t="s">
        <v>17</v>
      </c>
      <c r="B884" s="2" t="str">
        <f t="shared" si="1"/>
        <v>#VALUE!</v>
      </c>
      <c r="C884" s="2" t="str">
        <f>IFERROR(__xludf.DUMMYFUNCTION("SPLIT(B884,"" "")"),"#VALUE!")</f>
        <v>#VALUE!</v>
      </c>
      <c r="E884" s="2" t="str">
        <f t="shared" si="2"/>
        <v>$ cd ..</v>
      </c>
      <c r="F884" s="2" t="str">
        <f>IFERROR(__xludf.DUMMYFUNCTION("SPLIT(E884,"" "")"),"$")</f>
        <v>$</v>
      </c>
      <c r="G884" s="2" t="str">
        <f>IFERROR(__xludf.DUMMYFUNCTION("""COMPUTED_VALUE"""),"cd")</f>
        <v>cd</v>
      </c>
      <c r="H884" s="2" t="str">
        <f>IFERROR(__xludf.DUMMYFUNCTION("""COMPUTED_VALUE"""),"..")</f>
        <v>..</v>
      </c>
      <c r="I884" s="2" t="str">
        <f t="shared" si="3"/>
        <v>$ cd ..</v>
      </c>
      <c r="J884" s="2" t="str">
        <f>IFERROR(__xludf.DUMMYFUNCTION("SPLIT(I884,"" "")"),"$")</f>
        <v>$</v>
      </c>
      <c r="K884" s="2" t="str">
        <f>IFERROR(__xludf.DUMMYFUNCTION("""COMPUTED_VALUE"""),"cd")</f>
        <v>cd</v>
      </c>
      <c r="L884" s="2" t="str">
        <f>IFERROR(__xludf.DUMMYFUNCTION("""COMPUTED_VALUE"""),"..")</f>
        <v>..</v>
      </c>
      <c r="M884" s="2" t="b">
        <f t="shared" si="4"/>
        <v>0</v>
      </c>
      <c r="N884" s="2" t="b">
        <f>IFERROR(__xludf.DUMMYFUNCTION("IF(AND(REGEXMATCH($G$4, ""cd""),M884),N883+J884)"),FALSE)</f>
        <v>0</v>
      </c>
      <c r="O884" s="2" t="str">
        <f t="shared" si="5"/>
        <v>#N/A</v>
      </c>
    </row>
    <row r="885">
      <c r="A885" s="1" t="s">
        <v>494</v>
      </c>
      <c r="B885" s="2" t="str">
        <f t="shared" si="1"/>
        <v>#VALUE!</v>
      </c>
      <c r="C885" s="2" t="str">
        <f>IFERROR(__xludf.DUMMYFUNCTION("SPLIT(B885,"" "")"),"#VALUE!")</f>
        <v>#VALUE!</v>
      </c>
      <c r="E885" s="2" t="str">
        <f t="shared" si="2"/>
        <v>$ cd zhngz</v>
      </c>
      <c r="F885" s="2" t="str">
        <f>IFERROR(__xludf.DUMMYFUNCTION("SPLIT(E885,"" "")"),"$")</f>
        <v>$</v>
      </c>
      <c r="G885" s="2" t="str">
        <f>IFERROR(__xludf.DUMMYFUNCTION("""COMPUTED_VALUE"""),"cd")</f>
        <v>cd</v>
      </c>
      <c r="H885" s="2" t="str">
        <f>IFERROR(__xludf.DUMMYFUNCTION("""COMPUTED_VALUE"""),"zhngz")</f>
        <v>zhngz</v>
      </c>
      <c r="I885" s="2" t="str">
        <f t="shared" si="3"/>
        <v>#VALUE!</v>
      </c>
      <c r="J885" s="2" t="str">
        <f>IFERROR(__xludf.DUMMYFUNCTION("SPLIT(I885,"" "")"),"#VALUE!")</f>
        <v>#VALUE!</v>
      </c>
      <c r="M885" s="2" t="b">
        <f t="shared" si="4"/>
        <v>0</v>
      </c>
      <c r="N885" s="2" t="b">
        <f>IFERROR(__xludf.DUMMYFUNCTION("IF(AND(REGEXMATCH($G$4, ""cd""),M885),N884+J885)"),FALSE)</f>
        <v>0</v>
      </c>
      <c r="O885" s="2" t="str">
        <f t="shared" si="5"/>
        <v>#N/A</v>
      </c>
    </row>
    <row r="886">
      <c r="A886" s="1" t="s">
        <v>2</v>
      </c>
      <c r="B886" s="2" t="str">
        <f t="shared" si="1"/>
        <v>#VALUE!</v>
      </c>
      <c r="C886" s="2" t="str">
        <f>IFERROR(__xludf.DUMMYFUNCTION("SPLIT(B886,"" "")"),"#VALUE!")</f>
        <v>#VALUE!</v>
      </c>
      <c r="E886" s="2" t="str">
        <f t="shared" si="2"/>
        <v>#VALUE!</v>
      </c>
      <c r="F886" s="2" t="str">
        <f>IFERROR(__xludf.DUMMYFUNCTION("SPLIT(E886,"" "")"),"#VALUE!")</f>
        <v>#VALUE!</v>
      </c>
      <c r="I886" s="2" t="str">
        <f t="shared" si="3"/>
        <v>#VALUE!</v>
      </c>
      <c r="J886" s="2" t="str">
        <f>IFERROR(__xludf.DUMMYFUNCTION("SPLIT(I886,"" "")"),"#VALUE!")</f>
        <v>#VALUE!</v>
      </c>
      <c r="M886" s="2" t="b">
        <f t="shared" si="4"/>
        <v>0</v>
      </c>
      <c r="N886" s="2" t="b">
        <f>IFERROR(__xludf.DUMMYFUNCTION("IF(AND(REGEXMATCH($G$4, ""cd""),M886),N885+J886)"),FALSE)</f>
        <v>0</v>
      </c>
      <c r="O886" s="2" t="str">
        <f t="shared" si="5"/>
        <v>#N/A</v>
      </c>
    </row>
    <row r="887">
      <c r="A887" s="1" t="s">
        <v>495</v>
      </c>
      <c r="B887" s="2" t="str">
        <f t="shared" si="1"/>
        <v>#VALUE!</v>
      </c>
      <c r="C887" s="2" t="str">
        <f>IFERROR(__xludf.DUMMYFUNCTION("SPLIT(B887,"" "")"),"#VALUE!")</f>
        <v>#VALUE!</v>
      </c>
      <c r="E887" s="2" t="str">
        <f t="shared" si="2"/>
        <v>#VALUE!</v>
      </c>
      <c r="F887" s="2" t="str">
        <f>IFERROR(__xludf.DUMMYFUNCTION("SPLIT(E887,"" "")"),"#VALUE!")</f>
        <v>#VALUE!</v>
      </c>
      <c r="I887" s="2" t="str">
        <f t="shared" si="3"/>
        <v>#VALUE!</v>
      </c>
      <c r="J887" s="2" t="str">
        <f>IFERROR(__xludf.DUMMYFUNCTION("SPLIT(I887,"" "")"),"#VALUE!")</f>
        <v>#VALUE!</v>
      </c>
      <c r="M887" s="2" t="b">
        <f t="shared" si="4"/>
        <v>0</v>
      </c>
      <c r="N887" s="2" t="b">
        <f>IFERROR(__xludf.DUMMYFUNCTION("IF(AND(REGEXMATCH($G$4, ""cd""),M887),N886+J887)"),FALSE)</f>
        <v>0</v>
      </c>
      <c r="O887" s="2" t="str">
        <f t="shared" si="5"/>
        <v>#N/A</v>
      </c>
    </row>
    <row r="888">
      <c r="A888" s="1" t="s">
        <v>17</v>
      </c>
      <c r="B888" s="2" t="str">
        <f t="shared" si="1"/>
        <v>#VALUE!</v>
      </c>
      <c r="C888" s="2" t="str">
        <f>IFERROR(__xludf.DUMMYFUNCTION("SPLIT(B888,"" "")"),"#VALUE!")</f>
        <v>#VALUE!</v>
      </c>
      <c r="E888" s="2" t="str">
        <f t="shared" si="2"/>
        <v>$ cd ..</v>
      </c>
      <c r="F888" s="2" t="str">
        <f>IFERROR(__xludf.DUMMYFUNCTION("SPLIT(E888,"" "")"),"$")</f>
        <v>$</v>
      </c>
      <c r="G888" s="2" t="str">
        <f>IFERROR(__xludf.DUMMYFUNCTION("""COMPUTED_VALUE"""),"cd")</f>
        <v>cd</v>
      </c>
      <c r="H888" s="2" t="str">
        <f>IFERROR(__xludf.DUMMYFUNCTION("""COMPUTED_VALUE"""),"..")</f>
        <v>..</v>
      </c>
      <c r="I888" s="2" t="str">
        <f t="shared" si="3"/>
        <v>$ cd ..</v>
      </c>
      <c r="J888" s="2" t="str">
        <f>IFERROR(__xludf.DUMMYFUNCTION("SPLIT(I888,"" "")"),"$")</f>
        <v>$</v>
      </c>
      <c r="K888" s="2" t="str">
        <f>IFERROR(__xludf.DUMMYFUNCTION("""COMPUTED_VALUE"""),"cd")</f>
        <v>cd</v>
      </c>
      <c r="L888" s="2" t="str">
        <f>IFERROR(__xludf.DUMMYFUNCTION("""COMPUTED_VALUE"""),"..")</f>
        <v>..</v>
      </c>
      <c r="M888" s="2" t="b">
        <f t="shared" si="4"/>
        <v>0</v>
      </c>
      <c r="N888" s="2" t="b">
        <f>IFERROR(__xludf.DUMMYFUNCTION("IF(AND(REGEXMATCH($G$4, ""cd""),M888),N887+J888)"),FALSE)</f>
        <v>0</v>
      </c>
      <c r="O888" s="2" t="str">
        <f t="shared" si="5"/>
        <v>#N/A</v>
      </c>
    </row>
    <row r="889">
      <c r="A889" s="1" t="s">
        <v>17</v>
      </c>
      <c r="B889" s="2" t="str">
        <f t="shared" si="1"/>
        <v>#VALUE!</v>
      </c>
      <c r="C889" s="2" t="str">
        <f>IFERROR(__xludf.DUMMYFUNCTION("SPLIT(B889,"" "")"),"#VALUE!")</f>
        <v>#VALUE!</v>
      </c>
      <c r="E889" s="2" t="str">
        <f t="shared" si="2"/>
        <v>$ cd ..</v>
      </c>
      <c r="F889" s="2" t="str">
        <f>IFERROR(__xludf.DUMMYFUNCTION("SPLIT(E889,"" "")"),"$")</f>
        <v>$</v>
      </c>
      <c r="G889" s="2" t="str">
        <f>IFERROR(__xludf.DUMMYFUNCTION("""COMPUTED_VALUE"""),"cd")</f>
        <v>cd</v>
      </c>
      <c r="H889" s="2" t="str">
        <f>IFERROR(__xludf.DUMMYFUNCTION("""COMPUTED_VALUE"""),"..")</f>
        <v>..</v>
      </c>
      <c r="I889" s="2" t="str">
        <f t="shared" si="3"/>
        <v>$ cd ..</v>
      </c>
      <c r="J889" s="2" t="str">
        <f>IFERROR(__xludf.DUMMYFUNCTION("SPLIT(I889,"" "")"),"$")</f>
        <v>$</v>
      </c>
      <c r="K889" s="2" t="str">
        <f>IFERROR(__xludf.DUMMYFUNCTION("""COMPUTED_VALUE"""),"cd")</f>
        <v>cd</v>
      </c>
      <c r="L889" s="2" t="str">
        <f>IFERROR(__xludf.DUMMYFUNCTION("""COMPUTED_VALUE"""),"..")</f>
        <v>..</v>
      </c>
      <c r="M889" s="2" t="b">
        <f t="shared" si="4"/>
        <v>0</v>
      </c>
      <c r="N889" s="2" t="b">
        <f>IFERROR(__xludf.DUMMYFUNCTION("IF(AND(REGEXMATCH($G$4, ""cd""),M889),N888+J889)"),FALSE)</f>
        <v>0</v>
      </c>
      <c r="O889" s="2" t="str">
        <f t="shared" si="5"/>
        <v>#N/A</v>
      </c>
    </row>
    <row r="890">
      <c r="A890" s="1" t="s">
        <v>496</v>
      </c>
      <c r="B890" s="2" t="str">
        <f t="shared" si="1"/>
        <v>#VALUE!</v>
      </c>
      <c r="C890" s="2" t="str">
        <f>IFERROR(__xludf.DUMMYFUNCTION("SPLIT(B890,"" "")"),"#VALUE!")</f>
        <v>#VALUE!</v>
      </c>
      <c r="E890" s="2" t="str">
        <f t="shared" si="2"/>
        <v>$ cd jdtrdgqs</v>
      </c>
      <c r="F890" s="2" t="str">
        <f>IFERROR(__xludf.DUMMYFUNCTION("SPLIT(E890,"" "")"),"$")</f>
        <v>$</v>
      </c>
      <c r="G890" s="2" t="str">
        <f>IFERROR(__xludf.DUMMYFUNCTION("""COMPUTED_VALUE"""),"cd")</f>
        <v>cd</v>
      </c>
      <c r="H890" s="2" t="str">
        <f>IFERROR(__xludf.DUMMYFUNCTION("""COMPUTED_VALUE"""),"jdtrdgqs")</f>
        <v>jdtrdgqs</v>
      </c>
      <c r="I890" s="2" t="str">
        <f t="shared" si="3"/>
        <v>#VALUE!</v>
      </c>
      <c r="J890" s="2" t="str">
        <f>IFERROR(__xludf.DUMMYFUNCTION("SPLIT(I890,"" "")"),"#VALUE!")</f>
        <v>#VALUE!</v>
      </c>
      <c r="M890" s="2" t="b">
        <f t="shared" si="4"/>
        <v>0</v>
      </c>
      <c r="N890" s="2" t="b">
        <f>IFERROR(__xludf.DUMMYFUNCTION("IF(AND(REGEXMATCH($G$4, ""cd""),M890),N889+J890)"),FALSE)</f>
        <v>0</v>
      </c>
      <c r="O890" s="2" t="str">
        <f t="shared" si="5"/>
        <v>#N/A</v>
      </c>
    </row>
    <row r="891">
      <c r="A891" s="1" t="s">
        <v>2</v>
      </c>
      <c r="B891" s="2" t="str">
        <f t="shared" si="1"/>
        <v>#VALUE!</v>
      </c>
      <c r="C891" s="2" t="str">
        <f>IFERROR(__xludf.DUMMYFUNCTION("SPLIT(B891,"" "")"),"#VALUE!")</f>
        <v>#VALUE!</v>
      </c>
      <c r="E891" s="2" t="str">
        <f t="shared" si="2"/>
        <v>#VALUE!</v>
      </c>
      <c r="F891" s="2" t="str">
        <f>IFERROR(__xludf.DUMMYFUNCTION("SPLIT(E891,"" "")"),"#VALUE!")</f>
        <v>#VALUE!</v>
      </c>
      <c r="I891" s="2" t="str">
        <f t="shared" si="3"/>
        <v>#VALUE!</v>
      </c>
      <c r="J891" s="2" t="str">
        <f>IFERROR(__xludf.DUMMYFUNCTION("SPLIT(I891,"" "")"),"#VALUE!")</f>
        <v>#VALUE!</v>
      </c>
      <c r="M891" s="2" t="b">
        <f t="shared" si="4"/>
        <v>0</v>
      </c>
      <c r="N891" s="2" t="b">
        <f>IFERROR(__xludf.DUMMYFUNCTION("IF(AND(REGEXMATCH($G$4, ""cd""),M891),N890+J891)"),FALSE)</f>
        <v>0</v>
      </c>
      <c r="O891" s="2" t="str">
        <f t="shared" si="5"/>
        <v>#N/A</v>
      </c>
    </row>
    <row r="892">
      <c r="A892" s="1" t="s">
        <v>497</v>
      </c>
      <c r="B892" s="2" t="str">
        <f t="shared" si="1"/>
        <v>#VALUE!</v>
      </c>
      <c r="C892" s="2" t="str">
        <f>IFERROR(__xludf.DUMMYFUNCTION("SPLIT(B892,"" "")"),"#VALUE!")</f>
        <v>#VALUE!</v>
      </c>
      <c r="E892" s="2" t="str">
        <f t="shared" si="2"/>
        <v>#VALUE!</v>
      </c>
      <c r="F892" s="2" t="str">
        <f>IFERROR(__xludf.DUMMYFUNCTION("SPLIT(E892,"" "")"),"#VALUE!")</f>
        <v>#VALUE!</v>
      </c>
      <c r="I892" s="2" t="str">
        <f t="shared" si="3"/>
        <v>37106 hdjl.rrr</v>
      </c>
      <c r="J892" s="2">
        <f>IFERROR(__xludf.DUMMYFUNCTION("SPLIT(I892,"" "")"),37106.0)</f>
        <v>37106</v>
      </c>
      <c r="K892" s="2" t="str">
        <f>IFERROR(__xludf.DUMMYFUNCTION("""COMPUTED_VALUE"""),"hdjl.rrr")</f>
        <v>hdjl.rrr</v>
      </c>
      <c r="M892" s="2" t="b">
        <f t="shared" si="4"/>
        <v>1</v>
      </c>
      <c r="N892" s="2">
        <f>IFERROR(__xludf.DUMMYFUNCTION("IF(AND(REGEXMATCH($G$4, ""cd""),M892),N891+J892)"),37106.0)</f>
        <v>37106</v>
      </c>
      <c r="O892" s="2" t="str">
        <f t="shared" si="5"/>
        <v>#N/A</v>
      </c>
    </row>
    <row r="893">
      <c r="A893" s="1" t="s">
        <v>17</v>
      </c>
      <c r="B893" s="2" t="str">
        <f t="shared" si="1"/>
        <v>#VALUE!</v>
      </c>
      <c r="C893" s="2" t="str">
        <f>IFERROR(__xludf.DUMMYFUNCTION("SPLIT(B893,"" "")"),"#VALUE!")</f>
        <v>#VALUE!</v>
      </c>
      <c r="E893" s="2" t="str">
        <f t="shared" si="2"/>
        <v>$ cd ..</v>
      </c>
      <c r="F893" s="2" t="str">
        <f>IFERROR(__xludf.DUMMYFUNCTION("SPLIT(E893,"" "")"),"$")</f>
        <v>$</v>
      </c>
      <c r="G893" s="2" t="str">
        <f>IFERROR(__xludf.DUMMYFUNCTION("""COMPUTED_VALUE"""),"cd")</f>
        <v>cd</v>
      </c>
      <c r="H893" s="2" t="str">
        <f>IFERROR(__xludf.DUMMYFUNCTION("""COMPUTED_VALUE"""),"..")</f>
        <v>..</v>
      </c>
      <c r="I893" s="2" t="str">
        <f t="shared" si="3"/>
        <v>$ cd ..</v>
      </c>
      <c r="J893" s="2" t="str">
        <f>IFERROR(__xludf.DUMMYFUNCTION("SPLIT(I893,"" "")"),"$")</f>
        <v>$</v>
      </c>
      <c r="K893" s="2" t="str">
        <f>IFERROR(__xludf.DUMMYFUNCTION("""COMPUTED_VALUE"""),"cd")</f>
        <v>cd</v>
      </c>
      <c r="L893" s="2" t="str">
        <f>IFERROR(__xludf.DUMMYFUNCTION("""COMPUTED_VALUE"""),"..")</f>
        <v>..</v>
      </c>
      <c r="M893" s="2" t="b">
        <f t="shared" si="4"/>
        <v>0</v>
      </c>
      <c r="N893" s="2" t="b">
        <f>IFERROR(__xludf.DUMMYFUNCTION("IF(AND(REGEXMATCH($G$4, ""cd""),M893),N892+J893)"),FALSE)</f>
        <v>0</v>
      </c>
      <c r="O893" s="2" t="str">
        <f t="shared" si="5"/>
        <v>#N/A</v>
      </c>
    </row>
    <row r="894">
      <c r="A894" s="1" t="s">
        <v>498</v>
      </c>
      <c r="B894" s="2" t="str">
        <f t="shared" si="1"/>
        <v>#VALUE!</v>
      </c>
      <c r="C894" s="2" t="str">
        <f>IFERROR(__xludf.DUMMYFUNCTION("SPLIT(B894,"" "")"),"#VALUE!")</f>
        <v>#VALUE!</v>
      </c>
      <c r="E894" s="2" t="str">
        <f t="shared" si="2"/>
        <v>$ cd lrldsqcr</v>
      </c>
      <c r="F894" s="2" t="str">
        <f>IFERROR(__xludf.DUMMYFUNCTION("SPLIT(E894,"" "")"),"$")</f>
        <v>$</v>
      </c>
      <c r="G894" s="2" t="str">
        <f>IFERROR(__xludf.DUMMYFUNCTION("""COMPUTED_VALUE"""),"cd")</f>
        <v>cd</v>
      </c>
      <c r="H894" s="2" t="str">
        <f>IFERROR(__xludf.DUMMYFUNCTION("""COMPUTED_VALUE"""),"lrldsqcr")</f>
        <v>lrldsqcr</v>
      </c>
      <c r="I894" s="2" t="str">
        <f t="shared" si="3"/>
        <v>#VALUE!</v>
      </c>
      <c r="J894" s="2" t="str">
        <f>IFERROR(__xludf.DUMMYFUNCTION("SPLIT(I894,"" "")"),"#VALUE!")</f>
        <v>#VALUE!</v>
      </c>
      <c r="M894" s="2" t="b">
        <f t="shared" si="4"/>
        <v>0</v>
      </c>
      <c r="N894" s="2" t="b">
        <f>IFERROR(__xludf.DUMMYFUNCTION("IF(AND(REGEXMATCH($G$4, ""cd""),M894),N893+J894)"),FALSE)</f>
        <v>0</v>
      </c>
      <c r="O894" s="2" t="str">
        <f t="shared" si="5"/>
        <v>#N/A</v>
      </c>
    </row>
    <row r="895">
      <c r="A895" s="1" t="s">
        <v>2</v>
      </c>
      <c r="B895" s="2" t="str">
        <f t="shared" si="1"/>
        <v>#VALUE!</v>
      </c>
      <c r="C895" s="2" t="str">
        <f>IFERROR(__xludf.DUMMYFUNCTION("SPLIT(B895,"" "")"),"#VALUE!")</f>
        <v>#VALUE!</v>
      </c>
      <c r="E895" s="2" t="str">
        <f t="shared" si="2"/>
        <v>#VALUE!</v>
      </c>
      <c r="F895" s="2" t="str">
        <f>IFERROR(__xludf.DUMMYFUNCTION("SPLIT(E895,"" "")"),"#VALUE!")</f>
        <v>#VALUE!</v>
      </c>
      <c r="I895" s="2" t="str">
        <f t="shared" si="3"/>
        <v>#VALUE!</v>
      </c>
      <c r="J895" s="2" t="str">
        <f>IFERROR(__xludf.DUMMYFUNCTION("SPLIT(I895,"" "")"),"#VALUE!")</f>
        <v>#VALUE!</v>
      </c>
      <c r="M895" s="2" t="b">
        <f t="shared" si="4"/>
        <v>0</v>
      </c>
      <c r="N895" s="2" t="b">
        <f>IFERROR(__xludf.DUMMYFUNCTION("IF(AND(REGEXMATCH($G$4, ""cd""),M895),N894+J895)"),FALSE)</f>
        <v>0</v>
      </c>
      <c r="O895" s="2" t="str">
        <f t="shared" si="5"/>
        <v>#N/A</v>
      </c>
    </row>
    <row r="896">
      <c r="A896" s="1" t="s">
        <v>499</v>
      </c>
      <c r="B896" s="2" t="str">
        <f t="shared" si="1"/>
        <v>dir brwcprn</v>
      </c>
      <c r="C896" s="2" t="str">
        <f>IFERROR(__xludf.DUMMYFUNCTION("SPLIT(B896,"" "")"),"dir")</f>
        <v>dir</v>
      </c>
      <c r="D896" s="2" t="str">
        <f>IFERROR(__xludf.DUMMYFUNCTION("""COMPUTED_VALUE"""),"brwcprn")</f>
        <v>brwcprn</v>
      </c>
      <c r="E896" s="2" t="str">
        <f t="shared" si="2"/>
        <v>#VALUE!</v>
      </c>
      <c r="F896" s="2" t="str">
        <f>IFERROR(__xludf.DUMMYFUNCTION("SPLIT(E896,"" "")"),"#VALUE!")</f>
        <v>#VALUE!</v>
      </c>
      <c r="I896" s="2" t="str">
        <f t="shared" si="3"/>
        <v>#VALUE!</v>
      </c>
      <c r="J896" s="2" t="str">
        <f>IFERROR(__xludf.DUMMYFUNCTION("SPLIT(I896,"" "")"),"#VALUE!")</f>
        <v>#VALUE!</v>
      </c>
      <c r="M896" s="2" t="b">
        <f t="shared" si="4"/>
        <v>0</v>
      </c>
      <c r="N896" s="2" t="b">
        <f>IFERROR(__xludf.DUMMYFUNCTION("IF(AND(REGEXMATCH($G$4, ""cd""),M896),N895+J896)"),FALSE)</f>
        <v>0</v>
      </c>
      <c r="O896" s="2" t="str">
        <f t="shared" si="5"/>
        <v>#N/A</v>
      </c>
    </row>
    <row r="897">
      <c r="A897" s="1" t="s">
        <v>50</v>
      </c>
      <c r="B897" s="2" t="str">
        <f t="shared" si="1"/>
        <v>dir hlvpfw</v>
      </c>
      <c r="C897" s="2" t="str">
        <f>IFERROR(__xludf.DUMMYFUNCTION("SPLIT(B897,"" "")"),"dir")</f>
        <v>dir</v>
      </c>
      <c r="D897" s="2" t="str">
        <f>IFERROR(__xludf.DUMMYFUNCTION("""COMPUTED_VALUE"""),"hlvpfw")</f>
        <v>hlvpfw</v>
      </c>
      <c r="E897" s="2" t="str">
        <f t="shared" si="2"/>
        <v>#VALUE!</v>
      </c>
      <c r="F897" s="2" t="str">
        <f>IFERROR(__xludf.DUMMYFUNCTION("SPLIT(E897,"" "")"),"#VALUE!")</f>
        <v>#VALUE!</v>
      </c>
      <c r="I897" s="2" t="str">
        <f t="shared" si="3"/>
        <v>#VALUE!</v>
      </c>
      <c r="J897" s="2" t="str">
        <f>IFERROR(__xludf.DUMMYFUNCTION("SPLIT(I897,"" "")"),"#VALUE!")</f>
        <v>#VALUE!</v>
      </c>
      <c r="M897" s="2" t="b">
        <f t="shared" si="4"/>
        <v>0</v>
      </c>
      <c r="N897" s="2" t="b">
        <f>IFERROR(__xludf.DUMMYFUNCTION("IF(AND(REGEXMATCH($G$4, ""cd""),M897),N896+J897)"),FALSE)</f>
        <v>0</v>
      </c>
      <c r="O897" s="2" t="str">
        <f t="shared" si="5"/>
        <v>#N/A</v>
      </c>
    </row>
    <row r="898">
      <c r="A898" s="1" t="s">
        <v>4</v>
      </c>
      <c r="B898" s="2" t="str">
        <f t="shared" si="1"/>
        <v>dir jnwr</v>
      </c>
      <c r="C898" s="2" t="str">
        <f>IFERROR(__xludf.DUMMYFUNCTION("SPLIT(B898,"" "")"),"dir")</f>
        <v>dir</v>
      </c>
      <c r="D898" s="2" t="str">
        <f>IFERROR(__xludf.DUMMYFUNCTION("""COMPUTED_VALUE"""),"jnwr")</f>
        <v>jnwr</v>
      </c>
      <c r="E898" s="2" t="str">
        <f t="shared" si="2"/>
        <v>#VALUE!</v>
      </c>
      <c r="F898" s="2" t="str">
        <f>IFERROR(__xludf.DUMMYFUNCTION("SPLIT(E898,"" "")"),"#VALUE!")</f>
        <v>#VALUE!</v>
      </c>
      <c r="I898" s="2" t="str">
        <f t="shared" si="3"/>
        <v>#VALUE!</v>
      </c>
      <c r="J898" s="2" t="str">
        <f>IFERROR(__xludf.DUMMYFUNCTION("SPLIT(I898,"" "")"),"#VALUE!")</f>
        <v>#VALUE!</v>
      </c>
      <c r="M898" s="2" t="b">
        <f t="shared" si="4"/>
        <v>0</v>
      </c>
      <c r="N898" s="2" t="b">
        <f>IFERROR(__xludf.DUMMYFUNCTION("IF(AND(REGEXMATCH($G$4, ""cd""),M898),N897+J898)"),FALSE)</f>
        <v>0</v>
      </c>
      <c r="O898" s="2" t="str">
        <f t="shared" si="5"/>
        <v>#N/A</v>
      </c>
    </row>
    <row r="899">
      <c r="A899" s="1" t="s">
        <v>39</v>
      </c>
      <c r="B899" s="2" t="str">
        <f t="shared" si="1"/>
        <v>dir slzdbm</v>
      </c>
      <c r="C899" s="2" t="str">
        <f>IFERROR(__xludf.DUMMYFUNCTION("SPLIT(B899,"" "")"),"dir")</f>
        <v>dir</v>
      </c>
      <c r="D899" s="2" t="str">
        <f>IFERROR(__xludf.DUMMYFUNCTION("""COMPUTED_VALUE"""),"slzdbm")</f>
        <v>slzdbm</v>
      </c>
      <c r="E899" s="2" t="str">
        <f t="shared" si="2"/>
        <v>#VALUE!</v>
      </c>
      <c r="F899" s="2" t="str">
        <f>IFERROR(__xludf.DUMMYFUNCTION("SPLIT(E899,"" "")"),"#VALUE!")</f>
        <v>#VALUE!</v>
      </c>
      <c r="I899" s="2" t="str">
        <f t="shared" si="3"/>
        <v>#VALUE!</v>
      </c>
      <c r="J899" s="2" t="str">
        <f>IFERROR(__xludf.DUMMYFUNCTION("SPLIT(I899,"" "")"),"#VALUE!")</f>
        <v>#VALUE!</v>
      </c>
      <c r="M899" s="2" t="b">
        <f t="shared" si="4"/>
        <v>0</v>
      </c>
      <c r="N899" s="2" t="b">
        <f>IFERROR(__xludf.DUMMYFUNCTION("IF(AND(REGEXMATCH($G$4, ""cd""),M899),N898+J899)"),FALSE)</f>
        <v>0</v>
      </c>
      <c r="O899" s="2" t="str">
        <f t="shared" si="5"/>
        <v>#N/A</v>
      </c>
    </row>
    <row r="900">
      <c r="A900" s="1" t="s">
        <v>500</v>
      </c>
      <c r="B900" s="2" t="str">
        <f t="shared" si="1"/>
        <v>dir wrmr</v>
      </c>
      <c r="C900" s="2" t="str">
        <f>IFERROR(__xludf.DUMMYFUNCTION("SPLIT(B900,"" "")"),"dir")</f>
        <v>dir</v>
      </c>
      <c r="D900" s="2" t="str">
        <f>IFERROR(__xludf.DUMMYFUNCTION("""COMPUTED_VALUE"""),"wrmr")</f>
        <v>wrmr</v>
      </c>
      <c r="E900" s="2" t="str">
        <f t="shared" si="2"/>
        <v>#VALUE!</v>
      </c>
      <c r="F900" s="2" t="str">
        <f>IFERROR(__xludf.DUMMYFUNCTION("SPLIT(E900,"" "")"),"#VALUE!")</f>
        <v>#VALUE!</v>
      </c>
      <c r="I900" s="2" t="str">
        <f t="shared" si="3"/>
        <v>#VALUE!</v>
      </c>
      <c r="J900" s="2" t="str">
        <f>IFERROR(__xludf.DUMMYFUNCTION("SPLIT(I900,"" "")"),"#VALUE!")</f>
        <v>#VALUE!</v>
      </c>
      <c r="M900" s="2" t="b">
        <f t="shared" si="4"/>
        <v>0</v>
      </c>
      <c r="N900" s="2" t="b">
        <f>IFERROR(__xludf.DUMMYFUNCTION("IF(AND(REGEXMATCH($G$4, ""cd""),M900),N899+J900)"),FALSE)</f>
        <v>0</v>
      </c>
      <c r="O900" s="2" t="str">
        <f t="shared" si="5"/>
        <v>#N/A</v>
      </c>
    </row>
    <row r="901">
      <c r="A901" s="1" t="s">
        <v>501</v>
      </c>
      <c r="B901" s="2" t="str">
        <f t="shared" si="1"/>
        <v>dir zjrdgf</v>
      </c>
      <c r="C901" s="2" t="str">
        <f>IFERROR(__xludf.DUMMYFUNCTION("SPLIT(B901,"" "")"),"dir")</f>
        <v>dir</v>
      </c>
      <c r="D901" s="2" t="str">
        <f>IFERROR(__xludf.DUMMYFUNCTION("""COMPUTED_VALUE"""),"zjrdgf")</f>
        <v>zjrdgf</v>
      </c>
      <c r="E901" s="2" t="str">
        <f t="shared" si="2"/>
        <v>#VALUE!</v>
      </c>
      <c r="F901" s="2" t="str">
        <f>IFERROR(__xludf.DUMMYFUNCTION("SPLIT(E901,"" "")"),"#VALUE!")</f>
        <v>#VALUE!</v>
      </c>
      <c r="I901" s="2" t="str">
        <f t="shared" si="3"/>
        <v>#VALUE!</v>
      </c>
      <c r="J901" s="2" t="str">
        <f>IFERROR(__xludf.DUMMYFUNCTION("SPLIT(I901,"" "")"),"#VALUE!")</f>
        <v>#VALUE!</v>
      </c>
      <c r="M901" s="2" t="b">
        <f t="shared" si="4"/>
        <v>0</v>
      </c>
      <c r="N901" s="2" t="b">
        <f>IFERROR(__xludf.DUMMYFUNCTION("IF(AND(REGEXMATCH($G$4, ""cd""),M901),N900+J901)"),FALSE)</f>
        <v>0</v>
      </c>
      <c r="O901" s="2" t="str">
        <f t="shared" si="5"/>
        <v>#N/A</v>
      </c>
    </row>
    <row r="902">
      <c r="A902" s="1" t="s">
        <v>502</v>
      </c>
      <c r="B902" s="2" t="str">
        <f t="shared" si="1"/>
        <v>dir zrpqf</v>
      </c>
      <c r="C902" s="2" t="str">
        <f>IFERROR(__xludf.DUMMYFUNCTION("SPLIT(B902,"" "")"),"dir")</f>
        <v>dir</v>
      </c>
      <c r="D902" s="2" t="str">
        <f>IFERROR(__xludf.DUMMYFUNCTION("""COMPUTED_VALUE"""),"zrpqf")</f>
        <v>zrpqf</v>
      </c>
      <c r="E902" s="2" t="str">
        <f t="shared" si="2"/>
        <v>#VALUE!</v>
      </c>
      <c r="F902" s="2" t="str">
        <f>IFERROR(__xludf.DUMMYFUNCTION("SPLIT(E902,"" "")"),"#VALUE!")</f>
        <v>#VALUE!</v>
      </c>
      <c r="I902" s="2" t="str">
        <f t="shared" si="3"/>
        <v>#VALUE!</v>
      </c>
      <c r="J902" s="2" t="str">
        <f>IFERROR(__xludf.DUMMYFUNCTION("SPLIT(I902,"" "")"),"#VALUE!")</f>
        <v>#VALUE!</v>
      </c>
      <c r="M902" s="2" t="b">
        <f t="shared" si="4"/>
        <v>0</v>
      </c>
      <c r="N902" s="2" t="b">
        <f>IFERROR(__xludf.DUMMYFUNCTION("IF(AND(REGEXMATCH($G$4, ""cd""),M902),N901+J902)"),FALSE)</f>
        <v>0</v>
      </c>
      <c r="O902" s="2" t="str">
        <f t="shared" si="5"/>
        <v>#N/A</v>
      </c>
    </row>
    <row r="903">
      <c r="A903" s="1" t="s">
        <v>503</v>
      </c>
      <c r="B903" s="2" t="str">
        <f t="shared" si="1"/>
        <v>#VALUE!</v>
      </c>
      <c r="C903" s="2" t="str">
        <f>IFERROR(__xludf.DUMMYFUNCTION("SPLIT(B903,"" "")"),"#VALUE!")</f>
        <v>#VALUE!</v>
      </c>
      <c r="E903" s="2" t="str">
        <f t="shared" si="2"/>
        <v>$ cd brwcprn</v>
      </c>
      <c r="F903" s="2" t="str">
        <f>IFERROR(__xludf.DUMMYFUNCTION("SPLIT(E903,"" "")"),"$")</f>
        <v>$</v>
      </c>
      <c r="G903" s="2" t="str">
        <f>IFERROR(__xludf.DUMMYFUNCTION("""COMPUTED_VALUE"""),"cd")</f>
        <v>cd</v>
      </c>
      <c r="H903" s="2" t="str">
        <f>IFERROR(__xludf.DUMMYFUNCTION("""COMPUTED_VALUE"""),"brwcprn")</f>
        <v>brwcprn</v>
      </c>
      <c r="I903" s="2" t="str">
        <f t="shared" si="3"/>
        <v>#VALUE!</v>
      </c>
      <c r="J903" s="2" t="str">
        <f>IFERROR(__xludf.DUMMYFUNCTION("SPLIT(I903,"" "")"),"#VALUE!")</f>
        <v>#VALUE!</v>
      </c>
      <c r="M903" s="2" t="b">
        <f t="shared" si="4"/>
        <v>0</v>
      </c>
      <c r="N903" s="2" t="b">
        <f>IFERROR(__xludf.DUMMYFUNCTION("IF(AND(REGEXMATCH($G$4, ""cd""),M903),N902+J903)"),FALSE)</f>
        <v>0</v>
      </c>
      <c r="O903" s="2" t="str">
        <f t="shared" si="5"/>
        <v>#N/A</v>
      </c>
    </row>
    <row r="904">
      <c r="A904" s="1" t="s">
        <v>2</v>
      </c>
      <c r="B904" s="2" t="str">
        <f t="shared" si="1"/>
        <v>#VALUE!</v>
      </c>
      <c r="C904" s="2" t="str">
        <f>IFERROR(__xludf.DUMMYFUNCTION("SPLIT(B904,"" "")"),"#VALUE!")</f>
        <v>#VALUE!</v>
      </c>
      <c r="E904" s="2" t="str">
        <f t="shared" si="2"/>
        <v>#VALUE!</v>
      </c>
      <c r="F904" s="2" t="str">
        <f>IFERROR(__xludf.DUMMYFUNCTION("SPLIT(E904,"" "")"),"#VALUE!")</f>
        <v>#VALUE!</v>
      </c>
      <c r="I904" s="2" t="str">
        <f t="shared" si="3"/>
        <v>#VALUE!</v>
      </c>
      <c r="J904" s="2" t="str">
        <f>IFERROR(__xludf.DUMMYFUNCTION("SPLIT(I904,"" "")"),"#VALUE!")</f>
        <v>#VALUE!</v>
      </c>
      <c r="M904" s="2" t="b">
        <f t="shared" si="4"/>
        <v>0</v>
      </c>
      <c r="N904" s="2" t="b">
        <f>IFERROR(__xludf.DUMMYFUNCTION("IF(AND(REGEXMATCH($G$4, ""cd""),M904),N903+J904)"),FALSE)</f>
        <v>0</v>
      </c>
      <c r="O904" s="2" t="str">
        <f t="shared" si="5"/>
        <v>#N/A</v>
      </c>
    </row>
    <row r="905">
      <c r="A905" s="1" t="s">
        <v>504</v>
      </c>
      <c r="B905" s="2" t="str">
        <f t="shared" si="1"/>
        <v>dir bmjwts</v>
      </c>
      <c r="C905" s="2" t="str">
        <f>IFERROR(__xludf.DUMMYFUNCTION("SPLIT(B905,"" "")"),"dir")</f>
        <v>dir</v>
      </c>
      <c r="D905" s="2" t="str">
        <f>IFERROR(__xludf.DUMMYFUNCTION("""COMPUTED_VALUE"""),"bmjwts")</f>
        <v>bmjwts</v>
      </c>
      <c r="E905" s="2" t="str">
        <f t="shared" si="2"/>
        <v>#VALUE!</v>
      </c>
      <c r="F905" s="2" t="str">
        <f>IFERROR(__xludf.DUMMYFUNCTION("SPLIT(E905,"" "")"),"#VALUE!")</f>
        <v>#VALUE!</v>
      </c>
      <c r="I905" s="2" t="str">
        <f t="shared" si="3"/>
        <v>#VALUE!</v>
      </c>
      <c r="J905" s="2" t="str">
        <f>IFERROR(__xludf.DUMMYFUNCTION("SPLIT(I905,"" "")"),"#VALUE!")</f>
        <v>#VALUE!</v>
      </c>
      <c r="M905" s="2" t="b">
        <f t="shared" si="4"/>
        <v>0</v>
      </c>
      <c r="N905" s="2" t="b">
        <f>IFERROR(__xludf.DUMMYFUNCTION("IF(AND(REGEXMATCH($G$4, ""cd""),M905),N904+J905)"),FALSE)</f>
        <v>0</v>
      </c>
      <c r="O905" s="2" t="str">
        <f t="shared" si="5"/>
        <v>#N/A</v>
      </c>
    </row>
    <row r="906">
      <c r="A906" s="1" t="s">
        <v>505</v>
      </c>
      <c r="B906" s="2" t="str">
        <f t="shared" si="1"/>
        <v>#VALUE!</v>
      </c>
      <c r="C906" s="2" t="str">
        <f>IFERROR(__xludf.DUMMYFUNCTION("SPLIT(B906,"" "")"),"#VALUE!")</f>
        <v>#VALUE!</v>
      </c>
      <c r="E906" s="2" t="str">
        <f t="shared" si="2"/>
        <v>$ cd bmjwts</v>
      </c>
      <c r="F906" s="2" t="str">
        <f>IFERROR(__xludf.DUMMYFUNCTION("SPLIT(E906,"" "")"),"$")</f>
        <v>$</v>
      </c>
      <c r="G906" s="2" t="str">
        <f>IFERROR(__xludf.DUMMYFUNCTION("""COMPUTED_VALUE"""),"cd")</f>
        <v>cd</v>
      </c>
      <c r="H906" s="2" t="str">
        <f>IFERROR(__xludf.DUMMYFUNCTION("""COMPUTED_VALUE"""),"bmjwts")</f>
        <v>bmjwts</v>
      </c>
      <c r="I906" s="2" t="str">
        <f t="shared" si="3"/>
        <v>#VALUE!</v>
      </c>
      <c r="J906" s="2" t="str">
        <f>IFERROR(__xludf.DUMMYFUNCTION("SPLIT(I906,"" "")"),"#VALUE!")</f>
        <v>#VALUE!</v>
      </c>
      <c r="M906" s="2" t="b">
        <f t="shared" si="4"/>
        <v>0</v>
      </c>
      <c r="N906" s="2" t="b">
        <f>IFERROR(__xludf.DUMMYFUNCTION("IF(AND(REGEXMATCH($G$4, ""cd""),M906),N905+J906)"),FALSE)</f>
        <v>0</v>
      </c>
      <c r="O906" s="2" t="str">
        <f t="shared" si="5"/>
        <v>#N/A</v>
      </c>
    </row>
    <row r="907">
      <c r="A907" s="1" t="s">
        <v>2</v>
      </c>
      <c r="B907" s="2" t="str">
        <f t="shared" si="1"/>
        <v>#VALUE!</v>
      </c>
      <c r="C907" s="2" t="str">
        <f>IFERROR(__xludf.DUMMYFUNCTION("SPLIT(B907,"" "")"),"#VALUE!")</f>
        <v>#VALUE!</v>
      </c>
      <c r="E907" s="2" t="str">
        <f t="shared" si="2"/>
        <v>#VALUE!</v>
      </c>
      <c r="F907" s="2" t="str">
        <f>IFERROR(__xludf.DUMMYFUNCTION("SPLIT(E907,"" "")"),"#VALUE!")</f>
        <v>#VALUE!</v>
      </c>
      <c r="I907" s="2" t="str">
        <f t="shared" si="3"/>
        <v>#VALUE!</v>
      </c>
      <c r="J907" s="2" t="str">
        <f>IFERROR(__xludf.DUMMYFUNCTION("SPLIT(I907,"" "")"),"#VALUE!")</f>
        <v>#VALUE!</v>
      </c>
      <c r="M907" s="2" t="b">
        <f t="shared" si="4"/>
        <v>0</v>
      </c>
      <c r="N907" s="2" t="b">
        <f>IFERROR(__xludf.DUMMYFUNCTION("IF(AND(REGEXMATCH($G$4, ""cd""),M907),N906+J907)"),FALSE)</f>
        <v>0</v>
      </c>
      <c r="O907" s="2" t="str">
        <f t="shared" si="5"/>
        <v>#N/A</v>
      </c>
    </row>
    <row r="908">
      <c r="A908" s="1" t="s">
        <v>506</v>
      </c>
      <c r="B908" s="2" t="str">
        <f t="shared" si="1"/>
        <v>#VALUE!</v>
      </c>
      <c r="C908" s="2" t="str">
        <f>IFERROR(__xludf.DUMMYFUNCTION("SPLIT(B908,"" "")"),"#VALUE!")</f>
        <v>#VALUE!</v>
      </c>
      <c r="E908" s="2" t="str">
        <f t="shared" si="2"/>
        <v>#VALUE!</v>
      </c>
      <c r="F908" s="2" t="str">
        <f>IFERROR(__xludf.DUMMYFUNCTION("SPLIT(E908,"" "")"),"#VALUE!")</f>
        <v>#VALUE!</v>
      </c>
      <c r="I908" s="2" t="str">
        <f t="shared" si="3"/>
        <v>#VALUE!</v>
      </c>
      <c r="J908" s="2" t="str">
        <f>IFERROR(__xludf.DUMMYFUNCTION("SPLIT(I908,"" "")"),"#VALUE!")</f>
        <v>#VALUE!</v>
      </c>
      <c r="M908" s="2" t="b">
        <f t="shared" si="4"/>
        <v>0</v>
      </c>
      <c r="N908" s="2" t="b">
        <f>IFERROR(__xludf.DUMMYFUNCTION("IF(AND(REGEXMATCH($G$4, ""cd""),M908),N907+J908)"),FALSE)</f>
        <v>0</v>
      </c>
      <c r="O908" s="2" t="str">
        <f t="shared" si="5"/>
        <v>#N/A</v>
      </c>
    </row>
    <row r="909">
      <c r="A909" s="1" t="s">
        <v>507</v>
      </c>
      <c r="B909" s="2" t="str">
        <f t="shared" si="1"/>
        <v>#VALUE!</v>
      </c>
      <c r="C909" s="2" t="str">
        <f>IFERROR(__xludf.DUMMYFUNCTION("SPLIT(B909,"" "")"),"#VALUE!")</f>
        <v>#VALUE!</v>
      </c>
      <c r="E909" s="2" t="str">
        <f t="shared" si="2"/>
        <v>#VALUE!</v>
      </c>
      <c r="F909" s="2" t="str">
        <f>IFERROR(__xludf.DUMMYFUNCTION("SPLIT(E909,"" "")"),"#VALUE!")</f>
        <v>#VALUE!</v>
      </c>
      <c r="I909" s="2" t="str">
        <f t="shared" si="3"/>
        <v>#VALUE!</v>
      </c>
      <c r="J909" s="2" t="str">
        <f>IFERROR(__xludf.DUMMYFUNCTION("SPLIT(I909,"" "")"),"#VALUE!")</f>
        <v>#VALUE!</v>
      </c>
      <c r="M909" s="2" t="b">
        <f t="shared" si="4"/>
        <v>0</v>
      </c>
      <c r="N909" s="2" t="b">
        <f>IFERROR(__xludf.DUMMYFUNCTION("IF(AND(REGEXMATCH($G$4, ""cd""),M909),N908+J909)"),FALSE)</f>
        <v>0</v>
      </c>
      <c r="O909" s="2" t="str">
        <f t="shared" si="5"/>
        <v>#N/A</v>
      </c>
    </row>
    <row r="910">
      <c r="A910" s="1" t="s">
        <v>17</v>
      </c>
      <c r="B910" s="2" t="str">
        <f t="shared" si="1"/>
        <v>#VALUE!</v>
      </c>
      <c r="C910" s="2" t="str">
        <f>IFERROR(__xludf.DUMMYFUNCTION("SPLIT(B910,"" "")"),"#VALUE!")</f>
        <v>#VALUE!</v>
      </c>
      <c r="E910" s="2" t="str">
        <f t="shared" si="2"/>
        <v>$ cd ..</v>
      </c>
      <c r="F910" s="2" t="str">
        <f>IFERROR(__xludf.DUMMYFUNCTION("SPLIT(E910,"" "")"),"$")</f>
        <v>$</v>
      </c>
      <c r="G910" s="2" t="str">
        <f>IFERROR(__xludf.DUMMYFUNCTION("""COMPUTED_VALUE"""),"cd")</f>
        <v>cd</v>
      </c>
      <c r="H910" s="2" t="str">
        <f>IFERROR(__xludf.DUMMYFUNCTION("""COMPUTED_VALUE"""),"..")</f>
        <v>..</v>
      </c>
      <c r="I910" s="2" t="str">
        <f t="shared" si="3"/>
        <v>$ cd ..</v>
      </c>
      <c r="J910" s="2" t="str">
        <f>IFERROR(__xludf.DUMMYFUNCTION("SPLIT(I910,"" "")"),"$")</f>
        <v>$</v>
      </c>
      <c r="K910" s="2" t="str">
        <f>IFERROR(__xludf.DUMMYFUNCTION("""COMPUTED_VALUE"""),"cd")</f>
        <v>cd</v>
      </c>
      <c r="L910" s="2" t="str">
        <f>IFERROR(__xludf.DUMMYFUNCTION("""COMPUTED_VALUE"""),"..")</f>
        <v>..</v>
      </c>
      <c r="M910" s="2" t="b">
        <f t="shared" si="4"/>
        <v>0</v>
      </c>
      <c r="N910" s="2" t="b">
        <f>IFERROR(__xludf.DUMMYFUNCTION("IF(AND(REGEXMATCH($G$4, ""cd""),M910),N909+J910)"),FALSE)</f>
        <v>0</v>
      </c>
      <c r="O910" s="2" t="str">
        <f t="shared" si="5"/>
        <v>#N/A</v>
      </c>
    </row>
    <row r="911">
      <c r="A911" s="1" t="s">
        <v>17</v>
      </c>
      <c r="B911" s="2" t="str">
        <f t="shared" si="1"/>
        <v>#VALUE!</v>
      </c>
      <c r="C911" s="2" t="str">
        <f>IFERROR(__xludf.DUMMYFUNCTION("SPLIT(B911,"" "")"),"#VALUE!")</f>
        <v>#VALUE!</v>
      </c>
      <c r="E911" s="2" t="str">
        <f t="shared" si="2"/>
        <v>$ cd ..</v>
      </c>
      <c r="F911" s="2" t="str">
        <f>IFERROR(__xludf.DUMMYFUNCTION("SPLIT(E911,"" "")"),"$")</f>
        <v>$</v>
      </c>
      <c r="G911" s="2" t="str">
        <f>IFERROR(__xludf.DUMMYFUNCTION("""COMPUTED_VALUE"""),"cd")</f>
        <v>cd</v>
      </c>
      <c r="H911" s="2" t="str">
        <f>IFERROR(__xludf.DUMMYFUNCTION("""COMPUTED_VALUE"""),"..")</f>
        <v>..</v>
      </c>
      <c r="I911" s="2" t="str">
        <f t="shared" si="3"/>
        <v>$ cd ..</v>
      </c>
      <c r="J911" s="2" t="str">
        <f>IFERROR(__xludf.DUMMYFUNCTION("SPLIT(I911,"" "")"),"$")</f>
        <v>$</v>
      </c>
      <c r="K911" s="2" t="str">
        <f>IFERROR(__xludf.DUMMYFUNCTION("""COMPUTED_VALUE"""),"cd")</f>
        <v>cd</v>
      </c>
      <c r="L911" s="2" t="str">
        <f>IFERROR(__xludf.DUMMYFUNCTION("""COMPUTED_VALUE"""),"..")</f>
        <v>..</v>
      </c>
      <c r="M911" s="2" t="b">
        <f t="shared" si="4"/>
        <v>0</v>
      </c>
      <c r="N911" s="2" t="b">
        <f>IFERROR(__xludf.DUMMYFUNCTION("IF(AND(REGEXMATCH($G$4, ""cd""),M911),N910+J911)"),FALSE)</f>
        <v>0</v>
      </c>
      <c r="O911" s="2" t="str">
        <f t="shared" si="5"/>
        <v>#N/A</v>
      </c>
    </row>
    <row r="912">
      <c r="A912" s="1" t="s">
        <v>52</v>
      </c>
      <c r="B912" s="2" t="str">
        <f t="shared" si="1"/>
        <v>#VALUE!</v>
      </c>
      <c r="C912" s="2" t="str">
        <f>IFERROR(__xludf.DUMMYFUNCTION("SPLIT(B912,"" "")"),"#VALUE!")</f>
        <v>#VALUE!</v>
      </c>
      <c r="E912" s="2" t="str">
        <f t="shared" si="2"/>
        <v>$ cd hlvpfw</v>
      </c>
      <c r="F912" s="2" t="str">
        <f>IFERROR(__xludf.DUMMYFUNCTION("SPLIT(E912,"" "")"),"$")</f>
        <v>$</v>
      </c>
      <c r="G912" s="2" t="str">
        <f>IFERROR(__xludf.DUMMYFUNCTION("""COMPUTED_VALUE"""),"cd")</f>
        <v>cd</v>
      </c>
      <c r="H912" s="2" t="str">
        <f>IFERROR(__xludf.DUMMYFUNCTION("""COMPUTED_VALUE"""),"hlvpfw")</f>
        <v>hlvpfw</v>
      </c>
      <c r="I912" s="2" t="str">
        <f t="shared" si="3"/>
        <v>#VALUE!</v>
      </c>
      <c r="J912" s="2" t="str">
        <f>IFERROR(__xludf.DUMMYFUNCTION("SPLIT(I912,"" "")"),"#VALUE!")</f>
        <v>#VALUE!</v>
      </c>
      <c r="M912" s="2" t="b">
        <f t="shared" si="4"/>
        <v>0</v>
      </c>
      <c r="N912" s="2" t="b">
        <f>IFERROR(__xludf.DUMMYFUNCTION("IF(AND(REGEXMATCH($G$4, ""cd""),M912),N911+J912)"),FALSE)</f>
        <v>0</v>
      </c>
      <c r="O912" s="2" t="str">
        <f t="shared" si="5"/>
        <v>#N/A</v>
      </c>
    </row>
    <row r="913">
      <c r="A913" s="1" t="s">
        <v>2</v>
      </c>
      <c r="B913" s="2" t="str">
        <f t="shared" si="1"/>
        <v>#VALUE!</v>
      </c>
      <c r="C913" s="2" t="str">
        <f>IFERROR(__xludf.DUMMYFUNCTION("SPLIT(B913,"" "")"),"#VALUE!")</f>
        <v>#VALUE!</v>
      </c>
      <c r="E913" s="2" t="str">
        <f t="shared" si="2"/>
        <v>#VALUE!</v>
      </c>
      <c r="F913" s="2" t="str">
        <f>IFERROR(__xludf.DUMMYFUNCTION("SPLIT(E913,"" "")"),"#VALUE!")</f>
        <v>#VALUE!</v>
      </c>
      <c r="I913" s="2" t="str">
        <f t="shared" si="3"/>
        <v>#VALUE!</v>
      </c>
      <c r="J913" s="2" t="str">
        <f>IFERROR(__xludf.DUMMYFUNCTION("SPLIT(I913,"" "")"),"#VALUE!")</f>
        <v>#VALUE!</v>
      </c>
      <c r="M913" s="2" t="b">
        <f t="shared" si="4"/>
        <v>0</v>
      </c>
      <c r="N913" s="2" t="b">
        <f>IFERROR(__xludf.DUMMYFUNCTION("IF(AND(REGEXMATCH($G$4, ""cd""),M913),N912+J913)"),FALSE)</f>
        <v>0</v>
      </c>
      <c r="O913" s="2" t="str">
        <f t="shared" si="5"/>
        <v>#N/A</v>
      </c>
    </row>
    <row r="914">
      <c r="A914" s="1" t="s">
        <v>508</v>
      </c>
      <c r="B914" s="2" t="str">
        <f t="shared" si="1"/>
        <v>#VALUE!</v>
      </c>
      <c r="C914" s="2" t="str">
        <f>IFERROR(__xludf.DUMMYFUNCTION("SPLIT(B914,"" "")"),"#VALUE!")</f>
        <v>#VALUE!</v>
      </c>
      <c r="E914" s="2" t="str">
        <f t="shared" si="2"/>
        <v>#VALUE!</v>
      </c>
      <c r="F914" s="2" t="str">
        <f>IFERROR(__xludf.DUMMYFUNCTION("SPLIT(E914,"" "")"),"#VALUE!")</f>
        <v>#VALUE!</v>
      </c>
      <c r="I914" s="2" t="str">
        <f t="shared" si="3"/>
        <v>121723 zbdp.gqb</v>
      </c>
      <c r="J914" s="2">
        <f>IFERROR(__xludf.DUMMYFUNCTION("SPLIT(I914,"" "")"),121723.0)</f>
        <v>121723</v>
      </c>
      <c r="K914" s="2" t="str">
        <f>IFERROR(__xludf.DUMMYFUNCTION("""COMPUTED_VALUE"""),"zbdp.gqb")</f>
        <v>zbdp.gqb</v>
      </c>
      <c r="M914" s="2" t="b">
        <f t="shared" si="4"/>
        <v>1</v>
      </c>
      <c r="N914" s="2">
        <f>IFERROR(__xludf.DUMMYFUNCTION("IF(AND(REGEXMATCH($G$4, ""cd""),M914),N913+J914)"),121723.0)</f>
        <v>121723</v>
      </c>
      <c r="O914" s="2" t="str">
        <f t="shared" si="5"/>
        <v>#N/A</v>
      </c>
    </row>
    <row r="915">
      <c r="A915" s="1" t="s">
        <v>17</v>
      </c>
      <c r="B915" s="2" t="str">
        <f t="shared" si="1"/>
        <v>#VALUE!</v>
      </c>
      <c r="C915" s="2" t="str">
        <f>IFERROR(__xludf.DUMMYFUNCTION("SPLIT(B915,"" "")"),"#VALUE!")</f>
        <v>#VALUE!</v>
      </c>
      <c r="E915" s="2" t="str">
        <f t="shared" si="2"/>
        <v>$ cd ..</v>
      </c>
      <c r="F915" s="2" t="str">
        <f>IFERROR(__xludf.DUMMYFUNCTION("SPLIT(E915,"" "")"),"$")</f>
        <v>$</v>
      </c>
      <c r="G915" s="2" t="str">
        <f>IFERROR(__xludf.DUMMYFUNCTION("""COMPUTED_VALUE"""),"cd")</f>
        <v>cd</v>
      </c>
      <c r="H915" s="2" t="str">
        <f>IFERROR(__xludf.DUMMYFUNCTION("""COMPUTED_VALUE"""),"..")</f>
        <v>..</v>
      </c>
      <c r="I915" s="2" t="str">
        <f t="shared" si="3"/>
        <v>$ cd ..</v>
      </c>
      <c r="J915" s="2" t="str">
        <f>IFERROR(__xludf.DUMMYFUNCTION("SPLIT(I915,"" "")"),"$")</f>
        <v>$</v>
      </c>
      <c r="K915" s="2" t="str">
        <f>IFERROR(__xludf.DUMMYFUNCTION("""COMPUTED_VALUE"""),"cd")</f>
        <v>cd</v>
      </c>
      <c r="L915" s="2" t="str">
        <f>IFERROR(__xludf.DUMMYFUNCTION("""COMPUTED_VALUE"""),"..")</f>
        <v>..</v>
      </c>
      <c r="M915" s="2" t="b">
        <f t="shared" si="4"/>
        <v>0</v>
      </c>
      <c r="N915" s="2" t="b">
        <f>IFERROR(__xludf.DUMMYFUNCTION("IF(AND(REGEXMATCH($G$4, ""cd""),M915),N914+J915)"),FALSE)</f>
        <v>0</v>
      </c>
      <c r="O915" s="2" t="str">
        <f t="shared" si="5"/>
        <v>#N/A</v>
      </c>
    </row>
    <row r="916">
      <c r="A916" s="1" t="s">
        <v>20</v>
      </c>
      <c r="B916" s="2" t="str">
        <f t="shared" si="1"/>
        <v>#VALUE!</v>
      </c>
      <c r="C916" s="2" t="str">
        <f>IFERROR(__xludf.DUMMYFUNCTION("SPLIT(B916,"" "")"),"#VALUE!")</f>
        <v>#VALUE!</v>
      </c>
      <c r="E916" s="2" t="str">
        <f t="shared" si="2"/>
        <v>$ cd jnwr</v>
      </c>
      <c r="F916" s="2" t="str">
        <f>IFERROR(__xludf.DUMMYFUNCTION("SPLIT(E916,"" "")"),"$")</f>
        <v>$</v>
      </c>
      <c r="G916" s="2" t="str">
        <f>IFERROR(__xludf.DUMMYFUNCTION("""COMPUTED_VALUE"""),"cd")</f>
        <v>cd</v>
      </c>
      <c r="H916" s="2" t="str">
        <f>IFERROR(__xludf.DUMMYFUNCTION("""COMPUTED_VALUE"""),"jnwr")</f>
        <v>jnwr</v>
      </c>
      <c r="I916" s="2" t="str">
        <f t="shared" si="3"/>
        <v>#VALUE!</v>
      </c>
      <c r="J916" s="2" t="str">
        <f>IFERROR(__xludf.DUMMYFUNCTION("SPLIT(I916,"" "")"),"#VALUE!")</f>
        <v>#VALUE!</v>
      </c>
      <c r="M916" s="2" t="b">
        <f t="shared" si="4"/>
        <v>0</v>
      </c>
      <c r="N916" s="2" t="b">
        <f>IFERROR(__xludf.DUMMYFUNCTION("IF(AND(REGEXMATCH($G$4, ""cd""),M916),N915+J916)"),FALSE)</f>
        <v>0</v>
      </c>
      <c r="O916" s="2" t="str">
        <f t="shared" si="5"/>
        <v>#N/A</v>
      </c>
    </row>
    <row r="917">
      <c r="A917" s="1" t="s">
        <v>2</v>
      </c>
      <c r="B917" s="2" t="str">
        <f t="shared" si="1"/>
        <v>#VALUE!</v>
      </c>
      <c r="C917" s="2" t="str">
        <f>IFERROR(__xludf.DUMMYFUNCTION("SPLIT(B917,"" "")"),"#VALUE!")</f>
        <v>#VALUE!</v>
      </c>
      <c r="E917" s="2" t="str">
        <f t="shared" si="2"/>
        <v>#VALUE!</v>
      </c>
      <c r="F917" s="2" t="str">
        <f>IFERROR(__xludf.DUMMYFUNCTION("SPLIT(E917,"" "")"),"#VALUE!")</f>
        <v>#VALUE!</v>
      </c>
      <c r="I917" s="2" t="str">
        <f t="shared" si="3"/>
        <v>#VALUE!</v>
      </c>
      <c r="J917" s="2" t="str">
        <f>IFERROR(__xludf.DUMMYFUNCTION("SPLIT(I917,"" "")"),"#VALUE!")</f>
        <v>#VALUE!</v>
      </c>
      <c r="M917" s="2" t="b">
        <f t="shared" si="4"/>
        <v>0</v>
      </c>
      <c r="N917" s="2" t="b">
        <f>IFERROR(__xludf.DUMMYFUNCTION("IF(AND(REGEXMATCH($G$4, ""cd""),M917),N916+J917)"),FALSE)</f>
        <v>0</v>
      </c>
      <c r="O917" s="2" t="str">
        <f t="shared" si="5"/>
        <v>#N/A</v>
      </c>
    </row>
    <row r="918">
      <c r="A918" s="1" t="s">
        <v>509</v>
      </c>
      <c r="B918" s="2" t="str">
        <f t="shared" si="1"/>
        <v>#VALUE!</v>
      </c>
      <c r="C918" s="2" t="str">
        <f>IFERROR(__xludf.DUMMYFUNCTION("SPLIT(B918,"" "")"),"#VALUE!")</f>
        <v>#VALUE!</v>
      </c>
      <c r="E918" s="2" t="str">
        <f t="shared" si="2"/>
        <v>#VALUE!</v>
      </c>
      <c r="F918" s="2" t="str">
        <f>IFERROR(__xludf.DUMMYFUNCTION("SPLIT(E918,"" "")"),"#VALUE!")</f>
        <v>#VALUE!</v>
      </c>
      <c r="I918" s="2" t="str">
        <f t="shared" si="3"/>
        <v>#VALUE!</v>
      </c>
      <c r="J918" s="2" t="str">
        <f>IFERROR(__xludf.DUMMYFUNCTION("SPLIT(I918,"" "")"),"#VALUE!")</f>
        <v>#VALUE!</v>
      </c>
      <c r="M918" s="2" t="b">
        <f t="shared" si="4"/>
        <v>0</v>
      </c>
      <c r="N918" s="2" t="b">
        <f>IFERROR(__xludf.DUMMYFUNCTION("IF(AND(REGEXMATCH($G$4, ""cd""),M918),N917+J918)"),FALSE)</f>
        <v>0</v>
      </c>
      <c r="O918" s="2" t="str">
        <f t="shared" si="5"/>
        <v>#N/A</v>
      </c>
    </row>
    <row r="919">
      <c r="A919" s="1" t="s">
        <v>17</v>
      </c>
      <c r="B919" s="2" t="str">
        <f t="shared" si="1"/>
        <v>#VALUE!</v>
      </c>
      <c r="C919" s="2" t="str">
        <f>IFERROR(__xludf.DUMMYFUNCTION("SPLIT(B919,"" "")"),"#VALUE!")</f>
        <v>#VALUE!</v>
      </c>
      <c r="E919" s="2" t="str">
        <f t="shared" si="2"/>
        <v>$ cd ..</v>
      </c>
      <c r="F919" s="2" t="str">
        <f>IFERROR(__xludf.DUMMYFUNCTION("SPLIT(E919,"" "")"),"$")</f>
        <v>$</v>
      </c>
      <c r="G919" s="2" t="str">
        <f>IFERROR(__xludf.DUMMYFUNCTION("""COMPUTED_VALUE"""),"cd")</f>
        <v>cd</v>
      </c>
      <c r="H919" s="2" t="str">
        <f>IFERROR(__xludf.DUMMYFUNCTION("""COMPUTED_VALUE"""),"..")</f>
        <v>..</v>
      </c>
      <c r="I919" s="2" t="str">
        <f t="shared" si="3"/>
        <v>$ cd ..</v>
      </c>
      <c r="J919" s="2" t="str">
        <f>IFERROR(__xludf.DUMMYFUNCTION("SPLIT(I919,"" "")"),"$")</f>
        <v>$</v>
      </c>
      <c r="K919" s="2" t="str">
        <f>IFERROR(__xludf.DUMMYFUNCTION("""COMPUTED_VALUE"""),"cd")</f>
        <v>cd</v>
      </c>
      <c r="L919" s="2" t="str">
        <f>IFERROR(__xludf.DUMMYFUNCTION("""COMPUTED_VALUE"""),"..")</f>
        <v>..</v>
      </c>
      <c r="M919" s="2" t="b">
        <f t="shared" si="4"/>
        <v>0</v>
      </c>
      <c r="N919" s="2" t="b">
        <f>IFERROR(__xludf.DUMMYFUNCTION("IF(AND(REGEXMATCH($G$4, ""cd""),M919),N918+J919)"),FALSE)</f>
        <v>0</v>
      </c>
      <c r="O919" s="2" t="str">
        <f t="shared" si="5"/>
        <v>#N/A</v>
      </c>
    </row>
    <row r="920">
      <c r="A920" s="1" t="s">
        <v>60</v>
      </c>
      <c r="B920" s="2" t="str">
        <f t="shared" si="1"/>
        <v>#VALUE!</v>
      </c>
      <c r="C920" s="2" t="str">
        <f>IFERROR(__xludf.DUMMYFUNCTION("SPLIT(B920,"" "")"),"#VALUE!")</f>
        <v>#VALUE!</v>
      </c>
      <c r="E920" s="2" t="str">
        <f t="shared" si="2"/>
        <v>$ cd slzdbm</v>
      </c>
      <c r="F920" s="2" t="str">
        <f>IFERROR(__xludf.DUMMYFUNCTION("SPLIT(E920,"" "")"),"$")</f>
        <v>$</v>
      </c>
      <c r="G920" s="2" t="str">
        <f>IFERROR(__xludf.DUMMYFUNCTION("""COMPUTED_VALUE"""),"cd")</f>
        <v>cd</v>
      </c>
      <c r="H920" s="2" t="str">
        <f>IFERROR(__xludf.DUMMYFUNCTION("""COMPUTED_VALUE"""),"slzdbm")</f>
        <v>slzdbm</v>
      </c>
      <c r="I920" s="2" t="str">
        <f t="shared" si="3"/>
        <v>#VALUE!</v>
      </c>
      <c r="J920" s="2" t="str">
        <f>IFERROR(__xludf.DUMMYFUNCTION("SPLIT(I920,"" "")"),"#VALUE!")</f>
        <v>#VALUE!</v>
      </c>
      <c r="M920" s="2" t="b">
        <f t="shared" si="4"/>
        <v>0</v>
      </c>
      <c r="N920" s="2" t="b">
        <f>IFERROR(__xludf.DUMMYFUNCTION("IF(AND(REGEXMATCH($G$4, ""cd""),M920),N919+J920)"),FALSE)</f>
        <v>0</v>
      </c>
      <c r="O920" s="2" t="str">
        <f t="shared" si="5"/>
        <v>#N/A</v>
      </c>
    </row>
    <row r="921">
      <c r="A921" s="1" t="s">
        <v>2</v>
      </c>
      <c r="B921" s="2" t="str">
        <f t="shared" si="1"/>
        <v>#VALUE!</v>
      </c>
      <c r="C921" s="2" t="str">
        <f>IFERROR(__xludf.DUMMYFUNCTION("SPLIT(B921,"" "")"),"#VALUE!")</f>
        <v>#VALUE!</v>
      </c>
      <c r="E921" s="2" t="str">
        <f t="shared" si="2"/>
        <v>#VALUE!</v>
      </c>
      <c r="F921" s="2" t="str">
        <f>IFERROR(__xludf.DUMMYFUNCTION("SPLIT(E921,"" "")"),"#VALUE!")</f>
        <v>#VALUE!</v>
      </c>
      <c r="I921" s="2" t="str">
        <f t="shared" si="3"/>
        <v>#VALUE!</v>
      </c>
      <c r="J921" s="2" t="str">
        <f>IFERROR(__xludf.DUMMYFUNCTION("SPLIT(I921,"" "")"),"#VALUE!")</f>
        <v>#VALUE!</v>
      </c>
      <c r="M921" s="2" t="b">
        <f t="shared" si="4"/>
        <v>0</v>
      </c>
      <c r="N921" s="2" t="b">
        <f>IFERROR(__xludf.DUMMYFUNCTION("IF(AND(REGEXMATCH($G$4, ""cd""),M921),N920+J921)"),FALSE)</f>
        <v>0</v>
      </c>
      <c r="O921" s="2" t="str">
        <f t="shared" si="5"/>
        <v>#N/A</v>
      </c>
    </row>
    <row r="922">
      <c r="A922" s="1" t="s">
        <v>510</v>
      </c>
      <c r="B922" s="2" t="str">
        <f t="shared" si="1"/>
        <v>#VALUE!</v>
      </c>
      <c r="C922" s="2" t="str">
        <f>IFERROR(__xludf.DUMMYFUNCTION("SPLIT(B922,"" "")"),"#VALUE!")</f>
        <v>#VALUE!</v>
      </c>
      <c r="E922" s="2" t="str">
        <f t="shared" si="2"/>
        <v>#VALUE!</v>
      </c>
      <c r="F922" s="2" t="str">
        <f>IFERROR(__xludf.DUMMYFUNCTION("SPLIT(E922,"" "")"),"#VALUE!")</f>
        <v>#VALUE!</v>
      </c>
      <c r="I922" s="2" t="str">
        <f t="shared" si="3"/>
        <v>#VALUE!</v>
      </c>
      <c r="J922" s="2" t="str">
        <f>IFERROR(__xludf.DUMMYFUNCTION("SPLIT(I922,"" "")"),"#VALUE!")</f>
        <v>#VALUE!</v>
      </c>
      <c r="M922" s="2" t="b">
        <f t="shared" si="4"/>
        <v>0</v>
      </c>
      <c r="N922" s="2" t="b">
        <f>IFERROR(__xludf.DUMMYFUNCTION("IF(AND(REGEXMATCH($G$4, ""cd""),M922),N921+J922)"),FALSE)</f>
        <v>0</v>
      </c>
      <c r="O922" s="2" t="str">
        <f t="shared" si="5"/>
        <v>#N/A</v>
      </c>
    </row>
    <row r="923">
      <c r="A923" s="1" t="s">
        <v>511</v>
      </c>
      <c r="B923" s="2" t="str">
        <f t="shared" si="1"/>
        <v>#VALUE!</v>
      </c>
      <c r="C923" s="2" t="str">
        <f>IFERROR(__xludf.DUMMYFUNCTION("SPLIT(B923,"" "")"),"#VALUE!")</f>
        <v>#VALUE!</v>
      </c>
      <c r="E923" s="2" t="str">
        <f t="shared" si="2"/>
        <v>#VALUE!</v>
      </c>
      <c r="F923" s="2" t="str">
        <f>IFERROR(__xludf.DUMMYFUNCTION("SPLIT(E923,"" "")"),"#VALUE!")</f>
        <v>#VALUE!</v>
      </c>
      <c r="I923" s="2" t="str">
        <f t="shared" si="3"/>
        <v>36125 ltwmzw.fdl</v>
      </c>
      <c r="J923" s="2">
        <f>IFERROR(__xludf.DUMMYFUNCTION("SPLIT(I923,"" "")"),36125.0)</f>
        <v>36125</v>
      </c>
      <c r="K923" s="2" t="str">
        <f>IFERROR(__xludf.DUMMYFUNCTION("""COMPUTED_VALUE"""),"ltwmzw.fdl")</f>
        <v>ltwmzw.fdl</v>
      </c>
      <c r="M923" s="2" t="b">
        <f t="shared" si="4"/>
        <v>1</v>
      </c>
      <c r="N923" s="2">
        <f>IFERROR(__xludf.DUMMYFUNCTION("IF(AND(REGEXMATCH($G$4, ""cd""),M923),N922+J923)"),36125.0)</f>
        <v>36125</v>
      </c>
      <c r="O923" s="2" t="str">
        <f t="shared" si="5"/>
        <v>#N/A</v>
      </c>
    </row>
    <row r="924">
      <c r="A924" s="1" t="s">
        <v>512</v>
      </c>
      <c r="B924" s="2" t="str">
        <f t="shared" si="1"/>
        <v>#VALUE!</v>
      </c>
      <c r="C924" s="2" t="str">
        <f>IFERROR(__xludf.DUMMYFUNCTION("SPLIT(B924,"" "")"),"#VALUE!")</f>
        <v>#VALUE!</v>
      </c>
      <c r="E924" s="2" t="str">
        <f t="shared" si="2"/>
        <v>#VALUE!</v>
      </c>
      <c r="F924" s="2" t="str">
        <f>IFERROR(__xludf.DUMMYFUNCTION("SPLIT(E924,"" "")"),"#VALUE!")</f>
        <v>#VALUE!</v>
      </c>
      <c r="I924" s="2" t="str">
        <f t="shared" si="3"/>
        <v>132059 plqmwhr.hhv</v>
      </c>
      <c r="J924" s="2">
        <f>IFERROR(__xludf.DUMMYFUNCTION("SPLIT(I924,"" "")"),132059.0)</f>
        <v>132059</v>
      </c>
      <c r="K924" s="2" t="str">
        <f>IFERROR(__xludf.DUMMYFUNCTION("""COMPUTED_VALUE"""),"plqmwhr.hhv")</f>
        <v>plqmwhr.hhv</v>
      </c>
      <c r="M924" s="2" t="b">
        <f t="shared" si="4"/>
        <v>1</v>
      </c>
      <c r="N924" s="2">
        <f>IFERROR(__xludf.DUMMYFUNCTION("IF(AND(REGEXMATCH($G$4, ""cd""),M924),N923+J924)"),168184.0)</f>
        <v>168184</v>
      </c>
      <c r="O924" s="2" t="str">
        <f t="shared" si="5"/>
        <v>#N/A</v>
      </c>
    </row>
    <row r="925">
      <c r="A925" s="1" t="s">
        <v>513</v>
      </c>
      <c r="B925" s="2" t="str">
        <f t="shared" si="1"/>
        <v>#VALUE!</v>
      </c>
      <c r="C925" s="2" t="str">
        <f>IFERROR(__xludf.DUMMYFUNCTION("SPLIT(B925,"" "")"),"#VALUE!")</f>
        <v>#VALUE!</v>
      </c>
      <c r="E925" s="2" t="str">
        <f t="shared" si="2"/>
        <v>#VALUE!</v>
      </c>
      <c r="F925" s="2" t="str">
        <f>IFERROR(__xludf.DUMMYFUNCTION("SPLIT(E925,"" "")"),"#VALUE!")</f>
        <v>#VALUE!</v>
      </c>
      <c r="I925" s="2" t="str">
        <f t="shared" si="3"/>
        <v>85540 slzdbm.wzm</v>
      </c>
      <c r="J925" s="2">
        <f>IFERROR(__xludf.DUMMYFUNCTION("SPLIT(I925,"" "")"),85540.0)</f>
        <v>85540</v>
      </c>
      <c r="K925" s="2" t="str">
        <f>IFERROR(__xludf.DUMMYFUNCTION("""COMPUTED_VALUE"""),"slzdbm.wzm")</f>
        <v>slzdbm.wzm</v>
      </c>
      <c r="M925" s="2" t="b">
        <f t="shared" si="4"/>
        <v>1</v>
      </c>
      <c r="N925" s="2">
        <f>IFERROR(__xludf.DUMMYFUNCTION("IF(AND(REGEXMATCH($G$4, ""cd""),M925),N924+J925)"),253724.0)</f>
        <v>253724</v>
      </c>
      <c r="O925" s="2" t="str">
        <f t="shared" si="5"/>
        <v>#N/A</v>
      </c>
    </row>
    <row r="926">
      <c r="A926" s="1" t="s">
        <v>514</v>
      </c>
      <c r="B926" s="2" t="str">
        <f t="shared" si="1"/>
        <v>#VALUE!</v>
      </c>
      <c r="C926" s="2" t="str">
        <f>IFERROR(__xludf.DUMMYFUNCTION("SPLIT(B926,"" "")"),"#VALUE!")</f>
        <v>#VALUE!</v>
      </c>
      <c r="E926" s="2" t="str">
        <f t="shared" si="2"/>
        <v>23459 zhbwh.cds</v>
      </c>
      <c r="F926" s="2">
        <f>IFERROR(__xludf.DUMMYFUNCTION("SPLIT(E926,"" "")"),23459.0)</f>
        <v>23459</v>
      </c>
      <c r="G926" s="2" t="str">
        <f>IFERROR(__xludf.DUMMYFUNCTION("""COMPUTED_VALUE"""),"zhbwh.cds")</f>
        <v>zhbwh.cds</v>
      </c>
      <c r="I926" s="2" t="str">
        <f t="shared" si="3"/>
        <v>23459 zhbwh.cds</v>
      </c>
      <c r="J926" s="2">
        <f>IFERROR(__xludf.DUMMYFUNCTION("SPLIT(I926,"" "")"),23459.0)</f>
        <v>23459</v>
      </c>
      <c r="K926" s="2" t="str">
        <f>IFERROR(__xludf.DUMMYFUNCTION("""COMPUTED_VALUE"""),"zhbwh.cds")</f>
        <v>zhbwh.cds</v>
      </c>
      <c r="M926" s="2" t="b">
        <f t="shared" si="4"/>
        <v>1</v>
      </c>
      <c r="N926" s="2">
        <f>IFERROR(__xludf.DUMMYFUNCTION("IF(AND(REGEXMATCH($G$4, ""cd""),M926),N925+J926)"),277183.0)</f>
        <v>277183</v>
      </c>
      <c r="O926" s="2" t="str">
        <f t="shared" si="5"/>
        <v>#N/A</v>
      </c>
    </row>
    <row r="927">
      <c r="A927" s="1" t="s">
        <v>17</v>
      </c>
      <c r="B927" s="2" t="str">
        <f t="shared" si="1"/>
        <v>#VALUE!</v>
      </c>
      <c r="C927" s="2" t="str">
        <f>IFERROR(__xludf.DUMMYFUNCTION("SPLIT(B927,"" "")"),"#VALUE!")</f>
        <v>#VALUE!</v>
      </c>
      <c r="E927" s="2" t="str">
        <f t="shared" si="2"/>
        <v>$ cd ..</v>
      </c>
      <c r="F927" s="2" t="str">
        <f>IFERROR(__xludf.DUMMYFUNCTION("SPLIT(E927,"" "")"),"$")</f>
        <v>$</v>
      </c>
      <c r="G927" s="2" t="str">
        <f>IFERROR(__xludf.DUMMYFUNCTION("""COMPUTED_VALUE"""),"cd")</f>
        <v>cd</v>
      </c>
      <c r="H927" s="2" t="str">
        <f>IFERROR(__xludf.DUMMYFUNCTION("""COMPUTED_VALUE"""),"..")</f>
        <v>..</v>
      </c>
      <c r="I927" s="2" t="str">
        <f t="shared" si="3"/>
        <v>$ cd ..</v>
      </c>
      <c r="J927" s="2" t="str">
        <f>IFERROR(__xludf.DUMMYFUNCTION("SPLIT(I927,"" "")"),"$")</f>
        <v>$</v>
      </c>
      <c r="K927" s="2" t="str">
        <f>IFERROR(__xludf.DUMMYFUNCTION("""COMPUTED_VALUE"""),"cd")</f>
        <v>cd</v>
      </c>
      <c r="L927" s="2" t="str">
        <f>IFERROR(__xludf.DUMMYFUNCTION("""COMPUTED_VALUE"""),"..")</f>
        <v>..</v>
      </c>
      <c r="M927" s="2" t="b">
        <f t="shared" si="4"/>
        <v>0</v>
      </c>
      <c r="N927" s="2" t="b">
        <f>IFERROR(__xludf.DUMMYFUNCTION("IF(AND(REGEXMATCH($G$4, ""cd""),M927),N926+J927)"),FALSE)</f>
        <v>0</v>
      </c>
      <c r="O927" s="2" t="str">
        <f t="shared" si="5"/>
        <v>#N/A</v>
      </c>
    </row>
    <row r="928">
      <c r="A928" s="1" t="s">
        <v>515</v>
      </c>
      <c r="B928" s="2" t="str">
        <f t="shared" si="1"/>
        <v>#VALUE!</v>
      </c>
      <c r="C928" s="2" t="str">
        <f>IFERROR(__xludf.DUMMYFUNCTION("SPLIT(B928,"" "")"),"#VALUE!")</f>
        <v>#VALUE!</v>
      </c>
      <c r="E928" s="2" t="str">
        <f t="shared" si="2"/>
        <v>$ cd wrmr</v>
      </c>
      <c r="F928" s="2" t="str">
        <f>IFERROR(__xludf.DUMMYFUNCTION("SPLIT(E928,"" "")"),"$")</f>
        <v>$</v>
      </c>
      <c r="G928" s="2" t="str">
        <f>IFERROR(__xludf.DUMMYFUNCTION("""COMPUTED_VALUE"""),"cd")</f>
        <v>cd</v>
      </c>
      <c r="H928" s="2" t="str">
        <f>IFERROR(__xludf.DUMMYFUNCTION("""COMPUTED_VALUE"""),"wrmr")</f>
        <v>wrmr</v>
      </c>
      <c r="I928" s="2" t="str">
        <f t="shared" si="3"/>
        <v>#VALUE!</v>
      </c>
      <c r="J928" s="2" t="str">
        <f>IFERROR(__xludf.DUMMYFUNCTION("SPLIT(I928,"" "")"),"#VALUE!")</f>
        <v>#VALUE!</v>
      </c>
      <c r="M928" s="2" t="b">
        <f t="shared" si="4"/>
        <v>0</v>
      </c>
      <c r="N928" s="2" t="b">
        <f>IFERROR(__xludf.DUMMYFUNCTION("IF(AND(REGEXMATCH($G$4, ""cd""),M928),N927+J928)"),FALSE)</f>
        <v>0</v>
      </c>
      <c r="O928" s="2" t="str">
        <f t="shared" si="5"/>
        <v>#N/A</v>
      </c>
    </row>
    <row r="929">
      <c r="A929" s="1" t="s">
        <v>2</v>
      </c>
      <c r="B929" s="2" t="str">
        <f t="shared" si="1"/>
        <v>#VALUE!</v>
      </c>
      <c r="C929" s="2" t="str">
        <f>IFERROR(__xludf.DUMMYFUNCTION("SPLIT(B929,"" "")"),"#VALUE!")</f>
        <v>#VALUE!</v>
      </c>
      <c r="E929" s="2" t="str">
        <f t="shared" si="2"/>
        <v>#VALUE!</v>
      </c>
      <c r="F929" s="2" t="str">
        <f>IFERROR(__xludf.DUMMYFUNCTION("SPLIT(E929,"" "")"),"#VALUE!")</f>
        <v>#VALUE!</v>
      </c>
      <c r="I929" s="2" t="str">
        <f t="shared" si="3"/>
        <v>#VALUE!</v>
      </c>
      <c r="J929" s="2" t="str">
        <f>IFERROR(__xludf.DUMMYFUNCTION("SPLIT(I929,"" "")"),"#VALUE!")</f>
        <v>#VALUE!</v>
      </c>
      <c r="M929" s="2" t="b">
        <f t="shared" si="4"/>
        <v>0</v>
      </c>
      <c r="N929" s="2" t="b">
        <f>IFERROR(__xludf.DUMMYFUNCTION("IF(AND(REGEXMATCH($G$4, ""cd""),M929),N928+J929)"),FALSE)</f>
        <v>0</v>
      </c>
      <c r="O929" s="2" t="str">
        <f t="shared" si="5"/>
        <v>#N/A</v>
      </c>
    </row>
    <row r="930">
      <c r="A930" s="1" t="s">
        <v>516</v>
      </c>
      <c r="B930" s="2" t="str">
        <f t="shared" si="1"/>
        <v>#VALUE!</v>
      </c>
      <c r="C930" s="2" t="str">
        <f>IFERROR(__xludf.DUMMYFUNCTION("SPLIT(B930,"" "")"),"#VALUE!")</f>
        <v>#VALUE!</v>
      </c>
      <c r="E930" s="2" t="str">
        <f t="shared" si="2"/>
        <v>#VALUE!</v>
      </c>
      <c r="F930" s="2" t="str">
        <f>IFERROR(__xludf.DUMMYFUNCTION("SPLIT(E930,"" "")"),"#VALUE!")</f>
        <v>#VALUE!</v>
      </c>
      <c r="I930" s="2" t="str">
        <f t="shared" si="3"/>
        <v>90357 zbdp.gqb</v>
      </c>
      <c r="J930" s="2">
        <f>IFERROR(__xludf.DUMMYFUNCTION("SPLIT(I930,"" "")"),90357.0)</f>
        <v>90357</v>
      </c>
      <c r="K930" s="2" t="str">
        <f>IFERROR(__xludf.DUMMYFUNCTION("""COMPUTED_VALUE"""),"zbdp.gqb")</f>
        <v>zbdp.gqb</v>
      </c>
      <c r="M930" s="2" t="b">
        <f t="shared" si="4"/>
        <v>1</v>
      </c>
      <c r="N930" s="2">
        <f>IFERROR(__xludf.DUMMYFUNCTION("IF(AND(REGEXMATCH($G$4, ""cd""),M930),N929+J930)"),90357.0)</f>
        <v>90357</v>
      </c>
      <c r="O930" s="2" t="str">
        <f t="shared" si="5"/>
        <v>#N/A</v>
      </c>
    </row>
    <row r="931">
      <c r="A931" s="1" t="s">
        <v>17</v>
      </c>
      <c r="B931" s="2" t="str">
        <f t="shared" si="1"/>
        <v>#VALUE!</v>
      </c>
      <c r="C931" s="2" t="str">
        <f>IFERROR(__xludf.DUMMYFUNCTION("SPLIT(B931,"" "")"),"#VALUE!")</f>
        <v>#VALUE!</v>
      </c>
      <c r="E931" s="2" t="str">
        <f t="shared" si="2"/>
        <v>$ cd ..</v>
      </c>
      <c r="F931" s="2" t="str">
        <f>IFERROR(__xludf.DUMMYFUNCTION("SPLIT(E931,"" "")"),"$")</f>
        <v>$</v>
      </c>
      <c r="G931" s="2" t="str">
        <f>IFERROR(__xludf.DUMMYFUNCTION("""COMPUTED_VALUE"""),"cd")</f>
        <v>cd</v>
      </c>
      <c r="H931" s="2" t="str">
        <f>IFERROR(__xludf.DUMMYFUNCTION("""COMPUTED_VALUE"""),"..")</f>
        <v>..</v>
      </c>
      <c r="I931" s="2" t="str">
        <f t="shared" si="3"/>
        <v>$ cd ..</v>
      </c>
      <c r="J931" s="2" t="str">
        <f>IFERROR(__xludf.DUMMYFUNCTION("SPLIT(I931,"" "")"),"$")</f>
        <v>$</v>
      </c>
      <c r="K931" s="2" t="str">
        <f>IFERROR(__xludf.DUMMYFUNCTION("""COMPUTED_VALUE"""),"cd")</f>
        <v>cd</v>
      </c>
      <c r="L931" s="2" t="str">
        <f>IFERROR(__xludf.DUMMYFUNCTION("""COMPUTED_VALUE"""),"..")</f>
        <v>..</v>
      </c>
      <c r="M931" s="2" t="b">
        <f t="shared" si="4"/>
        <v>0</v>
      </c>
      <c r="N931" s="2" t="b">
        <f>IFERROR(__xludf.DUMMYFUNCTION("IF(AND(REGEXMATCH($G$4, ""cd""),M931),N930+J931)"),FALSE)</f>
        <v>0</v>
      </c>
      <c r="O931" s="2" t="str">
        <f t="shared" si="5"/>
        <v>#N/A</v>
      </c>
    </row>
    <row r="932">
      <c r="A932" s="1" t="s">
        <v>517</v>
      </c>
      <c r="B932" s="2" t="str">
        <f t="shared" si="1"/>
        <v>#VALUE!</v>
      </c>
      <c r="C932" s="2" t="str">
        <f>IFERROR(__xludf.DUMMYFUNCTION("SPLIT(B932,"" "")"),"#VALUE!")</f>
        <v>#VALUE!</v>
      </c>
      <c r="E932" s="2" t="str">
        <f t="shared" si="2"/>
        <v>$ cd zjrdgf</v>
      </c>
      <c r="F932" s="2" t="str">
        <f>IFERROR(__xludf.DUMMYFUNCTION("SPLIT(E932,"" "")"),"$")</f>
        <v>$</v>
      </c>
      <c r="G932" s="2" t="str">
        <f>IFERROR(__xludf.DUMMYFUNCTION("""COMPUTED_VALUE"""),"cd")</f>
        <v>cd</v>
      </c>
      <c r="H932" s="2" t="str">
        <f>IFERROR(__xludf.DUMMYFUNCTION("""COMPUTED_VALUE"""),"zjrdgf")</f>
        <v>zjrdgf</v>
      </c>
      <c r="I932" s="2" t="str">
        <f t="shared" si="3"/>
        <v>#VALUE!</v>
      </c>
      <c r="J932" s="2" t="str">
        <f>IFERROR(__xludf.DUMMYFUNCTION("SPLIT(I932,"" "")"),"#VALUE!")</f>
        <v>#VALUE!</v>
      </c>
      <c r="M932" s="2" t="b">
        <f t="shared" si="4"/>
        <v>0</v>
      </c>
      <c r="N932" s="2" t="b">
        <f>IFERROR(__xludf.DUMMYFUNCTION("IF(AND(REGEXMATCH($G$4, ""cd""),M932),N931+J932)"),FALSE)</f>
        <v>0</v>
      </c>
      <c r="O932" s="2" t="str">
        <f t="shared" si="5"/>
        <v>#N/A</v>
      </c>
    </row>
    <row r="933">
      <c r="A933" s="1" t="s">
        <v>2</v>
      </c>
      <c r="B933" s="2" t="str">
        <f t="shared" si="1"/>
        <v>#VALUE!</v>
      </c>
      <c r="C933" s="2" t="str">
        <f>IFERROR(__xludf.DUMMYFUNCTION("SPLIT(B933,"" "")"),"#VALUE!")</f>
        <v>#VALUE!</v>
      </c>
      <c r="E933" s="2" t="str">
        <f t="shared" si="2"/>
        <v>#VALUE!</v>
      </c>
      <c r="F933" s="2" t="str">
        <f>IFERROR(__xludf.DUMMYFUNCTION("SPLIT(E933,"" "")"),"#VALUE!")</f>
        <v>#VALUE!</v>
      </c>
      <c r="I933" s="2" t="str">
        <f t="shared" si="3"/>
        <v>#VALUE!</v>
      </c>
      <c r="J933" s="2" t="str">
        <f>IFERROR(__xludf.DUMMYFUNCTION("SPLIT(I933,"" "")"),"#VALUE!")</f>
        <v>#VALUE!</v>
      </c>
      <c r="M933" s="2" t="b">
        <f t="shared" si="4"/>
        <v>0</v>
      </c>
      <c r="N933" s="2" t="b">
        <f>IFERROR(__xludf.DUMMYFUNCTION("IF(AND(REGEXMATCH($G$4, ""cd""),M933),N932+J933)"),FALSE)</f>
        <v>0</v>
      </c>
      <c r="O933" s="2" t="str">
        <f t="shared" si="5"/>
        <v>#N/A</v>
      </c>
    </row>
    <row r="934">
      <c r="A934" s="1" t="s">
        <v>518</v>
      </c>
      <c r="B934" s="2" t="str">
        <f t="shared" si="1"/>
        <v>#VALUE!</v>
      </c>
      <c r="C934" s="2" t="str">
        <f>IFERROR(__xludf.DUMMYFUNCTION("SPLIT(B934,"" "")"),"#VALUE!")</f>
        <v>#VALUE!</v>
      </c>
      <c r="E934" s="2" t="str">
        <f t="shared" si="2"/>
        <v>#VALUE!</v>
      </c>
      <c r="F934" s="2" t="str">
        <f>IFERROR(__xludf.DUMMYFUNCTION("SPLIT(E934,"" "")"),"#VALUE!")</f>
        <v>#VALUE!</v>
      </c>
      <c r="I934" s="2" t="str">
        <f t="shared" si="3"/>
        <v>301679 qbmt.vhh</v>
      </c>
      <c r="J934" s="2">
        <f>IFERROR(__xludf.DUMMYFUNCTION("SPLIT(I934,"" "")"),301679.0)</f>
        <v>301679</v>
      </c>
      <c r="K934" s="2" t="str">
        <f>IFERROR(__xludf.DUMMYFUNCTION("""COMPUTED_VALUE"""),"qbmt.vhh")</f>
        <v>qbmt.vhh</v>
      </c>
      <c r="M934" s="2" t="b">
        <f t="shared" si="4"/>
        <v>1</v>
      </c>
      <c r="N934" s="2">
        <f>IFERROR(__xludf.DUMMYFUNCTION("IF(AND(REGEXMATCH($G$4, ""cd""),M934),N933+J934)"),301679.0)</f>
        <v>301679</v>
      </c>
      <c r="O934" s="2" t="str">
        <f t="shared" si="5"/>
        <v>#N/A</v>
      </c>
    </row>
    <row r="935">
      <c r="A935" s="1" t="s">
        <v>519</v>
      </c>
      <c r="B935" s="2" t="str">
        <f t="shared" si="1"/>
        <v>#VALUE!</v>
      </c>
      <c r="C935" s="2" t="str">
        <f>IFERROR(__xludf.DUMMYFUNCTION("SPLIT(B935,"" "")"),"#VALUE!")</f>
        <v>#VALUE!</v>
      </c>
      <c r="E935" s="2" t="str">
        <f t="shared" si="2"/>
        <v>#VALUE!</v>
      </c>
      <c r="F935" s="2" t="str">
        <f>IFERROR(__xludf.DUMMYFUNCTION("SPLIT(E935,"" "")"),"#VALUE!")</f>
        <v>#VALUE!</v>
      </c>
      <c r="I935" s="2" t="str">
        <f t="shared" si="3"/>
        <v>12942 slfdb.bqt</v>
      </c>
      <c r="J935" s="2">
        <f>IFERROR(__xludf.DUMMYFUNCTION("SPLIT(I935,"" "")"),12942.0)</f>
        <v>12942</v>
      </c>
      <c r="K935" s="2" t="str">
        <f>IFERROR(__xludf.DUMMYFUNCTION("""COMPUTED_VALUE"""),"slfdb.bqt")</f>
        <v>slfdb.bqt</v>
      </c>
      <c r="M935" s="2" t="b">
        <f t="shared" si="4"/>
        <v>1</v>
      </c>
      <c r="N935" s="2">
        <f>IFERROR(__xludf.DUMMYFUNCTION("IF(AND(REGEXMATCH($G$4, ""cd""),M935),N934+J935)"),314621.0)</f>
        <v>314621</v>
      </c>
      <c r="O935" s="2" t="str">
        <f t="shared" si="5"/>
        <v>#N/A</v>
      </c>
    </row>
    <row r="936">
      <c r="A936" s="1" t="s">
        <v>17</v>
      </c>
      <c r="B936" s="2" t="str">
        <f t="shared" si="1"/>
        <v>#VALUE!</v>
      </c>
      <c r="C936" s="2" t="str">
        <f>IFERROR(__xludf.DUMMYFUNCTION("SPLIT(B936,"" "")"),"#VALUE!")</f>
        <v>#VALUE!</v>
      </c>
      <c r="E936" s="2" t="str">
        <f t="shared" si="2"/>
        <v>$ cd ..</v>
      </c>
      <c r="F936" s="2" t="str">
        <f>IFERROR(__xludf.DUMMYFUNCTION("SPLIT(E936,"" "")"),"$")</f>
        <v>$</v>
      </c>
      <c r="G936" s="2" t="str">
        <f>IFERROR(__xludf.DUMMYFUNCTION("""COMPUTED_VALUE"""),"cd")</f>
        <v>cd</v>
      </c>
      <c r="H936" s="2" t="str">
        <f>IFERROR(__xludf.DUMMYFUNCTION("""COMPUTED_VALUE"""),"..")</f>
        <v>..</v>
      </c>
      <c r="I936" s="2" t="str">
        <f t="shared" si="3"/>
        <v>$ cd ..</v>
      </c>
      <c r="J936" s="2" t="str">
        <f>IFERROR(__xludf.DUMMYFUNCTION("SPLIT(I936,"" "")"),"$")</f>
        <v>$</v>
      </c>
      <c r="K936" s="2" t="str">
        <f>IFERROR(__xludf.DUMMYFUNCTION("""COMPUTED_VALUE"""),"cd")</f>
        <v>cd</v>
      </c>
      <c r="L936" s="2" t="str">
        <f>IFERROR(__xludf.DUMMYFUNCTION("""COMPUTED_VALUE"""),"..")</f>
        <v>..</v>
      </c>
      <c r="M936" s="2" t="b">
        <f t="shared" si="4"/>
        <v>0</v>
      </c>
      <c r="N936" s="2" t="b">
        <f>IFERROR(__xludf.DUMMYFUNCTION("IF(AND(REGEXMATCH($G$4, ""cd""),M936),N935+J936)"),FALSE)</f>
        <v>0</v>
      </c>
      <c r="O936" s="2" t="str">
        <f t="shared" si="5"/>
        <v>#N/A</v>
      </c>
    </row>
    <row r="937">
      <c r="A937" s="1" t="s">
        <v>520</v>
      </c>
      <c r="B937" s="2" t="str">
        <f t="shared" si="1"/>
        <v>#VALUE!</v>
      </c>
      <c r="C937" s="2" t="str">
        <f>IFERROR(__xludf.DUMMYFUNCTION("SPLIT(B937,"" "")"),"#VALUE!")</f>
        <v>#VALUE!</v>
      </c>
      <c r="E937" s="2" t="str">
        <f t="shared" si="2"/>
        <v>$ cd zrpqf</v>
      </c>
      <c r="F937" s="2" t="str">
        <f>IFERROR(__xludf.DUMMYFUNCTION("SPLIT(E937,"" "")"),"$")</f>
        <v>$</v>
      </c>
      <c r="G937" s="2" t="str">
        <f>IFERROR(__xludf.DUMMYFUNCTION("""COMPUTED_VALUE"""),"cd")</f>
        <v>cd</v>
      </c>
      <c r="H937" s="2" t="str">
        <f>IFERROR(__xludf.DUMMYFUNCTION("""COMPUTED_VALUE"""),"zrpqf")</f>
        <v>zrpqf</v>
      </c>
      <c r="I937" s="2" t="str">
        <f t="shared" si="3"/>
        <v>#VALUE!</v>
      </c>
      <c r="J937" s="2" t="str">
        <f>IFERROR(__xludf.DUMMYFUNCTION("SPLIT(I937,"" "")"),"#VALUE!")</f>
        <v>#VALUE!</v>
      </c>
      <c r="M937" s="2" t="b">
        <f t="shared" si="4"/>
        <v>0</v>
      </c>
      <c r="N937" s="2" t="b">
        <f>IFERROR(__xludf.DUMMYFUNCTION("IF(AND(REGEXMATCH($G$4, ""cd""),M937),N936+J937)"),FALSE)</f>
        <v>0</v>
      </c>
      <c r="O937" s="2" t="str">
        <f t="shared" si="5"/>
        <v>#N/A</v>
      </c>
    </row>
    <row r="938">
      <c r="A938" s="1" t="s">
        <v>2</v>
      </c>
      <c r="B938" s="2" t="str">
        <f t="shared" si="1"/>
        <v>#VALUE!</v>
      </c>
      <c r="C938" s="2" t="str">
        <f>IFERROR(__xludf.DUMMYFUNCTION("SPLIT(B938,"" "")"),"#VALUE!")</f>
        <v>#VALUE!</v>
      </c>
      <c r="E938" s="2" t="str">
        <f t="shared" si="2"/>
        <v>#VALUE!</v>
      </c>
      <c r="F938" s="2" t="str">
        <f>IFERROR(__xludf.DUMMYFUNCTION("SPLIT(E938,"" "")"),"#VALUE!")</f>
        <v>#VALUE!</v>
      </c>
      <c r="I938" s="2" t="str">
        <f t="shared" si="3"/>
        <v>#VALUE!</v>
      </c>
      <c r="J938" s="2" t="str">
        <f>IFERROR(__xludf.DUMMYFUNCTION("SPLIT(I938,"" "")"),"#VALUE!")</f>
        <v>#VALUE!</v>
      </c>
      <c r="M938" s="2" t="b">
        <f t="shared" si="4"/>
        <v>0</v>
      </c>
      <c r="N938" s="2" t="b">
        <f>IFERROR(__xludf.DUMMYFUNCTION("IF(AND(REGEXMATCH($G$4, ""cd""),M938),N937+J938)"),FALSE)</f>
        <v>0</v>
      </c>
      <c r="O938" s="2" t="str">
        <f t="shared" si="5"/>
        <v>#N/A</v>
      </c>
    </row>
    <row r="939">
      <c r="A939" s="1" t="s">
        <v>521</v>
      </c>
      <c r="B939" s="2" t="str">
        <f t="shared" si="1"/>
        <v>#VALUE!</v>
      </c>
      <c r="C939" s="2" t="str">
        <f>IFERROR(__xludf.DUMMYFUNCTION("SPLIT(B939,"" "")"),"#VALUE!")</f>
        <v>#VALUE!</v>
      </c>
      <c r="E939" s="2" t="str">
        <f t="shared" si="2"/>
        <v>#VALUE!</v>
      </c>
      <c r="F939" s="2" t="str">
        <f>IFERROR(__xludf.DUMMYFUNCTION("SPLIT(E939,"" "")"),"#VALUE!")</f>
        <v>#VALUE!</v>
      </c>
      <c r="I939" s="2" t="str">
        <f t="shared" si="3"/>
        <v>241851 pnsdlbs.brw</v>
      </c>
      <c r="J939" s="2">
        <f>IFERROR(__xludf.DUMMYFUNCTION("SPLIT(I939,"" "")"),241851.0)</f>
        <v>241851</v>
      </c>
      <c r="K939" s="2" t="str">
        <f>IFERROR(__xludf.DUMMYFUNCTION("""COMPUTED_VALUE"""),"pnsdlbs.brw")</f>
        <v>pnsdlbs.brw</v>
      </c>
      <c r="M939" s="2" t="b">
        <f t="shared" si="4"/>
        <v>1</v>
      </c>
      <c r="N939" s="2">
        <f>IFERROR(__xludf.DUMMYFUNCTION("IF(AND(REGEXMATCH($G$4, ""cd""),M939),N938+J939)"),241851.0)</f>
        <v>241851</v>
      </c>
      <c r="O939" s="2" t="str">
        <f t="shared" si="5"/>
        <v>#N/A</v>
      </c>
    </row>
    <row r="940">
      <c r="A940" s="1" t="s">
        <v>17</v>
      </c>
      <c r="B940" s="2" t="str">
        <f t="shared" si="1"/>
        <v>#VALUE!</v>
      </c>
      <c r="C940" s="2" t="str">
        <f>IFERROR(__xludf.DUMMYFUNCTION("SPLIT(B940,"" "")"),"#VALUE!")</f>
        <v>#VALUE!</v>
      </c>
      <c r="E940" s="2" t="str">
        <f t="shared" si="2"/>
        <v>$ cd ..</v>
      </c>
      <c r="F940" s="2" t="str">
        <f>IFERROR(__xludf.DUMMYFUNCTION("SPLIT(E940,"" "")"),"$")</f>
        <v>$</v>
      </c>
      <c r="G940" s="2" t="str">
        <f>IFERROR(__xludf.DUMMYFUNCTION("""COMPUTED_VALUE"""),"cd")</f>
        <v>cd</v>
      </c>
      <c r="H940" s="2" t="str">
        <f>IFERROR(__xludf.DUMMYFUNCTION("""COMPUTED_VALUE"""),"..")</f>
        <v>..</v>
      </c>
      <c r="I940" s="2" t="str">
        <f t="shared" si="3"/>
        <v>$ cd ..</v>
      </c>
      <c r="J940" s="2" t="str">
        <f>IFERROR(__xludf.DUMMYFUNCTION("SPLIT(I940,"" "")"),"$")</f>
        <v>$</v>
      </c>
      <c r="K940" s="2" t="str">
        <f>IFERROR(__xludf.DUMMYFUNCTION("""COMPUTED_VALUE"""),"cd")</f>
        <v>cd</v>
      </c>
      <c r="L940" s="2" t="str">
        <f>IFERROR(__xludf.DUMMYFUNCTION("""COMPUTED_VALUE"""),"..")</f>
        <v>..</v>
      </c>
      <c r="M940" s="2" t="b">
        <f t="shared" si="4"/>
        <v>0</v>
      </c>
      <c r="N940" s="2" t="b">
        <f>IFERROR(__xludf.DUMMYFUNCTION("IF(AND(REGEXMATCH($G$4, ""cd""),M940),N939+J940)"),FALSE)</f>
        <v>0</v>
      </c>
      <c r="O940" s="2" t="str">
        <f t="shared" si="5"/>
        <v>#N/A</v>
      </c>
    </row>
    <row r="941">
      <c r="A941" s="1" t="s">
        <v>17</v>
      </c>
      <c r="B941" s="2" t="str">
        <f t="shared" si="1"/>
        <v>#VALUE!</v>
      </c>
      <c r="C941" s="2" t="str">
        <f>IFERROR(__xludf.DUMMYFUNCTION("SPLIT(B941,"" "")"),"#VALUE!")</f>
        <v>#VALUE!</v>
      </c>
      <c r="E941" s="2" t="str">
        <f t="shared" si="2"/>
        <v>$ cd ..</v>
      </c>
      <c r="F941" s="2" t="str">
        <f>IFERROR(__xludf.DUMMYFUNCTION("SPLIT(E941,"" "")"),"$")</f>
        <v>$</v>
      </c>
      <c r="G941" s="2" t="str">
        <f>IFERROR(__xludf.DUMMYFUNCTION("""COMPUTED_VALUE"""),"cd")</f>
        <v>cd</v>
      </c>
      <c r="H941" s="2" t="str">
        <f>IFERROR(__xludf.DUMMYFUNCTION("""COMPUTED_VALUE"""),"..")</f>
        <v>..</v>
      </c>
      <c r="I941" s="2" t="str">
        <f t="shared" si="3"/>
        <v>$ cd ..</v>
      </c>
      <c r="J941" s="2" t="str">
        <f>IFERROR(__xludf.DUMMYFUNCTION("SPLIT(I941,"" "")"),"$")</f>
        <v>$</v>
      </c>
      <c r="K941" s="2" t="str">
        <f>IFERROR(__xludf.DUMMYFUNCTION("""COMPUTED_VALUE"""),"cd")</f>
        <v>cd</v>
      </c>
      <c r="L941" s="2" t="str">
        <f>IFERROR(__xludf.DUMMYFUNCTION("""COMPUTED_VALUE"""),"..")</f>
        <v>..</v>
      </c>
      <c r="M941" s="2" t="b">
        <f t="shared" si="4"/>
        <v>0</v>
      </c>
      <c r="N941" s="2" t="b">
        <f>IFERROR(__xludf.DUMMYFUNCTION("IF(AND(REGEXMATCH($G$4, ""cd""),M941),N940+J941)"),FALSE)</f>
        <v>0</v>
      </c>
      <c r="O941" s="2" t="str">
        <f t="shared" si="5"/>
        <v>#N/A</v>
      </c>
    </row>
    <row r="942">
      <c r="A942" s="1" t="s">
        <v>522</v>
      </c>
      <c r="B942" s="2" t="str">
        <f t="shared" si="1"/>
        <v>#VALUE!</v>
      </c>
      <c r="C942" s="2" t="str">
        <f>IFERROR(__xludf.DUMMYFUNCTION("SPLIT(B942,"" "")"),"#VALUE!")</f>
        <v>#VALUE!</v>
      </c>
      <c r="E942" s="2" t="str">
        <f t="shared" si="2"/>
        <v>$ cd nzcbqzdz</v>
      </c>
      <c r="F942" s="2" t="str">
        <f>IFERROR(__xludf.DUMMYFUNCTION("SPLIT(E942,"" "")"),"$")</f>
        <v>$</v>
      </c>
      <c r="G942" s="2" t="str">
        <f>IFERROR(__xludf.DUMMYFUNCTION("""COMPUTED_VALUE"""),"cd")</f>
        <v>cd</v>
      </c>
      <c r="H942" s="2" t="str">
        <f>IFERROR(__xludf.DUMMYFUNCTION("""COMPUTED_VALUE"""),"nzcbqzdz")</f>
        <v>nzcbqzdz</v>
      </c>
      <c r="I942" s="2" t="str">
        <f t="shared" si="3"/>
        <v>#VALUE!</v>
      </c>
      <c r="J942" s="2" t="str">
        <f>IFERROR(__xludf.DUMMYFUNCTION("SPLIT(I942,"" "")"),"#VALUE!")</f>
        <v>#VALUE!</v>
      </c>
      <c r="M942" s="2" t="b">
        <f t="shared" si="4"/>
        <v>0</v>
      </c>
      <c r="N942" s="2" t="b">
        <f>IFERROR(__xludf.DUMMYFUNCTION("IF(AND(REGEXMATCH($G$4, ""cd""),M942),N941+J942)"),FALSE)</f>
        <v>0</v>
      </c>
      <c r="O942" s="2" t="str">
        <f t="shared" si="5"/>
        <v>#N/A</v>
      </c>
    </row>
    <row r="943">
      <c r="A943" s="1" t="s">
        <v>2</v>
      </c>
      <c r="B943" s="2" t="str">
        <f t="shared" si="1"/>
        <v>#VALUE!</v>
      </c>
      <c r="C943" s="2" t="str">
        <f>IFERROR(__xludf.DUMMYFUNCTION("SPLIT(B943,"" "")"),"#VALUE!")</f>
        <v>#VALUE!</v>
      </c>
      <c r="E943" s="2" t="str">
        <f t="shared" si="2"/>
        <v>#VALUE!</v>
      </c>
      <c r="F943" s="2" t="str">
        <f>IFERROR(__xludf.DUMMYFUNCTION("SPLIT(E943,"" "")"),"#VALUE!")</f>
        <v>#VALUE!</v>
      </c>
      <c r="I943" s="2" t="str">
        <f t="shared" si="3"/>
        <v>#VALUE!</v>
      </c>
      <c r="J943" s="2" t="str">
        <f>IFERROR(__xludf.DUMMYFUNCTION("SPLIT(I943,"" "")"),"#VALUE!")</f>
        <v>#VALUE!</v>
      </c>
      <c r="M943" s="2" t="b">
        <f t="shared" si="4"/>
        <v>0</v>
      </c>
      <c r="N943" s="2" t="b">
        <f>IFERROR(__xludf.DUMMYFUNCTION("IF(AND(REGEXMATCH($G$4, ""cd""),M943),N942+J943)"),FALSE)</f>
        <v>0</v>
      </c>
      <c r="O943" s="2" t="str">
        <f t="shared" si="5"/>
        <v>#N/A</v>
      </c>
    </row>
    <row r="944">
      <c r="A944" s="1" t="s">
        <v>523</v>
      </c>
      <c r="B944" s="2" t="str">
        <f t="shared" si="1"/>
        <v>#VALUE!</v>
      </c>
      <c r="C944" s="2" t="str">
        <f>IFERROR(__xludf.DUMMYFUNCTION("SPLIT(B944,"" "")"),"#VALUE!")</f>
        <v>#VALUE!</v>
      </c>
      <c r="E944" s="2" t="str">
        <f t="shared" si="2"/>
        <v>#VALUE!</v>
      </c>
      <c r="F944" s="2" t="str">
        <f>IFERROR(__xludf.DUMMYFUNCTION("SPLIT(E944,"" "")"),"#VALUE!")</f>
        <v>#VALUE!</v>
      </c>
      <c r="I944" s="2" t="str">
        <f t="shared" si="3"/>
        <v>182963 qgg.zsc</v>
      </c>
      <c r="J944" s="2">
        <f>IFERROR(__xludf.DUMMYFUNCTION("SPLIT(I944,"" "")"),182963.0)</f>
        <v>182963</v>
      </c>
      <c r="K944" s="2" t="str">
        <f>IFERROR(__xludf.DUMMYFUNCTION("""COMPUTED_VALUE"""),"qgg.zsc")</f>
        <v>qgg.zsc</v>
      </c>
      <c r="M944" s="2" t="b">
        <f t="shared" si="4"/>
        <v>1</v>
      </c>
      <c r="N944" s="2">
        <f>IFERROR(__xludf.DUMMYFUNCTION("IF(AND(REGEXMATCH($G$4, ""cd""),M944),N943+J944)"),182963.0)</f>
        <v>182963</v>
      </c>
      <c r="O944" s="2" t="str">
        <f t="shared" si="5"/>
        <v>#N/A</v>
      </c>
    </row>
    <row r="945">
      <c r="A945" s="1" t="s">
        <v>524</v>
      </c>
      <c r="B945" s="2" t="str">
        <f t="shared" si="1"/>
        <v>dir qwjgb</v>
      </c>
      <c r="C945" s="2" t="str">
        <f>IFERROR(__xludf.DUMMYFUNCTION("SPLIT(B945,"" "")"),"dir")</f>
        <v>dir</v>
      </c>
      <c r="D945" s="2" t="str">
        <f>IFERROR(__xludf.DUMMYFUNCTION("""COMPUTED_VALUE"""),"qwjgb")</f>
        <v>qwjgb</v>
      </c>
      <c r="E945" s="2" t="str">
        <f t="shared" si="2"/>
        <v>#VALUE!</v>
      </c>
      <c r="F945" s="2" t="str">
        <f>IFERROR(__xludf.DUMMYFUNCTION("SPLIT(E945,"" "")"),"#VALUE!")</f>
        <v>#VALUE!</v>
      </c>
      <c r="I945" s="2" t="str">
        <f t="shared" si="3"/>
        <v>#VALUE!</v>
      </c>
      <c r="J945" s="2" t="str">
        <f>IFERROR(__xludf.DUMMYFUNCTION("SPLIT(I945,"" "")"),"#VALUE!")</f>
        <v>#VALUE!</v>
      </c>
      <c r="M945" s="2" t="b">
        <f t="shared" si="4"/>
        <v>0</v>
      </c>
      <c r="N945" s="2" t="b">
        <f>IFERROR(__xludf.DUMMYFUNCTION("IF(AND(REGEXMATCH($G$4, ""cd""),M945),N944+J945)"),FALSE)</f>
        <v>0</v>
      </c>
      <c r="O945" s="2" t="str">
        <f t="shared" si="5"/>
        <v>#N/A</v>
      </c>
    </row>
    <row r="946">
      <c r="A946" s="1" t="s">
        <v>525</v>
      </c>
      <c r="B946" s="2" t="str">
        <f t="shared" si="1"/>
        <v>#VALUE!</v>
      </c>
      <c r="C946" s="2" t="str">
        <f>IFERROR(__xludf.DUMMYFUNCTION("SPLIT(B946,"" "")"),"#VALUE!")</f>
        <v>#VALUE!</v>
      </c>
      <c r="E946" s="2" t="str">
        <f t="shared" si="2"/>
        <v>#VALUE!</v>
      </c>
      <c r="F946" s="2" t="str">
        <f>IFERROR(__xludf.DUMMYFUNCTION("SPLIT(E946,"" "")"),"#VALUE!")</f>
        <v>#VALUE!</v>
      </c>
      <c r="I946" s="2" t="str">
        <f t="shared" si="3"/>
        <v>301344 slfdb.bqt</v>
      </c>
      <c r="J946" s="2">
        <f>IFERROR(__xludf.DUMMYFUNCTION("SPLIT(I946,"" "")"),301344.0)</f>
        <v>301344</v>
      </c>
      <c r="K946" s="2" t="str">
        <f>IFERROR(__xludf.DUMMYFUNCTION("""COMPUTED_VALUE"""),"slfdb.bqt")</f>
        <v>slfdb.bqt</v>
      </c>
      <c r="M946" s="2" t="b">
        <f t="shared" si="4"/>
        <v>1</v>
      </c>
      <c r="N946" s="2">
        <f>IFERROR(__xludf.DUMMYFUNCTION("IF(AND(REGEXMATCH($G$4, ""cd""),M946),N945+J946)"),301344.0)</f>
        <v>301344</v>
      </c>
      <c r="O946" s="2" t="str">
        <f t="shared" si="5"/>
        <v>#N/A</v>
      </c>
    </row>
    <row r="947">
      <c r="A947" s="1" t="s">
        <v>526</v>
      </c>
      <c r="B947" s="2" t="str">
        <f t="shared" si="1"/>
        <v>#VALUE!</v>
      </c>
      <c r="C947" s="2" t="str">
        <f>IFERROR(__xludf.DUMMYFUNCTION("SPLIT(B947,"" "")"),"#VALUE!")</f>
        <v>#VALUE!</v>
      </c>
      <c r="E947" s="2" t="str">
        <f t="shared" si="2"/>
        <v>#VALUE!</v>
      </c>
      <c r="F947" s="2" t="str">
        <f>IFERROR(__xludf.DUMMYFUNCTION("SPLIT(E947,"" "")"),"#VALUE!")</f>
        <v>#VALUE!</v>
      </c>
      <c r="I947" s="2" t="str">
        <f t="shared" si="3"/>
        <v>299029 zbdp.gqb</v>
      </c>
      <c r="J947" s="2">
        <f>IFERROR(__xludf.DUMMYFUNCTION("SPLIT(I947,"" "")"),299029.0)</f>
        <v>299029</v>
      </c>
      <c r="K947" s="2" t="str">
        <f>IFERROR(__xludf.DUMMYFUNCTION("""COMPUTED_VALUE"""),"zbdp.gqb")</f>
        <v>zbdp.gqb</v>
      </c>
      <c r="M947" s="2" t="b">
        <f t="shared" si="4"/>
        <v>1</v>
      </c>
      <c r="N947" s="2">
        <f>IFERROR(__xludf.DUMMYFUNCTION("IF(AND(REGEXMATCH($G$4, ""cd""),M947),N946+J947)"),600373.0)</f>
        <v>600373</v>
      </c>
      <c r="O947" s="2" t="str">
        <f t="shared" si="5"/>
        <v>#N/A</v>
      </c>
    </row>
    <row r="948">
      <c r="A948" s="1" t="s">
        <v>527</v>
      </c>
      <c r="B948" s="2" t="str">
        <f t="shared" si="1"/>
        <v>#VALUE!</v>
      </c>
      <c r="C948" s="2" t="str">
        <f>IFERROR(__xludf.DUMMYFUNCTION("SPLIT(B948,"" "")"),"#VALUE!")</f>
        <v>#VALUE!</v>
      </c>
      <c r="E948" s="2" t="str">
        <f t="shared" si="2"/>
        <v>$ cd qwjgb</v>
      </c>
      <c r="F948" s="2" t="str">
        <f>IFERROR(__xludf.DUMMYFUNCTION("SPLIT(E948,"" "")"),"$")</f>
        <v>$</v>
      </c>
      <c r="G948" s="2" t="str">
        <f>IFERROR(__xludf.DUMMYFUNCTION("""COMPUTED_VALUE"""),"cd")</f>
        <v>cd</v>
      </c>
      <c r="H948" s="2" t="str">
        <f>IFERROR(__xludf.DUMMYFUNCTION("""COMPUTED_VALUE"""),"qwjgb")</f>
        <v>qwjgb</v>
      </c>
      <c r="I948" s="2" t="str">
        <f t="shared" si="3"/>
        <v>#VALUE!</v>
      </c>
      <c r="J948" s="2" t="str">
        <f>IFERROR(__xludf.DUMMYFUNCTION("SPLIT(I948,"" "")"),"#VALUE!")</f>
        <v>#VALUE!</v>
      </c>
      <c r="M948" s="2" t="b">
        <f t="shared" si="4"/>
        <v>0</v>
      </c>
      <c r="N948" s="2" t="b">
        <f>IFERROR(__xludf.DUMMYFUNCTION("IF(AND(REGEXMATCH($G$4, ""cd""),M948),N947+J948)"),FALSE)</f>
        <v>0</v>
      </c>
      <c r="O948" s="2" t="str">
        <f t="shared" si="5"/>
        <v>#N/A</v>
      </c>
    </row>
    <row r="949">
      <c r="A949" s="1" t="s">
        <v>2</v>
      </c>
      <c r="B949" s="2" t="str">
        <f t="shared" si="1"/>
        <v>#VALUE!</v>
      </c>
      <c r="C949" s="2" t="str">
        <f>IFERROR(__xludf.DUMMYFUNCTION("SPLIT(B949,"" "")"),"#VALUE!")</f>
        <v>#VALUE!</v>
      </c>
      <c r="E949" s="2" t="str">
        <f t="shared" si="2"/>
        <v>#VALUE!</v>
      </c>
      <c r="F949" s="2" t="str">
        <f>IFERROR(__xludf.DUMMYFUNCTION("SPLIT(E949,"" "")"),"#VALUE!")</f>
        <v>#VALUE!</v>
      </c>
      <c r="I949" s="2" t="str">
        <f t="shared" si="3"/>
        <v>#VALUE!</v>
      </c>
      <c r="J949" s="2" t="str">
        <f>IFERROR(__xludf.DUMMYFUNCTION("SPLIT(I949,"" "")"),"#VALUE!")</f>
        <v>#VALUE!</v>
      </c>
      <c r="M949" s="2" t="b">
        <f t="shared" si="4"/>
        <v>0</v>
      </c>
      <c r="N949" s="2" t="b">
        <f>IFERROR(__xludf.DUMMYFUNCTION("IF(AND(REGEXMATCH($G$4, ""cd""),M949),N948+J949)"),FALSE)</f>
        <v>0</v>
      </c>
      <c r="O949" s="2" t="str">
        <f t="shared" si="5"/>
        <v>#N/A</v>
      </c>
    </row>
    <row r="950">
      <c r="A950" s="1" t="s">
        <v>528</v>
      </c>
      <c r="B950" s="2" t="str">
        <f t="shared" si="1"/>
        <v>#VALUE!</v>
      </c>
      <c r="C950" s="2" t="str">
        <f>IFERROR(__xludf.DUMMYFUNCTION("SPLIT(B950,"" "")"),"#VALUE!")</f>
        <v>#VALUE!</v>
      </c>
      <c r="E950" s="2" t="str">
        <f t="shared" si="2"/>
        <v>#VALUE!</v>
      </c>
      <c r="F950" s="2" t="str">
        <f>IFERROR(__xludf.DUMMYFUNCTION("SPLIT(E950,"" "")"),"#VALUE!")</f>
        <v>#VALUE!</v>
      </c>
      <c r="I950" s="2" t="str">
        <f t="shared" si="3"/>
        <v>223978 rprrjp.hfd</v>
      </c>
      <c r="J950" s="2">
        <f>IFERROR(__xludf.DUMMYFUNCTION("SPLIT(I950,"" "")"),223978.0)</f>
        <v>223978</v>
      </c>
      <c r="K950" s="2" t="str">
        <f>IFERROR(__xludf.DUMMYFUNCTION("""COMPUTED_VALUE"""),"rprrjp.hfd")</f>
        <v>rprrjp.hfd</v>
      </c>
      <c r="M950" s="2" t="b">
        <f t="shared" si="4"/>
        <v>1</v>
      </c>
      <c r="N950" s="2">
        <f>IFERROR(__xludf.DUMMYFUNCTION("IF(AND(REGEXMATCH($G$4, ""cd""),M950),N949+J950)"),223978.0)</f>
        <v>223978</v>
      </c>
      <c r="O950" s="2" t="str">
        <f t="shared" si="5"/>
        <v>#N/A</v>
      </c>
    </row>
    <row r="951">
      <c r="A951" s="1" t="s">
        <v>529</v>
      </c>
      <c r="B951" s="2" t="str">
        <f t="shared" si="1"/>
        <v>#VALUE!</v>
      </c>
      <c r="C951" s="2" t="str">
        <f>IFERROR(__xludf.DUMMYFUNCTION("SPLIT(B951,"" "")"),"#VALUE!")</f>
        <v>#VALUE!</v>
      </c>
      <c r="E951" s="2" t="str">
        <f t="shared" si="2"/>
        <v>#VALUE!</v>
      </c>
      <c r="F951" s="2" t="str">
        <f>IFERROR(__xludf.DUMMYFUNCTION("SPLIT(E951,"" "")"),"#VALUE!")</f>
        <v>#VALUE!</v>
      </c>
      <c r="I951" s="2" t="str">
        <f t="shared" si="3"/>
        <v>164106 wlq.rcq</v>
      </c>
      <c r="J951" s="2">
        <f>IFERROR(__xludf.DUMMYFUNCTION("SPLIT(I951,"" "")"),164106.0)</f>
        <v>164106</v>
      </c>
      <c r="K951" s="2" t="str">
        <f>IFERROR(__xludf.DUMMYFUNCTION("""COMPUTED_VALUE"""),"wlq.rcq")</f>
        <v>wlq.rcq</v>
      </c>
      <c r="M951" s="2" t="b">
        <f t="shared" si="4"/>
        <v>1</v>
      </c>
      <c r="N951" s="2">
        <f>IFERROR(__xludf.DUMMYFUNCTION("IF(AND(REGEXMATCH($G$4, ""cd""),M951),N950+J951)"),388084.0)</f>
        <v>388084</v>
      </c>
      <c r="O951" s="2" t="str">
        <f t="shared" si="5"/>
        <v>#N/A</v>
      </c>
    </row>
    <row r="952">
      <c r="A952" s="1" t="s">
        <v>17</v>
      </c>
      <c r="B952" s="2" t="str">
        <f t="shared" si="1"/>
        <v>#VALUE!</v>
      </c>
      <c r="C952" s="2" t="str">
        <f>IFERROR(__xludf.DUMMYFUNCTION("SPLIT(B952,"" "")"),"#VALUE!")</f>
        <v>#VALUE!</v>
      </c>
      <c r="E952" s="2" t="str">
        <f t="shared" si="2"/>
        <v>$ cd ..</v>
      </c>
      <c r="F952" s="2" t="str">
        <f>IFERROR(__xludf.DUMMYFUNCTION("SPLIT(E952,"" "")"),"$")</f>
        <v>$</v>
      </c>
      <c r="G952" s="2" t="str">
        <f>IFERROR(__xludf.DUMMYFUNCTION("""COMPUTED_VALUE"""),"cd")</f>
        <v>cd</v>
      </c>
      <c r="H952" s="2" t="str">
        <f>IFERROR(__xludf.DUMMYFUNCTION("""COMPUTED_VALUE"""),"..")</f>
        <v>..</v>
      </c>
      <c r="I952" s="2" t="str">
        <f t="shared" si="3"/>
        <v>$ cd ..</v>
      </c>
      <c r="J952" s="2" t="str">
        <f>IFERROR(__xludf.DUMMYFUNCTION("SPLIT(I952,"" "")"),"$")</f>
        <v>$</v>
      </c>
      <c r="K952" s="2" t="str">
        <f>IFERROR(__xludf.DUMMYFUNCTION("""COMPUTED_VALUE"""),"cd")</f>
        <v>cd</v>
      </c>
      <c r="L952" s="2" t="str">
        <f>IFERROR(__xludf.DUMMYFUNCTION("""COMPUTED_VALUE"""),"..")</f>
        <v>..</v>
      </c>
      <c r="M952" s="2" t="b">
        <f t="shared" si="4"/>
        <v>0</v>
      </c>
      <c r="N952" s="2" t="b">
        <f>IFERROR(__xludf.DUMMYFUNCTION("IF(AND(REGEXMATCH($G$4, ""cd""),M952),N951+J952)"),FALSE)</f>
        <v>0</v>
      </c>
      <c r="O952" s="2" t="str">
        <f t="shared" si="5"/>
        <v>#N/A</v>
      </c>
    </row>
    <row r="953">
      <c r="A953" s="1" t="s">
        <v>17</v>
      </c>
      <c r="B953" s="2" t="str">
        <f t="shared" si="1"/>
        <v>#VALUE!</v>
      </c>
      <c r="C953" s="2" t="str">
        <f>IFERROR(__xludf.DUMMYFUNCTION("SPLIT(B953,"" "")"),"#VALUE!")</f>
        <v>#VALUE!</v>
      </c>
      <c r="E953" s="2" t="str">
        <f t="shared" si="2"/>
        <v>$ cd ..</v>
      </c>
      <c r="F953" s="2" t="str">
        <f>IFERROR(__xludf.DUMMYFUNCTION("SPLIT(E953,"" "")"),"$")</f>
        <v>$</v>
      </c>
      <c r="G953" s="2" t="str">
        <f>IFERROR(__xludf.DUMMYFUNCTION("""COMPUTED_VALUE"""),"cd")</f>
        <v>cd</v>
      </c>
      <c r="H953" s="2" t="str">
        <f>IFERROR(__xludf.DUMMYFUNCTION("""COMPUTED_VALUE"""),"..")</f>
        <v>..</v>
      </c>
      <c r="I953" s="2" t="str">
        <f t="shared" si="3"/>
        <v>$ cd ..</v>
      </c>
      <c r="J953" s="2" t="str">
        <f>IFERROR(__xludf.DUMMYFUNCTION("SPLIT(I953,"" "")"),"$")</f>
        <v>$</v>
      </c>
      <c r="K953" s="2" t="str">
        <f>IFERROR(__xludf.DUMMYFUNCTION("""COMPUTED_VALUE"""),"cd")</f>
        <v>cd</v>
      </c>
      <c r="L953" s="2" t="str">
        <f>IFERROR(__xludf.DUMMYFUNCTION("""COMPUTED_VALUE"""),"..")</f>
        <v>..</v>
      </c>
      <c r="M953" s="2" t="b">
        <f t="shared" si="4"/>
        <v>0</v>
      </c>
      <c r="N953" s="2" t="b">
        <f>IFERROR(__xludf.DUMMYFUNCTION("IF(AND(REGEXMATCH($G$4, ""cd""),M953),N952+J953)"),FALSE)</f>
        <v>0</v>
      </c>
      <c r="O953" s="2" t="str">
        <f t="shared" si="5"/>
        <v>#N/A</v>
      </c>
    </row>
    <row r="954">
      <c r="A954" s="1" t="s">
        <v>17</v>
      </c>
      <c r="B954" s="2" t="str">
        <f t="shared" si="1"/>
        <v>#VALUE!</v>
      </c>
      <c r="C954" s="2" t="str">
        <f>IFERROR(__xludf.DUMMYFUNCTION("SPLIT(B954,"" "")"),"#VALUE!")</f>
        <v>#VALUE!</v>
      </c>
      <c r="E954" s="2" t="str">
        <f t="shared" si="2"/>
        <v>$ cd ..</v>
      </c>
      <c r="F954" s="2" t="str">
        <f>IFERROR(__xludf.DUMMYFUNCTION("SPLIT(E954,"" "")"),"$")</f>
        <v>$</v>
      </c>
      <c r="G954" s="2" t="str">
        <f>IFERROR(__xludf.DUMMYFUNCTION("""COMPUTED_VALUE"""),"cd")</f>
        <v>cd</v>
      </c>
      <c r="H954" s="2" t="str">
        <f>IFERROR(__xludf.DUMMYFUNCTION("""COMPUTED_VALUE"""),"..")</f>
        <v>..</v>
      </c>
      <c r="I954" s="2" t="str">
        <f t="shared" si="3"/>
        <v>$ cd ..</v>
      </c>
      <c r="J954" s="2" t="str">
        <f>IFERROR(__xludf.DUMMYFUNCTION("SPLIT(I954,"" "")"),"$")</f>
        <v>$</v>
      </c>
      <c r="K954" s="2" t="str">
        <f>IFERROR(__xludf.DUMMYFUNCTION("""COMPUTED_VALUE"""),"cd")</f>
        <v>cd</v>
      </c>
      <c r="L954" s="2" t="str">
        <f>IFERROR(__xludf.DUMMYFUNCTION("""COMPUTED_VALUE"""),"..")</f>
        <v>..</v>
      </c>
      <c r="M954" s="2" t="b">
        <f t="shared" si="4"/>
        <v>0</v>
      </c>
      <c r="N954" s="2" t="b">
        <f>IFERROR(__xludf.DUMMYFUNCTION("IF(AND(REGEXMATCH($G$4, ""cd""),M954),N953+J954)"),FALSE)</f>
        <v>0</v>
      </c>
      <c r="O954" s="2" t="str">
        <f t="shared" si="5"/>
        <v>#N/A</v>
      </c>
    </row>
    <row r="955">
      <c r="A955" s="1" t="s">
        <v>530</v>
      </c>
      <c r="B955" s="2" t="str">
        <f t="shared" si="1"/>
        <v>#VALUE!</v>
      </c>
      <c r="C955" s="2" t="str">
        <f>IFERROR(__xludf.DUMMYFUNCTION("SPLIT(B955,"" "")"),"#VALUE!")</f>
        <v>#VALUE!</v>
      </c>
      <c r="E955" s="2" t="str">
        <f t="shared" si="2"/>
        <v>$ cd zdhcp</v>
      </c>
      <c r="F955" s="2" t="str">
        <f>IFERROR(__xludf.DUMMYFUNCTION("SPLIT(E955,"" "")"),"$")</f>
        <v>$</v>
      </c>
      <c r="G955" s="2" t="str">
        <f>IFERROR(__xludf.DUMMYFUNCTION("""COMPUTED_VALUE"""),"cd")</f>
        <v>cd</v>
      </c>
      <c r="H955" s="2" t="str">
        <f>IFERROR(__xludf.DUMMYFUNCTION("""COMPUTED_VALUE"""),"zdhcp")</f>
        <v>zdhcp</v>
      </c>
      <c r="I955" s="2" t="str">
        <f t="shared" si="3"/>
        <v>#VALUE!</v>
      </c>
      <c r="J955" s="2" t="str">
        <f>IFERROR(__xludf.DUMMYFUNCTION("SPLIT(I955,"" "")"),"#VALUE!")</f>
        <v>#VALUE!</v>
      </c>
      <c r="M955" s="2" t="b">
        <f t="shared" si="4"/>
        <v>0</v>
      </c>
      <c r="N955" s="2" t="b">
        <f>IFERROR(__xludf.DUMMYFUNCTION("IF(AND(REGEXMATCH($G$4, ""cd""),M955),N954+J955)"),FALSE)</f>
        <v>0</v>
      </c>
      <c r="O955" s="2" t="str">
        <f t="shared" si="5"/>
        <v>#N/A</v>
      </c>
    </row>
    <row r="956">
      <c r="A956" s="1" t="s">
        <v>2</v>
      </c>
      <c r="B956" s="2" t="str">
        <f t="shared" si="1"/>
        <v>#VALUE!</v>
      </c>
      <c r="C956" s="2" t="str">
        <f>IFERROR(__xludf.DUMMYFUNCTION("SPLIT(B956,"" "")"),"#VALUE!")</f>
        <v>#VALUE!</v>
      </c>
      <c r="E956" s="2" t="str">
        <f t="shared" si="2"/>
        <v>#VALUE!</v>
      </c>
      <c r="F956" s="2" t="str">
        <f>IFERROR(__xludf.DUMMYFUNCTION("SPLIT(E956,"" "")"),"#VALUE!")</f>
        <v>#VALUE!</v>
      </c>
      <c r="I956" s="2" t="str">
        <f t="shared" si="3"/>
        <v>#VALUE!</v>
      </c>
      <c r="J956" s="2" t="str">
        <f>IFERROR(__xludf.DUMMYFUNCTION("SPLIT(I956,"" "")"),"#VALUE!")</f>
        <v>#VALUE!</v>
      </c>
      <c r="M956" s="2" t="b">
        <f t="shared" si="4"/>
        <v>0</v>
      </c>
      <c r="N956" s="2" t="b">
        <f>IFERROR(__xludf.DUMMYFUNCTION("IF(AND(REGEXMATCH($G$4, ""cd""),M956),N955+J956)"),FALSE)</f>
        <v>0</v>
      </c>
      <c r="O956" s="2" t="str">
        <f t="shared" si="5"/>
        <v>#N/A</v>
      </c>
    </row>
    <row r="957">
      <c r="A957" s="1" t="s">
        <v>531</v>
      </c>
      <c r="B957" s="2" t="str">
        <f t="shared" si="1"/>
        <v>dir hbggp</v>
      </c>
      <c r="C957" s="2" t="str">
        <f>IFERROR(__xludf.DUMMYFUNCTION("SPLIT(B957,"" "")"),"dir")</f>
        <v>dir</v>
      </c>
      <c r="D957" s="2" t="str">
        <f>IFERROR(__xludf.DUMMYFUNCTION("""COMPUTED_VALUE"""),"hbggp")</f>
        <v>hbggp</v>
      </c>
      <c r="E957" s="2" t="str">
        <f t="shared" si="2"/>
        <v>#VALUE!</v>
      </c>
      <c r="F957" s="2" t="str">
        <f>IFERROR(__xludf.DUMMYFUNCTION("SPLIT(E957,"" "")"),"#VALUE!")</f>
        <v>#VALUE!</v>
      </c>
      <c r="I957" s="2" t="str">
        <f t="shared" si="3"/>
        <v>#VALUE!</v>
      </c>
      <c r="J957" s="2" t="str">
        <f>IFERROR(__xludf.DUMMYFUNCTION("SPLIT(I957,"" "")"),"#VALUE!")</f>
        <v>#VALUE!</v>
      </c>
      <c r="M957" s="2" t="b">
        <f t="shared" si="4"/>
        <v>0</v>
      </c>
      <c r="N957" s="2" t="b">
        <f>IFERROR(__xludf.DUMMYFUNCTION("IF(AND(REGEXMATCH($G$4, ""cd""),M957),N956+J957)"),FALSE)</f>
        <v>0</v>
      </c>
      <c r="O957" s="2" t="str">
        <f t="shared" si="5"/>
        <v>#N/A</v>
      </c>
    </row>
    <row r="958">
      <c r="A958" s="1" t="s">
        <v>128</v>
      </c>
      <c r="B958" s="2" t="str">
        <f t="shared" si="1"/>
        <v>dir mzsfcvgv</v>
      </c>
      <c r="C958" s="2" t="str">
        <f>IFERROR(__xludf.DUMMYFUNCTION("SPLIT(B958,"" "")"),"dir")</f>
        <v>dir</v>
      </c>
      <c r="D958" s="2" t="str">
        <f>IFERROR(__xludf.DUMMYFUNCTION("""COMPUTED_VALUE"""),"mzsfcvgv")</f>
        <v>mzsfcvgv</v>
      </c>
      <c r="E958" s="2" t="str">
        <f t="shared" si="2"/>
        <v>#VALUE!</v>
      </c>
      <c r="F958" s="2" t="str">
        <f>IFERROR(__xludf.DUMMYFUNCTION("SPLIT(E958,"" "")"),"#VALUE!")</f>
        <v>#VALUE!</v>
      </c>
      <c r="I958" s="2" t="str">
        <f t="shared" si="3"/>
        <v>#VALUE!</v>
      </c>
      <c r="J958" s="2" t="str">
        <f>IFERROR(__xludf.DUMMYFUNCTION("SPLIT(I958,"" "")"),"#VALUE!")</f>
        <v>#VALUE!</v>
      </c>
      <c r="M958" s="2" t="b">
        <f t="shared" si="4"/>
        <v>0</v>
      </c>
      <c r="N958" s="2" t="b">
        <f>IFERROR(__xludf.DUMMYFUNCTION("IF(AND(REGEXMATCH($G$4, ""cd""),M958),N957+J958)"),FALSE)</f>
        <v>0</v>
      </c>
      <c r="O958" s="2" t="str">
        <f t="shared" si="5"/>
        <v>#N/A</v>
      </c>
    </row>
    <row r="959">
      <c r="A959" s="1" t="s">
        <v>532</v>
      </c>
      <c r="B959" s="2" t="str">
        <f t="shared" si="1"/>
        <v>dir zdsvth</v>
      </c>
      <c r="C959" s="2" t="str">
        <f>IFERROR(__xludf.DUMMYFUNCTION("SPLIT(B959,"" "")"),"dir")</f>
        <v>dir</v>
      </c>
      <c r="D959" s="2" t="str">
        <f>IFERROR(__xludf.DUMMYFUNCTION("""COMPUTED_VALUE"""),"zdsvth")</f>
        <v>zdsvth</v>
      </c>
      <c r="E959" s="2" t="str">
        <f t="shared" si="2"/>
        <v>#VALUE!</v>
      </c>
      <c r="F959" s="2" t="str">
        <f>IFERROR(__xludf.DUMMYFUNCTION("SPLIT(E959,"" "")"),"#VALUE!")</f>
        <v>#VALUE!</v>
      </c>
      <c r="I959" s="2" t="str">
        <f t="shared" si="3"/>
        <v>#VALUE!</v>
      </c>
      <c r="J959" s="2" t="str">
        <f>IFERROR(__xludf.DUMMYFUNCTION("SPLIT(I959,"" "")"),"#VALUE!")</f>
        <v>#VALUE!</v>
      </c>
      <c r="M959" s="2" t="b">
        <f t="shared" si="4"/>
        <v>0</v>
      </c>
      <c r="N959" s="2" t="b">
        <f>IFERROR(__xludf.DUMMYFUNCTION("IF(AND(REGEXMATCH($G$4, ""cd""),M959),N958+J959)"),FALSE)</f>
        <v>0</v>
      </c>
      <c r="O959" s="2" t="str">
        <f t="shared" si="5"/>
        <v>#N/A</v>
      </c>
    </row>
    <row r="960">
      <c r="A960" s="1" t="s">
        <v>533</v>
      </c>
      <c r="B960" s="2" t="str">
        <f t="shared" si="1"/>
        <v>#VALUE!</v>
      </c>
      <c r="C960" s="2" t="str">
        <f>IFERROR(__xludf.DUMMYFUNCTION("SPLIT(B960,"" "")"),"#VALUE!")</f>
        <v>#VALUE!</v>
      </c>
      <c r="E960" s="2" t="str">
        <f t="shared" si="2"/>
        <v>$ cd hbggp</v>
      </c>
      <c r="F960" s="2" t="str">
        <f>IFERROR(__xludf.DUMMYFUNCTION("SPLIT(E960,"" "")"),"$")</f>
        <v>$</v>
      </c>
      <c r="G960" s="2" t="str">
        <f>IFERROR(__xludf.DUMMYFUNCTION("""COMPUTED_VALUE"""),"cd")</f>
        <v>cd</v>
      </c>
      <c r="H960" s="2" t="str">
        <f>IFERROR(__xludf.DUMMYFUNCTION("""COMPUTED_VALUE"""),"hbggp")</f>
        <v>hbggp</v>
      </c>
      <c r="I960" s="2" t="str">
        <f t="shared" si="3"/>
        <v>#VALUE!</v>
      </c>
      <c r="J960" s="2" t="str">
        <f>IFERROR(__xludf.DUMMYFUNCTION("SPLIT(I960,"" "")"),"#VALUE!")</f>
        <v>#VALUE!</v>
      </c>
      <c r="M960" s="2" t="b">
        <f t="shared" si="4"/>
        <v>0</v>
      </c>
      <c r="N960" s="2" t="b">
        <f>IFERROR(__xludf.DUMMYFUNCTION("IF(AND(REGEXMATCH($G$4, ""cd""),M960),N959+J960)"),FALSE)</f>
        <v>0</v>
      </c>
      <c r="O960" s="2" t="str">
        <f t="shared" si="5"/>
        <v>#N/A</v>
      </c>
    </row>
    <row r="961">
      <c r="A961" s="1" t="s">
        <v>2</v>
      </c>
      <c r="B961" s="2" t="str">
        <f t="shared" si="1"/>
        <v>#VALUE!</v>
      </c>
      <c r="C961" s="2" t="str">
        <f>IFERROR(__xludf.DUMMYFUNCTION("SPLIT(B961,"" "")"),"#VALUE!")</f>
        <v>#VALUE!</v>
      </c>
      <c r="E961" s="2" t="str">
        <f t="shared" si="2"/>
        <v>#VALUE!</v>
      </c>
      <c r="F961" s="2" t="str">
        <f>IFERROR(__xludf.DUMMYFUNCTION("SPLIT(E961,"" "")"),"#VALUE!")</f>
        <v>#VALUE!</v>
      </c>
      <c r="I961" s="2" t="str">
        <f t="shared" si="3"/>
        <v>#VALUE!</v>
      </c>
      <c r="J961" s="2" t="str">
        <f>IFERROR(__xludf.DUMMYFUNCTION("SPLIT(I961,"" "")"),"#VALUE!")</f>
        <v>#VALUE!</v>
      </c>
      <c r="M961" s="2" t="b">
        <f t="shared" si="4"/>
        <v>0</v>
      </c>
      <c r="N961" s="2" t="b">
        <f>IFERROR(__xludf.DUMMYFUNCTION("IF(AND(REGEXMATCH($G$4, ""cd""),M961),N960+J961)"),FALSE)</f>
        <v>0</v>
      </c>
      <c r="O961" s="2" t="str">
        <f t="shared" si="5"/>
        <v>#N/A</v>
      </c>
    </row>
    <row r="962">
      <c r="A962" s="1" t="s">
        <v>534</v>
      </c>
      <c r="B962" s="2" t="str">
        <f t="shared" si="1"/>
        <v>#VALUE!</v>
      </c>
      <c r="C962" s="2" t="str">
        <f>IFERROR(__xludf.DUMMYFUNCTION("SPLIT(B962,"" "")"),"#VALUE!")</f>
        <v>#VALUE!</v>
      </c>
      <c r="E962" s="2" t="str">
        <f t="shared" si="2"/>
        <v>#VALUE!</v>
      </c>
      <c r="F962" s="2" t="str">
        <f>IFERROR(__xludf.DUMMYFUNCTION("SPLIT(E962,"" "")"),"#VALUE!")</f>
        <v>#VALUE!</v>
      </c>
      <c r="I962" s="2" t="str">
        <f t="shared" si="3"/>
        <v>#VALUE!</v>
      </c>
      <c r="J962" s="2" t="str">
        <f>IFERROR(__xludf.DUMMYFUNCTION("SPLIT(I962,"" "")"),"#VALUE!")</f>
        <v>#VALUE!</v>
      </c>
      <c r="M962" s="2" t="b">
        <f t="shared" si="4"/>
        <v>0</v>
      </c>
      <c r="N962" s="2" t="b">
        <f>IFERROR(__xludf.DUMMYFUNCTION("IF(AND(REGEXMATCH($G$4, ""cd""),M962),N961+J962)"),FALSE)</f>
        <v>0</v>
      </c>
      <c r="O962" s="2" t="str">
        <f t="shared" si="5"/>
        <v>#N/A</v>
      </c>
    </row>
    <row r="963">
      <c r="A963" s="1" t="s">
        <v>535</v>
      </c>
      <c r="B963" s="2" t="str">
        <f t="shared" si="1"/>
        <v>#VALUE!</v>
      </c>
      <c r="C963" s="2" t="str">
        <f>IFERROR(__xludf.DUMMYFUNCTION("SPLIT(B963,"" "")"),"#VALUE!")</f>
        <v>#VALUE!</v>
      </c>
      <c r="E963" s="2" t="str">
        <f t="shared" si="2"/>
        <v>#VALUE!</v>
      </c>
      <c r="F963" s="2" t="str">
        <f>IFERROR(__xludf.DUMMYFUNCTION("SPLIT(E963,"" "")"),"#VALUE!")</f>
        <v>#VALUE!</v>
      </c>
      <c r="I963" s="2" t="str">
        <f t="shared" si="3"/>
        <v>112806 rpb.vfl</v>
      </c>
      <c r="J963" s="2">
        <f>IFERROR(__xludf.DUMMYFUNCTION("SPLIT(I963,"" "")"),112806.0)</f>
        <v>112806</v>
      </c>
      <c r="K963" s="2" t="str">
        <f>IFERROR(__xludf.DUMMYFUNCTION("""COMPUTED_VALUE"""),"rpb.vfl")</f>
        <v>rpb.vfl</v>
      </c>
      <c r="M963" s="2" t="b">
        <f t="shared" si="4"/>
        <v>1</v>
      </c>
      <c r="N963" s="2">
        <f>IFERROR(__xludf.DUMMYFUNCTION("IF(AND(REGEXMATCH($G$4, ""cd""),M963),N962+J963)"),112806.0)</f>
        <v>112806</v>
      </c>
      <c r="O963" s="2" t="str">
        <f t="shared" si="5"/>
        <v>#N/A</v>
      </c>
    </row>
    <row r="964">
      <c r="A964" s="1" t="s">
        <v>17</v>
      </c>
      <c r="B964" s="2" t="str">
        <f t="shared" si="1"/>
        <v>#VALUE!</v>
      </c>
      <c r="C964" s="2" t="str">
        <f>IFERROR(__xludf.DUMMYFUNCTION("SPLIT(B964,"" "")"),"#VALUE!")</f>
        <v>#VALUE!</v>
      </c>
      <c r="E964" s="2" t="str">
        <f t="shared" si="2"/>
        <v>$ cd ..</v>
      </c>
      <c r="F964" s="2" t="str">
        <f>IFERROR(__xludf.DUMMYFUNCTION("SPLIT(E964,"" "")"),"$")</f>
        <v>$</v>
      </c>
      <c r="G964" s="2" t="str">
        <f>IFERROR(__xludf.DUMMYFUNCTION("""COMPUTED_VALUE"""),"cd")</f>
        <v>cd</v>
      </c>
      <c r="H964" s="2" t="str">
        <f>IFERROR(__xludf.DUMMYFUNCTION("""COMPUTED_VALUE"""),"..")</f>
        <v>..</v>
      </c>
      <c r="I964" s="2" t="str">
        <f t="shared" si="3"/>
        <v>$ cd ..</v>
      </c>
      <c r="J964" s="2" t="str">
        <f>IFERROR(__xludf.DUMMYFUNCTION("SPLIT(I964,"" "")"),"$")</f>
        <v>$</v>
      </c>
      <c r="K964" s="2" t="str">
        <f>IFERROR(__xludf.DUMMYFUNCTION("""COMPUTED_VALUE"""),"cd")</f>
        <v>cd</v>
      </c>
      <c r="L964" s="2" t="str">
        <f>IFERROR(__xludf.DUMMYFUNCTION("""COMPUTED_VALUE"""),"..")</f>
        <v>..</v>
      </c>
      <c r="M964" s="2" t="b">
        <f t="shared" si="4"/>
        <v>0</v>
      </c>
      <c r="N964" s="2" t="b">
        <f>IFERROR(__xludf.DUMMYFUNCTION("IF(AND(REGEXMATCH($G$4, ""cd""),M964),N963+J964)"),FALSE)</f>
        <v>0</v>
      </c>
      <c r="O964" s="2" t="str">
        <f t="shared" si="5"/>
        <v>#N/A</v>
      </c>
    </row>
    <row r="965">
      <c r="A965" s="1" t="s">
        <v>131</v>
      </c>
      <c r="B965" s="2" t="str">
        <f t="shared" si="1"/>
        <v>#VALUE!</v>
      </c>
      <c r="C965" s="2" t="str">
        <f>IFERROR(__xludf.DUMMYFUNCTION("SPLIT(B965,"" "")"),"#VALUE!")</f>
        <v>#VALUE!</v>
      </c>
      <c r="E965" s="2" t="str">
        <f t="shared" si="2"/>
        <v>$ cd mzsfcvgv</v>
      </c>
      <c r="F965" s="2" t="str">
        <f>IFERROR(__xludf.DUMMYFUNCTION("SPLIT(E965,"" "")"),"$")</f>
        <v>$</v>
      </c>
      <c r="G965" s="2" t="str">
        <f>IFERROR(__xludf.DUMMYFUNCTION("""COMPUTED_VALUE"""),"cd")</f>
        <v>cd</v>
      </c>
      <c r="H965" s="2" t="str">
        <f>IFERROR(__xludf.DUMMYFUNCTION("""COMPUTED_VALUE"""),"mzsfcvgv")</f>
        <v>mzsfcvgv</v>
      </c>
      <c r="I965" s="2" t="str">
        <f t="shared" si="3"/>
        <v>#VALUE!</v>
      </c>
      <c r="J965" s="2" t="str">
        <f>IFERROR(__xludf.DUMMYFUNCTION("SPLIT(I965,"" "")"),"#VALUE!")</f>
        <v>#VALUE!</v>
      </c>
      <c r="M965" s="2" t="b">
        <f t="shared" si="4"/>
        <v>0</v>
      </c>
      <c r="N965" s="2" t="b">
        <f>IFERROR(__xludf.DUMMYFUNCTION("IF(AND(REGEXMATCH($G$4, ""cd""),M965),N964+J965)"),FALSE)</f>
        <v>0</v>
      </c>
      <c r="O965" s="2" t="str">
        <f t="shared" si="5"/>
        <v>#N/A</v>
      </c>
    </row>
    <row r="966">
      <c r="A966" s="1" t="s">
        <v>2</v>
      </c>
      <c r="B966" s="2" t="str">
        <f t="shared" si="1"/>
        <v>#VALUE!</v>
      </c>
      <c r="C966" s="2" t="str">
        <f>IFERROR(__xludf.DUMMYFUNCTION("SPLIT(B966,"" "")"),"#VALUE!")</f>
        <v>#VALUE!</v>
      </c>
      <c r="E966" s="2" t="str">
        <f t="shared" si="2"/>
        <v>#VALUE!</v>
      </c>
      <c r="F966" s="2" t="str">
        <f>IFERROR(__xludf.DUMMYFUNCTION("SPLIT(E966,"" "")"),"#VALUE!")</f>
        <v>#VALUE!</v>
      </c>
      <c r="I966" s="2" t="str">
        <f t="shared" si="3"/>
        <v>#VALUE!</v>
      </c>
      <c r="J966" s="2" t="str">
        <f>IFERROR(__xludf.DUMMYFUNCTION("SPLIT(I966,"" "")"),"#VALUE!")</f>
        <v>#VALUE!</v>
      </c>
      <c r="M966" s="2" t="b">
        <f t="shared" si="4"/>
        <v>0</v>
      </c>
      <c r="N966" s="2" t="b">
        <f>IFERROR(__xludf.DUMMYFUNCTION("IF(AND(REGEXMATCH($G$4, ""cd""),M966),N965+J966)"),FALSE)</f>
        <v>0</v>
      </c>
      <c r="O966" s="2" t="str">
        <f t="shared" si="5"/>
        <v>#N/A</v>
      </c>
    </row>
    <row r="967">
      <c r="A967" s="1" t="s">
        <v>536</v>
      </c>
      <c r="B967" s="2" t="str">
        <f t="shared" si="1"/>
        <v>dir gpz</v>
      </c>
      <c r="C967" s="2" t="str">
        <f>IFERROR(__xludf.DUMMYFUNCTION("SPLIT(B967,"" "")"),"dir")</f>
        <v>dir</v>
      </c>
      <c r="D967" s="2" t="str">
        <f>IFERROR(__xludf.DUMMYFUNCTION("""COMPUTED_VALUE"""),"gpz")</f>
        <v>gpz</v>
      </c>
      <c r="E967" s="2" t="str">
        <f t="shared" si="2"/>
        <v>#VALUE!</v>
      </c>
      <c r="F967" s="2" t="str">
        <f>IFERROR(__xludf.DUMMYFUNCTION("SPLIT(E967,"" "")"),"#VALUE!")</f>
        <v>#VALUE!</v>
      </c>
      <c r="I967" s="2" t="str">
        <f t="shared" si="3"/>
        <v>#VALUE!</v>
      </c>
      <c r="J967" s="2" t="str">
        <f>IFERROR(__xludf.DUMMYFUNCTION("SPLIT(I967,"" "")"),"#VALUE!")</f>
        <v>#VALUE!</v>
      </c>
      <c r="M967" s="2" t="b">
        <f t="shared" si="4"/>
        <v>0</v>
      </c>
      <c r="N967" s="2" t="b">
        <f>IFERROR(__xludf.DUMMYFUNCTION("IF(AND(REGEXMATCH($G$4, ""cd""),M967),N966+J967)"),FALSE)</f>
        <v>0</v>
      </c>
      <c r="O967" s="2" t="str">
        <f t="shared" si="5"/>
        <v>#N/A</v>
      </c>
    </row>
    <row r="968">
      <c r="A968" s="1" t="s">
        <v>39</v>
      </c>
      <c r="B968" s="2" t="str">
        <f t="shared" si="1"/>
        <v>dir slzdbm</v>
      </c>
      <c r="C968" s="2" t="str">
        <f>IFERROR(__xludf.DUMMYFUNCTION("SPLIT(B968,"" "")"),"dir")</f>
        <v>dir</v>
      </c>
      <c r="D968" s="2" t="str">
        <f>IFERROR(__xludf.DUMMYFUNCTION("""COMPUTED_VALUE"""),"slzdbm")</f>
        <v>slzdbm</v>
      </c>
      <c r="E968" s="2" t="str">
        <f t="shared" si="2"/>
        <v>#VALUE!</v>
      </c>
      <c r="F968" s="2" t="str">
        <f>IFERROR(__xludf.DUMMYFUNCTION("SPLIT(E968,"" "")"),"#VALUE!")</f>
        <v>#VALUE!</v>
      </c>
      <c r="I968" s="2" t="str">
        <f t="shared" si="3"/>
        <v>#VALUE!</v>
      </c>
      <c r="J968" s="2" t="str">
        <f>IFERROR(__xludf.DUMMYFUNCTION("SPLIT(I968,"" "")"),"#VALUE!")</f>
        <v>#VALUE!</v>
      </c>
      <c r="M968" s="2" t="b">
        <f t="shared" si="4"/>
        <v>0</v>
      </c>
      <c r="N968" s="2" t="b">
        <f>IFERROR(__xludf.DUMMYFUNCTION("IF(AND(REGEXMATCH($G$4, ""cd""),M968),N967+J968)"),FALSE)</f>
        <v>0</v>
      </c>
      <c r="O968" s="2" t="str">
        <f t="shared" si="5"/>
        <v>#N/A</v>
      </c>
    </row>
    <row r="969">
      <c r="A969" s="1" t="s">
        <v>537</v>
      </c>
      <c r="B969" s="2" t="str">
        <f t="shared" si="1"/>
        <v>dir zvjv</v>
      </c>
      <c r="C969" s="2" t="str">
        <f>IFERROR(__xludf.DUMMYFUNCTION("SPLIT(B969,"" "")"),"dir")</f>
        <v>dir</v>
      </c>
      <c r="D969" s="2" t="str">
        <f>IFERROR(__xludf.DUMMYFUNCTION("""COMPUTED_VALUE"""),"zvjv")</f>
        <v>zvjv</v>
      </c>
      <c r="E969" s="2" t="str">
        <f t="shared" si="2"/>
        <v>#VALUE!</v>
      </c>
      <c r="F969" s="2" t="str">
        <f>IFERROR(__xludf.DUMMYFUNCTION("SPLIT(E969,"" "")"),"#VALUE!")</f>
        <v>#VALUE!</v>
      </c>
      <c r="I969" s="2" t="str">
        <f t="shared" si="3"/>
        <v>#VALUE!</v>
      </c>
      <c r="J969" s="2" t="str">
        <f>IFERROR(__xludf.DUMMYFUNCTION("SPLIT(I969,"" "")"),"#VALUE!")</f>
        <v>#VALUE!</v>
      </c>
      <c r="M969" s="2" t="b">
        <f t="shared" si="4"/>
        <v>0</v>
      </c>
      <c r="N969" s="2" t="b">
        <f>IFERROR(__xludf.DUMMYFUNCTION("IF(AND(REGEXMATCH($G$4, ""cd""),M969),N968+J969)"),FALSE)</f>
        <v>0</v>
      </c>
      <c r="O969" s="2" t="str">
        <f t="shared" si="5"/>
        <v>#N/A</v>
      </c>
    </row>
    <row r="970">
      <c r="A970" s="1" t="s">
        <v>538</v>
      </c>
      <c r="B970" s="2" t="str">
        <f t="shared" si="1"/>
        <v>#VALUE!</v>
      </c>
      <c r="C970" s="2" t="str">
        <f>IFERROR(__xludf.DUMMYFUNCTION("SPLIT(B970,"" "")"),"#VALUE!")</f>
        <v>#VALUE!</v>
      </c>
      <c r="E970" s="2" t="str">
        <f t="shared" si="2"/>
        <v>$ cd gpz</v>
      </c>
      <c r="F970" s="2" t="str">
        <f>IFERROR(__xludf.DUMMYFUNCTION("SPLIT(E970,"" "")"),"$")</f>
        <v>$</v>
      </c>
      <c r="G970" s="2" t="str">
        <f>IFERROR(__xludf.DUMMYFUNCTION("""COMPUTED_VALUE"""),"cd")</f>
        <v>cd</v>
      </c>
      <c r="H970" s="2" t="str">
        <f>IFERROR(__xludf.DUMMYFUNCTION("""COMPUTED_VALUE"""),"gpz")</f>
        <v>gpz</v>
      </c>
      <c r="I970" s="2" t="str">
        <f t="shared" si="3"/>
        <v>#VALUE!</v>
      </c>
      <c r="J970" s="2" t="str">
        <f>IFERROR(__xludf.DUMMYFUNCTION("SPLIT(I970,"" "")"),"#VALUE!")</f>
        <v>#VALUE!</v>
      </c>
      <c r="M970" s="2" t="b">
        <f t="shared" si="4"/>
        <v>0</v>
      </c>
      <c r="N970" s="2" t="b">
        <f>IFERROR(__xludf.DUMMYFUNCTION("IF(AND(REGEXMATCH($G$4, ""cd""),M970),N969+J970)"),FALSE)</f>
        <v>0</v>
      </c>
      <c r="O970" s="2" t="str">
        <f t="shared" si="5"/>
        <v>#N/A</v>
      </c>
    </row>
    <row r="971">
      <c r="A971" s="1" t="s">
        <v>2</v>
      </c>
      <c r="B971" s="2" t="str">
        <f t="shared" si="1"/>
        <v>#VALUE!</v>
      </c>
      <c r="C971" s="2" t="str">
        <f>IFERROR(__xludf.DUMMYFUNCTION("SPLIT(B971,"" "")"),"#VALUE!")</f>
        <v>#VALUE!</v>
      </c>
      <c r="E971" s="2" t="str">
        <f t="shared" si="2"/>
        <v>#VALUE!</v>
      </c>
      <c r="F971" s="2" t="str">
        <f>IFERROR(__xludf.DUMMYFUNCTION("SPLIT(E971,"" "")"),"#VALUE!")</f>
        <v>#VALUE!</v>
      </c>
      <c r="I971" s="2" t="str">
        <f t="shared" si="3"/>
        <v>#VALUE!</v>
      </c>
      <c r="J971" s="2" t="str">
        <f>IFERROR(__xludf.DUMMYFUNCTION("SPLIT(I971,"" "")"),"#VALUE!")</f>
        <v>#VALUE!</v>
      </c>
      <c r="M971" s="2" t="b">
        <f t="shared" si="4"/>
        <v>0</v>
      </c>
      <c r="N971" s="2" t="b">
        <f>IFERROR(__xludf.DUMMYFUNCTION("IF(AND(REGEXMATCH($G$4, ""cd""),M971),N970+J971)"),FALSE)</f>
        <v>0</v>
      </c>
      <c r="O971" s="2" t="str">
        <f t="shared" si="5"/>
        <v>#N/A</v>
      </c>
    </row>
    <row r="972">
      <c r="A972" s="1" t="s">
        <v>539</v>
      </c>
      <c r="B972" s="2" t="str">
        <f t="shared" si="1"/>
        <v>#VALUE!</v>
      </c>
      <c r="C972" s="2" t="str">
        <f>IFERROR(__xludf.DUMMYFUNCTION("SPLIT(B972,"" "")"),"#VALUE!")</f>
        <v>#VALUE!</v>
      </c>
      <c r="E972" s="2" t="str">
        <f t="shared" si="2"/>
        <v>#VALUE!</v>
      </c>
      <c r="F972" s="2" t="str">
        <f>IFERROR(__xludf.DUMMYFUNCTION("SPLIT(E972,"" "")"),"#VALUE!")</f>
        <v>#VALUE!</v>
      </c>
      <c r="I972" s="2" t="str">
        <f t="shared" si="3"/>
        <v>#VALUE!</v>
      </c>
      <c r="J972" s="2" t="str">
        <f>IFERROR(__xludf.DUMMYFUNCTION("SPLIT(I972,"" "")"),"#VALUE!")</f>
        <v>#VALUE!</v>
      </c>
      <c r="M972" s="2" t="b">
        <f t="shared" si="4"/>
        <v>0</v>
      </c>
      <c r="N972" s="2" t="b">
        <f>IFERROR(__xludf.DUMMYFUNCTION("IF(AND(REGEXMATCH($G$4, ""cd""),M972),N971+J972)"),FALSE)</f>
        <v>0</v>
      </c>
      <c r="O972" s="2" t="str">
        <f t="shared" si="5"/>
        <v>#N/A</v>
      </c>
    </row>
    <row r="973">
      <c r="A973" s="1" t="s">
        <v>540</v>
      </c>
      <c r="B973" s="2" t="str">
        <f t="shared" si="1"/>
        <v>#VALUE!</v>
      </c>
      <c r="C973" s="2" t="str">
        <f>IFERROR(__xludf.DUMMYFUNCTION("SPLIT(B973,"" "")"),"#VALUE!")</f>
        <v>#VALUE!</v>
      </c>
      <c r="E973" s="2" t="str">
        <f t="shared" si="2"/>
        <v>#VALUE!</v>
      </c>
      <c r="F973" s="2" t="str">
        <f>IFERROR(__xludf.DUMMYFUNCTION("SPLIT(E973,"" "")"),"#VALUE!")</f>
        <v>#VALUE!</v>
      </c>
      <c r="I973" s="2" t="str">
        <f t="shared" si="3"/>
        <v>158548 slfdb.bqt</v>
      </c>
      <c r="J973" s="2">
        <f>IFERROR(__xludf.DUMMYFUNCTION("SPLIT(I973,"" "")"),158548.0)</f>
        <v>158548</v>
      </c>
      <c r="K973" s="2" t="str">
        <f>IFERROR(__xludf.DUMMYFUNCTION("""COMPUTED_VALUE"""),"slfdb.bqt")</f>
        <v>slfdb.bqt</v>
      </c>
      <c r="M973" s="2" t="b">
        <f t="shared" si="4"/>
        <v>1</v>
      </c>
      <c r="N973" s="2">
        <f>IFERROR(__xludf.DUMMYFUNCTION("IF(AND(REGEXMATCH($G$4, ""cd""),M973),N972+J973)"),158548.0)</f>
        <v>158548</v>
      </c>
      <c r="O973" s="2" t="str">
        <f t="shared" si="5"/>
        <v>#N/A</v>
      </c>
    </row>
    <row r="974">
      <c r="A974" s="1" t="s">
        <v>17</v>
      </c>
      <c r="B974" s="2" t="str">
        <f t="shared" si="1"/>
        <v>#VALUE!</v>
      </c>
      <c r="C974" s="2" t="str">
        <f>IFERROR(__xludf.DUMMYFUNCTION("SPLIT(B974,"" "")"),"#VALUE!")</f>
        <v>#VALUE!</v>
      </c>
      <c r="E974" s="2" t="str">
        <f t="shared" si="2"/>
        <v>$ cd ..</v>
      </c>
      <c r="F974" s="2" t="str">
        <f>IFERROR(__xludf.DUMMYFUNCTION("SPLIT(E974,"" "")"),"$")</f>
        <v>$</v>
      </c>
      <c r="G974" s="2" t="str">
        <f>IFERROR(__xludf.DUMMYFUNCTION("""COMPUTED_VALUE"""),"cd")</f>
        <v>cd</v>
      </c>
      <c r="H974" s="2" t="str">
        <f>IFERROR(__xludf.DUMMYFUNCTION("""COMPUTED_VALUE"""),"..")</f>
        <v>..</v>
      </c>
      <c r="I974" s="2" t="str">
        <f t="shared" si="3"/>
        <v>$ cd ..</v>
      </c>
      <c r="J974" s="2" t="str">
        <f>IFERROR(__xludf.DUMMYFUNCTION("SPLIT(I974,"" "")"),"$")</f>
        <v>$</v>
      </c>
      <c r="K974" s="2" t="str">
        <f>IFERROR(__xludf.DUMMYFUNCTION("""COMPUTED_VALUE"""),"cd")</f>
        <v>cd</v>
      </c>
      <c r="L974" s="2" t="str">
        <f>IFERROR(__xludf.DUMMYFUNCTION("""COMPUTED_VALUE"""),"..")</f>
        <v>..</v>
      </c>
      <c r="M974" s="2" t="b">
        <f t="shared" si="4"/>
        <v>0</v>
      </c>
      <c r="N974" s="2" t="b">
        <f>IFERROR(__xludf.DUMMYFUNCTION("IF(AND(REGEXMATCH($G$4, ""cd""),M974),N973+J974)"),FALSE)</f>
        <v>0</v>
      </c>
      <c r="O974" s="2" t="str">
        <f t="shared" si="5"/>
        <v>#N/A</v>
      </c>
    </row>
    <row r="975">
      <c r="A975" s="1" t="s">
        <v>60</v>
      </c>
      <c r="B975" s="2" t="str">
        <f t="shared" si="1"/>
        <v>#VALUE!</v>
      </c>
      <c r="C975" s="2" t="str">
        <f>IFERROR(__xludf.DUMMYFUNCTION("SPLIT(B975,"" "")"),"#VALUE!")</f>
        <v>#VALUE!</v>
      </c>
      <c r="E975" s="2" t="str">
        <f t="shared" si="2"/>
        <v>$ cd slzdbm</v>
      </c>
      <c r="F975" s="2" t="str">
        <f>IFERROR(__xludf.DUMMYFUNCTION("SPLIT(E975,"" "")"),"$")</f>
        <v>$</v>
      </c>
      <c r="G975" s="2" t="str">
        <f>IFERROR(__xludf.DUMMYFUNCTION("""COMPUTED_VALUE"""),"cd")</f>
        <v>cd</v>
      </c>
      <c r="H975" s="2" t="str">
        <f>IFERROR(__xludf.DUMMYFUNCTION("""COMPUTED_VALUE"""),"slzdbm")</f>
        <v>slzdbm</v>
      </c>
      <c r="I975" s="2" t="str">
        <f t="shared" si="3"/>
        <v>#VALUE!</v>
      </c>
      <c r="J975" s="2" t="str">
        <f>IFERROR(__xludf.DUMMYFUNCTION("SPLIT(I975,"" "")"),"#VALUE!")</f>
        <v>#VALUE!</v>
      </c>
      <c r="M975" s="2" t="b">
        <f t="shared" si="4"/>
        <v>0</v>
      </c>
      <c r="N975" s="2" t="b">
        <f>IFERROR(__xludf.DUMMYFUNCTION("IF(AND(REGEXMATCH($G$4, ""cd""),M975),N974+J975)"),FALSE)</f>
        <v>0</v>
      </c>
      <c r="O975" s="2" t="str">
        <f t="shared" si="5"/>
        <v>#N/A</v>
      </c>
    </row>
    <row r="976">
      <c r="A976" s="1" t="s">
        <v>2</v>
      </c>
      <c r="B976" s="2" t="str">
        <f t="shared" si="1"/>
        <v>#VALUE!</v>
      </c>
      <c r="C976" s="2" t="str">
        <f>IFERROR(__xludf.DUMMYFUNCTION("SPLIT(B976,"" "")"),"#VALUE!")</f>
        <v>#VALUE!</v>
      </c>
      <c r="E976" s="2" t="str">
        <f t="shared" si="2"/>
        <v>#VALUE!</v>
      </c>
      <c r="F976" s="2" t="str">
        <f>IFERROR(__xludf.DUMMYFUNCTION("SPLIT(E976,"" "")"),"#VALUE!")</f>
        <v>#VALUE!</v>
      </c>
      <c r="I976" s="2" t="str">
        <f t="shared" si="3"/>
        <v>#VALUE!</v>
      </c>
      <c r="J976" s="2" t="str">
        <f>IFERROR(__xludf.DUMMYFUNCTION("SPLIT(I976,"" "")"),"#VALUE!")</f>
        <v>#VALUE!</v>
      </c>
      <c r="M976" s="2" t="b">
        <f t="shared" si="4"/>
        <v>0</v>
      </c>
      <c r="N976" s="2" t="b">
        <f>IFERROR(__xludf.DUMMYFUNCTION("IF(AND(REGEXMATCH($G$4, ""cd""),M976),N975+J976)"),FALSE)</f>
        <v>0</v>
      </c>
      <c r="O976" s="2" t="str">
        <f t="shared" si="5"/>
        <v>#N/A</v>
      </c>
    </row>
    <row r="977">
      <c r="A977" s="1" t="s">
        <v>50</v>
      </c>
      <c r="B977" s="2" t="str">
        <f t="shared" si="1"/>
        <v>dir hlvpfw</v>
      </c>
      <c r="C977" s="2" t="str">
        <f>IFERROR(__xludf.DUMMYFUNCTION("SPLIT(B977,"" "")"),"dir")</f>
        <v>dir</v>
      </c>
      <c r="D977" s="2" t="str">
        <f>IFERROR(__xludf.DUMMYFUNCTION("""COMPUTED_VALUE"""),"hlvpfw")</f>
        <v>hlvpfw</v>
      </c>
      <c r="E977" s="2" t="str">
        <f t="shared" si="2"/>
        <v>#VALUE!</v>
      </c>
      <c r="F977" s="2" t="str">
        <f>IFERROR(__xludf.DUMMYFUNCTION("SPLIT(E977,"" "")"),"#VALUE!")</f>
        <v>#VALUE!</v>
      </c>
      <c r="I977" s="2" t="str">
        <f t="shared" si="3"/>
        <v>#VALUE!</v>
      </c>
      <c r="J977" s="2" t="str">
        <f>IFERROR(__xludf.DUMMYFUNCTION("SPLIT(I977,"" "")"),"#VALUE!")</f>
        <v>#VALUE!</v>
      </c>
      <c r="M977" s="2" t="b">
        <f t="shared" si="4"/>
        <v>0</v>
      </c>
      <c r="N977" s="2" t="b">
        <f>IFERROR(__xludf.DUMMYFUNCTION("IF(AND(REGEXMATCH($G$4, ""cd""),M977),N976+J977)"),FALSE)</f>
        <v>0</v>
      </c>
      <c r="O977" s="2" t="str">
        <f t="shared" si="5"/>
        <v>#N/A</v>
      </c>
    </row>
    <row r="978">
      <c r="A978" s="1" t="s">
        <v>128</v>
      </c>
      <c r="B978" s="2" t="str">
        <f t="shared" si="1"/>
        <v>dir mzsfcvgv</v>
      </c>
      <c r="C978" s="2" t="str">
        <f>IFERROR(__xludf.DUMMYFUNCTION("SPLIT(B978,"" "")"),"dir")</f>
        <v>dir</v>
      </c>
      <c r="D978" s="2" t="str">
        <f>IFERROR(__xludf.DUMMYFUNCTION("""COMPUTED_VALUE"""),"mzsfcvgv")</f>
        <v>mzsfcvgv</v>
      </c>
      <c r="E978" s="2" t="str">
        <f t="shared" si="2"/>
        <v>#VALUE!</v>
      </c>
      <c r="F978" s="2" t="str">
        <f>IFERROR(__xludf.DUMMYFUNCTION("SPLIT(E978,"" "")"),"#VALUE!")</f>
        <v>#VALUE!</v>
      </c>
      <c r="I978" s="2" t="str">
        <f t="shared" si="3"/>
        <v>#VALUE!</v>
      </c>
      <c r="J978" s="2" t="str">
        <f>IFERROR(__xludf.DUMMYFUNCTION("SPLIT(I978,"" "")"),"#VALUE!")</f>
        <v>#VALUE!</v>
      </c>
      <c r="M978" s="2" t="b">
        <f t="shared" si="4"/>
        <v>0</v>
      </c>
      <c r="N978" s="2" t="b">
        <f>IFERROR(__xludf.DUMMYFUNCTION("IF(AND(REGEXMATCH($G$4, ""cd""),M978),N977+J978)"),FALSE)</f>
        <v>0</v>
      </c>
      <c r="O978" s="2" t="str">
        <f t="shared" si="5"/>
        <v>#N/A</v>
      </c>
    </row>
    <row r="979">
      <c r="A979" s="1" t="s">
        <v>541</v>
      </c>
      <c r="B979" s="2" t="str">
        <f t="shared" si="1"/>
        <v>dir zdcthssc</v>
      </c>
      <c r="C979" s="2" t="str">
        <f>IFERROR(__xludf.DUMMYFUNCTION("SPLIT(B979,"" "")"),"dir")</f>
        <v>dir</v>
      </c>
      <c r="D979" s="2" t="str">
        <f>IFERROR(__xludf.DUMMYFUNCTION("""COMPUTED_VALUE"""),"zdcthssc")</f>
        <v>zdcthssc</v>
      </c>
      <c r="E979" s="2" t="str">
        <f t="shared" si="2"/>
        <v>#VALUE!</v>
      </c>
      <c r="F979" s="2" t="str">
        <f>IFERROR(__xludf.DUMMYFUNCTION("SPLIT(E979,"" "")"),"#VALUE!")</f>
        <v>#VALUE!</v>
      </c>
      <c r="I979" s="2" t="str">
        <f t="shared" si="3"/>
        <v>#VALUE!</v>
      </c>
      <c r="J979" s="2" t="str">
        <f>IFERROR(__xludf.DUMMYFUNCTION("SPLIT(I979,"" "")"),"#VALUE!")</f>
        <v>#VALUE!</v>
      </c>
      <c r="M979" s="2" t="b">
        <f t="shared" si="4"/>
        <v>0</v>
      </c>
      <c r="N979" s="2" t="b">
        <f>IFERROR(__xludf.DUMMYFUNCTION("IF(AND(REGEXMATCH($G$4, ""cd""),M979),N978+J979)"),FALSE)</f>
        <v>0</v>
      </c>
      <c r="O979" s="2" t="str">
        <f t="shared" si="5"/>
        <v>#N/A</v>
      </c>
    </row>
    <row r="980">
      <c r="A980" s="1" t="s">
        <v>52</v>
      </c>
      <c r="B980" s="2" t="str">
        <f t="shared" si="1"/>
        <v>#VALUE!</v>
      </c>
      <c r="C980" s="2" t="str">
        <f>IFERROR(__xludf.DUMMYFUNCTION("SPLIT(B980,"" "")"),"#VALUE!")</f>
        <v>#VALUE!</v>
      </c>
      <c r="E980" s="2" t="str">
        <f t="shared" si="2"/>
        <v>$ cd hlvpfw</v>
      </c>
      <c r="F980" s="2" t="str">
        <f>IFERROR(__xludf.DUMMYFUNCTION("SPLIT(E980,"" "")"),"$")</f>
        <v>$</v>
      </c>
      <c r="G980" s="2" t="str">
        <f>IFERROR(__xludf.DUMMYFUNCTION("""COMPUTED_VALUE"""),"cd")</f>
        <v>cd</v>
      </c>
      <c r="H980" s="2" t="str">
        <f>IFERROR(__xludf.DUMMYFUNCTION("""COMPUTED_VALUE"""),"hlvpfw")</f>
        <v>hlvpfw</v>
      </c>
      <c r="I980" s="2" t="str">
        <f t="shared" si="3"/>
        <v>#VALUE!</v>
      </c>
      <c r="J980" s="2" t="str">
        <f>IFERROR(__xludf.DUMMYFUNCTION("SPLIT(I980,"" "")"),"#VALUE!")</f>
        <v>#VALUE!</v>
      </c>
      <c r="M980" s="2" t="b">
        <f t="shared" si="4"/>
        <v>0</v>
      </c>
      <c r="N980" s="2" t="b">
        <f>IFERROR(__xludf.DUMMYFUNCTION("IF(AND(REGEXMATCH($G$4, ""cd""),M980),N979+J980)"),FALSE)</f>
        <v>0</v>
      </c>
      <c r="O980" s="2" t="str">
        <f t="shared" si="5"/>
        <v>#N/A</v>
      </c>
    </row>
    <row r="981">
      <c r="A981" s="1" t="s">
        <v>2</v>
      </c>
      <c r="B981" s="2" t="str">
        <f t="shared" si="1"/>
        <v>#VALUE!</v>
      </c>
      <c r="C981" s="2" t="str">
        <f>IFERROR(__xludf.DUMMYFUNCTION("SPLIT(B981,"" "")"),"#VALUE!")</f>
        <v>#VALUE!</v>
      </c>
      <c r="E981" s="2" t="str">
        <f t="shared" si="2"/>
        <v>#VALUE!</v>
      </c>
      <c r="F981" s="2" t="str">
        <f>IFERROR(__xludf.DUMMYFUNCTION("SPLIT(E981,"" "")"),"#VALUE!")</f>
        <v>#VALUE!</v>
      </c>
      <c r="I981" s="2" t="str">
        <f t="shared" si="3"/>
        <v>#VALUE!</v>
      </c>
      <c r="J981" s="2" t="str">
        <f>IFERROR(__xludf.DUMMYFUNCTION("SPLIT(I981,"" "")"),"#VALUE!")</f>
        <v>#VALUE!</v>
      </c>
      <c r="M981" s="2" t="b">
        <f t="shared" si="4"/>
        <v>0</v>
      </c>
      <c r="N981" s="2" t="b">
        <f>IFERROR(__xludf.DUMMYFUNCTION("IF(AND(REGEXMATCH($G$4, ""cd""),M981),N980+J981)"),FALSE)</f>
        <v>0</v>
      </c>
      <c r="O981" s="2" t="str">
        <f t="shared" si="5"/>
        <v>#N/A</v>
      </c>
    </row>
    <row r="982">
      <c r="A982" s="1" t="s">
        <v>542</v>
      </c>
      <c r="B982" s="2" t="str">
        <f t="shared" si="1"/>
        <v>#VALUE!</v>
      </c>
      <c r="C982" s="2" t="str">
        <f>IFERROR(__xludf.DUMMYFUNCTION("SPLIT(B982,"" "")"),"#VALUE!")</f>
        <v>#VALUE!</v>
      </c>
      <c r="E982" s="2" t="str">
        <f t="shared" si="2"/>
        <v>#VALUE!</v>
      </c>
      <c r="F982" s="2" t="str">
        <f>IFERROR(__xludf.DUMMYFUNCTION("SPLIT(E982,"" "")"),"#VALUE!")</f>
        <v>#VALUE!</v>
      </c>
      <c r="I982" s="2" t="str">
        <f t="shared" si="3"/>
        <v>49287 zbdp.gqb</v>
      </c>
      <c r="J982" s="2">
        <f>IFERROR(__xludf.DUMMYFUNCTION("SPLIT(I982,"" "")"),49287.0)</f>
        <v>49287</v>
      </c>
      <c r="K982" s="2" t="str">
        <f>IFERROR(__xludf.DUMMYFUNCTION("""COMPUTED_VALUE"""),"zbdp.gqb")</f>
        <v>zbdp.gqb</v>
      </c>
      <c r="M982" s="2" t="b">
        <f t="shared" si="4"/>
        <v>1</v>
      </c>
      <c r="N982" s="2">
        <f>IFERROR(__xludf.DUMMYFUNCTION("IF(AND(REGEXMATCH($G$4, ""cd""),M982),N981+J982)"),49287.0)</f>
        <v>49287</v>
      </c>
      <c r="O982" s="2" t="str">
        <f t="shared" si="5"/>
        <v>#N/A</v>
      </c>
    </row>
    <row r="983">
      <c r="A983" s="1" t="s">
        <v>17</v>
      </c>
      <c r="B983" s="2" t="str">
        <f t="shared" si="1"/>
        <v>#VALUE!</v>
      </c>
      <c r="C983" s="2" t="str">
        <f>IFERROR(__xludf.DUMMYFUNCTION("SPLIT(B983,"" "")"),"#VALUE!")</f>
        <v>#VALUE!</v>
      </c>
      <c r="E983" s="2" t="str">
        <f t="shared" si="2"/>
        <v>$ cd ..</v>
      </c>
      <c r="F983" s="2" t="str">
        <f>IFERROR(__xludf.DUMMYFUNCTION("SPLIT(E983,"" "")"),"$")</f>
        <v>$</v>
      </c>
      <c r="G983" s="2" t="str">
        <f>IFERROR(__xludf.DUMMYFUNCTION("""COMPUTED_VALUE"""),"cd")</f>
        <v>cd</v>
      </c>
      <c r="H983" s="2" t="str">
        <f>IFERROR(__xludf.DUMMYFUNCTION("""COMPUTED_VALUE"""),"..")</f>
        <v>..</v>
      </c>
      <c r="I983" s="2" t="str">
        <f t="shared" si="3"/>
        <v>$ cd ..</v>
      </c>
      <c r="J983" s="2" t="str">
        <f>IFERROR(__xludf.DUMMYFUNCTION("SPLIT(I983,"" "")"),"$")</f>
        <v>$</v>
      </c>
      <c r="K983" s="2" t="str">
        <f>IFERROR(__xludf.DUMMYFUNCTION("""COMPUTED_VALUE"""),"cd")</f>
        <v>cd</v>
      </c>
      <c r="L983" s="2" t="str">
        <f>IFERROR(__xludf.DUMMYFUNCTION("""COMPUTED_VALUE"""),"..")</f>
        <v>..</v>
      </c>
      <c r="M983" s="2" t="b">
        <f t="shared" si="4"/>
        <v>0</v>
      </c>
      <c r="N983" s="2" t="b">
        <f>IFERROR(__xludf.DUMMYFUNCTION("IF(AND(REGEXMATCH($G$4, ""cd""),M983),N982+J983)"),FALSE)</f>
        <v>0</v>
      </c>
      <c r="O983" s="2" t="str">
        <f t="shared" si="5"/>
        <v>#N/A</v>
      </c>
    </row>
    <row r="984">
      <c r="A984" s="1" t="s">
        <v>131</v>
      </c>
      <c r="B984" s="2" t="str">
        <f t="shared" si="1"/>
        <v>#VALUE!</v>
      </c>
      <c r="C984" s="2" t="str">
        <f>IFERROR(__xludf.DUMMYFUNCTION("SPLIT(B984,"" "")"),"#VALUE!")</f>
        <v>#VALUE!</v>
      </c>
      <c r="E984" s="2" t="str">
        <f t="shared" si="2"/>
        <v>$ cd mzsfcvgv</v>
      </c>
      <c r="F984" s="2" t="str">
        <f>IFERROR(__xludf.DUMMYFUNCTION("SPLIT(E984,"" "")"),"$")</f>
        <v>$</v>
      </c>
      <c r="G984" s="2" t="str">
        <f>IFERROR(__xludf.DUMMYFUNCTION("""COMPUTED_VALUE"""),"cd")</f>
        <v>cd</v>
      </c>
      <c r="H984" s="2" t="str">
        <f>IFERROR(__xludf.DUMMYFUNCTION("""COMPUTED_VALUE"""),"mzsfcvgv")</f>
        <v>mzsfcvgv</v>
      </c>
      <c r="I984" s="2" t="str">
        <f t="shared" si="3"/>
        <v>#VALUE!</v>
      </c>
      <c r="J984" s="2" t="str">
        <f>IFERROR(__xludf.DUMMYFUNCTION("SPLIT(I984,"" "")"),"#VALUE!")</f>
        <v>#VALUE!</v>
      </c>
      <c r="M984" s="2" t="b">
        <f t="shared" si="4"/>
        <v>0</v>
      </c>
      <c r="N984" s="2" t="b">
        <f>IFERROR(__xludf.DUMMYFUNCTION("IF(AND(REGEXMATCH($G$4, ""cd""),M984),N983+J984)"),FALSE)</f>
        <v>0</v>
      </c>
      <c r="O984" s="2" t="str">
        <f t="shared" si="5"/>
        <v>#N/A</v>
      </c>
    </row>
    <row r="985">
      <c r="A985" s="1" t="s">
        <v>2</v>
      </c>
      <c r="B985" s="2" t="str">
        <f t="shared" si="1"/>
        <v>#VALUE!</v>
      </c>
      <c r="C985" s="2" t="str">
        <f>IFERROR(__xludf.DUMMYFUNCTION("SPLIT(B985,"" "")"),"#VALUE!")</f>
        <v>#VALUE!</v>
      </c>
      <c r="E985" s="2" t="str">
        <f t="shared" si="2"/>
        <v>#VALUE!</v>
      </c>
      <c r="F985" s="2" t="str">
        <f>IFERROR(__xludf.DUMMYFUNCTION("SPLIT(E985,"" "")"),"#VALUE!")</f>
        <v>#VALUE!</v>
      </c>
      <c r="I985" s="2" t="str">
        <f t="shared" si="3"/>
        <v>#VALUE!</v>
      </c>
      <c r="J985" s="2" t="str">
        <f>IFERROR(__xludf.DUMMYFUNCTION("SPLIT(I985,"" "")"),"#VALUE!")</f>
        <v>#VALUE!</v>
      </c>
      <c r="M985" s="2" t="b">
        <f t="shared" si="4"/>
        <v>0</v>
      </c>
      <c r="N985" s="2" t="b">
        <f>IFERROR(__xludf.DUMMYFUNCTION("IF(AND(REGEXMATCH($G$4, ""cd""),M985),N984+J985)"),FALSE)</f>
        <v>0</v>
      </c>
      <c r="O985" s="2" t="str">
        <f t="shared" si="5"/>
        <v>#N/A</v>
      </c>
    </row>
    <row r="986">
      <c r="A986" s="1" t="s">
        <v>543</v>
      </c>
      <c r="B986" s="2" t="str">
        <f t="shared" si="1"/>
        <v>dir gnmtggs</v>
      </c>
      <c r="C986" s="2" t="str">
        <f>IFERROR(__xludf.DUMMYFUNCTION("SPLIT(B986,"" "")"),"dir")</f>
        <v>dir</v>
      </c>
      <c r="D986" s="2" t="str">
        <f>IFERROR(__xludf.DUMMYFUNCTION("""COMPUTED_VALUE"""),"gnmtggs")</f>
        <v>gnmtggs</v>
      </c>
      <c r="E986" s="2" t="str">
        <f t="shared" si="2"/>
        <v>#VALUE!</v>
      </c>
      <c r="F986" s="2" t="str">
        <f>IFERROR(__xludf.DUMMYFUNCTION("SPLIT(E986,"" "")"),"#VALUE!")</f>
        <v>#VALUE!</v>
      </c>
      <c r="I986" s="2" t="str">
        <f t="shared" si="3"/>
        <v>#VALUE!</v>
      </c>
      <c r="J986" s="2" t="str">
        <f>IFERROR(__xludf.DUMMYFUNCTION("SPLIT(I986,"" "")"),"#VALUE!")</f>
        <v>#VALUE!</v>
      </c>
      <c r="M986" s="2" t="b">
        <f t="shared" si="4"/>
        <v>0</v>
      </c>
      <c r="N986" s="2" t="b">
        <f>IFERROR(__xludf.DUMMYFUNCTION("IF(AND(REGEXMATCH($G$4, ""cd""),M986),N985+J986)"),FALSE)</f>
        <v>0</v>
      </c>
      <c r="O986" s="2" t="str">
        <f t="shared" si="5"/>
        <v>#N/A</v>
      </c>
    </row>
    <row r="987">
      <c r="A987" s="1" t="s">
        <v>544</v>
      </c>
      <c r="B987" s="2" t="str">
        <f t="shared" si="1"/>
        <v>#VALUE!</v>
      </c>
      <c r="C987" s="2" t="str">
        <f>IFERROR(__xludf.DUMMYFUNCTION("SPLIT(B987,"" "")"),"#VALUE!")</f>
        <v>#VALUE!</v>
      </c>
      <c r="E987" s="2" t="str">
        <f t="shared" si="2"/>
        <v>#VALUE!</v>
      </c>
      <c r="F987" s="2" t="str">
        <f>IFERROR(__xludf.DUMMYFUNCTION("SPLIT(E987,"" "")"),"#VALUE!")</f>
        <v>#VALUE!</v>
      </c>
      <c r="I987" s="2" t="str">
        <f t="shared" si="3"/>
        <v>103244 jnwr.gtn</v>
      </c>
      <c r="J987" s="2">
        <f>IFERROR(__xludf.DUMMYFUNCTION("SPLIT(I987,"" "")"),103244.0)</f>
        <v>103244</v>
      </c>
      <c r="K987" s="2" t="str">
        <f>IFERROR(__xludf.DUMMYFUNCTION("""COMPUTED_VALUE"""),"jnwr.gtn")</f>
        <v>jnwr.gtn</v>
      </c>
      <c r="M987" s="2" t="b">
        <f t="shared" si="4"/>
        <v>1</v>
      </c>
      <c r="N987" s="2">
        <f>IFERROR(__xludf.DUMMYFUNCTION("IF(AND(REGEXMATCH($G$4, ""cd""),M987),N986+J987)"),103244.0)</f>
        <v>103244</v>
      </c>
      <c r="O987" s="2" t="str">
        <f t="shared" si="5"/>
        <v>#N/A</v>
      </c>
    </row>
    <row r="988">
      <c r="A988" s="1" t="s">
        <v>545</v>
      </c>
      <c r="B988" s="2" t="str">
        <f t="shared" si="1"/>
        <v>#VALUE!</v>
      </c>
      <c r="C988" s="2" t="str">
        <f>IFERROR(__xludf.DUMMYFUNCTION("SPLIT(B988,"" "")"),"#VALUE!")</f>
        <v>#VALUE!</v>
      </c>
      <c r="E988" s="2" t="str">
        <f t="shared" si="2"/>
        <v>#VALUE!</v>
      </c>
      <c r="F988" s="2" t="str">
        <f>IFERROR(__xludf.DUMMYFUNCTION("SPLIT(E988,"" "")"),"#VALUE!")</f>
        <v>#VALUE!</v>
      </c>
      <c r="I988" s="2" t="str">
        <f t="shared" si="3"/>
        <v>263736 slfdb.bqt</v>
      </c>
      <c r="J988" s="2">
        <f>IFERROR(__xludf.DUMMYFUNCTION("SPLIT(I988,"" "")"),263736.0)</f>
        <v>263736</v>
      </c>
      <c r="K988" s="2" t="str">
        <f>IFERROR(__xludf.DUMMYFUNCTION("""COMPUTED_VALUE"""),"slfdb.bqt")</f>
        <v>slfdb.bqt</v>
      </c>
      <c r="M988" s="2" t="b">
        <f t="shared" si="4"/>
        <v>1</v>
      </c>
      <c r="N988" s="2">
        <f>IFERROR(__xludf.DUMMYFUNCTION("IF(AND(REGEXMATCH($G$4, ""cd""),M988),N987+J988)"),366980.0)</f>
        <v>366980</v>
      </c>
      <c r="O988" s="2" t="str">
        <f t="shared" si="5"/>
        <v>#N/A</v>
      </c>
    </row>
    <row r="989">
      <c r="A989" s="1" t="s">
        <v>546</v>
      </c>
      <c r="B989" s="2" t="str">
        <f t="shared" si="1"/>
        <v>#VALUE!</v>
      </c>
      <c r="C989" s="2" t="str">
        <f>IFERROR(__xludf.DUMMYFUNCTION("SPLIT(B989,"" "")"),"#VALUE!")</f>
        <v>#VALUE!</v>
      </c>
      <c r="E989" s="2" t="str">
        <f t="shared" si="2"/>
        <v>$ cd gnmtggs</v>
      </c>
      <c r="F989" s="2" t="str">
        <f>IFERROR(__xludf.DUMMYFUNCTION("SPLIT(E989,"" "")"),"$")</f>
        <v>$</v>
      </c>
      <c r="G989" s="2" t="str">
        <f>IFERROR(__xludf.DUMMYFUNCTION("""COMPUTED_VALUE"""),"cd")</f>
        <v>cd</v>
      </c>
      <c r="H989" s="2" t="str">
        <f>IFERROR(__xludf.DUMMYFUNCTION("""COMPUTED_VALUE"""),"gnmtggs")</f>
        <v>gnmtggs</v>
      </c>
      <c r="I989" s="2" t="str">
        <f t="shared" si="3"/>
        <v>#VALUE!</v>
      </c>
      <c r="J989" s="2" t="str">
        <f>IFERROR(__xludf.DUMMYFUNCTION("SPLIT(I989,"" "")"),"#VALUE!")</f>
        <v>#VALUE!</v>
      </c>
      <c r="M989" s="2" t="b">
        <f t="shared" si="4"/>
        <v>0</v>
      </c>
      <c r="N989" s="2" t="b">
        <f>IFERROR(__xludf.DUMMYFUNCTION("IF(AND(REGEXMATCH($G$4, ""cd""),M989),N988+J989)"),FALSE)</f>
        <v>0</v>
      </c>
      <c r="O989" s="2" t="str">
        <f t="shared" si="5"/>
        <v>#N/A</v>
      </c>
    </row>
    <row r="990">
      <c r="A990" s="1" t="s">
        <v>2</v>
      </c>
      <c r="B990" s="2" t="str">
        <f t="shared" si="1"/>
        <v>#VALUE!</v>
      </c>
      <c r="C990" s="2" t="str">
        <f>IFERROR(__xludf.DUMMYFUNCTION("SPLIT(B990,"" "")"),"#VALUE!")</f>
        <v>#VALUE!</v>
      </c>
      <c r="E990" s="2" t="str">
        <f t="shared" si="2"/>
        <v>#VALUE!</v>
      </c>
      <c r="F990" s="2" t="str">
        <f>IFERROR(__xludf.DUMMYFUNCTION("SPLIT(E990,"" "")"),"#VALUE!")</f>
        <v>#VALUE!</v>
      </c>
      <c r="I990" s="2" t="str">
        <f t="shared" si="3"/>
        <v>#VALUE!</v>
      </c>
      <c r="J990" s="2" t="str">
        <f>IFERROR(__xludf.DUMMYFUNCTION("SPLIT(I990,"" "")"),"#VALUE!")</f>
        <v>#VALUE!</v>
      </c>
      <c r="M990" s="2" t="b">
        <f t="shared" si="4"/>
        <v>0</v>
      </c>
      <c r="N990" s="2" t="b">
        <f>IFERROR(__xludf.DUMMYFUNCTION("IF(AND(REGEXMATCH($G$4, ""cd""),M990),N989+J990)"),FALSE)</f>
        <v>0</v>
      </c>
      <c r="O990" s="2" t="str">
        <f t="shared" si="5"/>
        <v>#N/A</v>
      </c>
    </row>
    <row r="991">
      <c r="A991" s="1" t="s">
        <v>547</v>
      </c>
      <c r="B991" s="2" t="str">
        <f t="shared" si="1"/>
        <v>#VALUE!</v>
      </c>
      <c r="C991" s="2" t="str">
        <f>IFERROR(__xludf.DUMMYFUNCTION("SPLIT(B991,"" "")"),"#VALUE!")</f>
        <v>#VALUE!</v>
      </c>
      <c r="E991" s="2" t="str">
        <f t="shared" si="2"/>
        <v>#VALUE!</v>
      </c>
      <c r="F991" s="2" t="str">
        <f>IFERROR(__xludf.DUMMYFUNCTION("SPLIT(E991,"" "")"),"#VALUE!")</f>
        <v>#VALUE!</v>
      </c>
      <c r="I991" s="2" t="str">
        <f t="shared" si="3"/>
        <v>31665 qhthp.lfh</v>
      </c>
      <c r="J991" s="2">
        <f>IFERROR(__xludf.DUMMYFUNCTION("SPLIT(I991,"" "")"),31665.0)</f>
        <v>31665</v>
      </c>
      <c r="K991" s="2" t="str">
        <f>IFERROR(__xludf.DUMMYFUNCTION("""COMPUTED_VALUE"""),"qhthp.lfh")</f>
        <v>qhthp.lfh</v>
      </c>
      <c r="M991" s="2" t="b">
        <f t="shared" si="4"/>
        <v>1</v>
      </c>
      <c r="N991" s="2">
        <f>IFERROR(__xludf.DUMMYFUNCTION("IF(AND(REGEXMATCH($G$4, ""cd""),M991),N990+J991)"),31665.0)</f>
        <v>31665</v>
      </c>
      <c r="O991" s="2" t="str">
        <f t="shared" si="5"/>
        <v>#N/A</v>
      </c>
    </row>
    <row r="992">
      <c r="A992" s="1" t="s">
        <v>17</v>
      </c>
      <c r="B992" s="2" t="str">
        <f t="shared" si="1"/>
        <v>#VALUE!</v>
      </c>
      <c r="C992" s="2" t="str">
        <f>IFERROR(__xludf.DUMMYFUNCTION("SPLIT(B992,"" "")"),"#VALUE!")</f>
        <v>#VALUE!</v>
      </c>
      <c r="E992" s="2" t="str">
        <f t="shared" si="2"/>
        <v>$ cd ..</v>
      </c>
      <c r="F992" s="2" t="str">
        <f>IFERROR(__xludf.DUMMYFUNCTION("SPLIT(E992,"" "")"),"$")</f>
        <v>$</v>
      </c>
      <c r="G992" s="2" t="str">
        <f>IFERROR(__xludf.DUMMYFUNCTION("""COMPUTED_VALUE"""),"cd")</f>
        <v>cd</v>
      </c>
      <c r="H992" s="2" t="str">
        <f>IFERROR(__xludf.DUMMYFUNCTION("""COMPUTED_VALUE"""),"..")</f>
        <v>..</v>
      </c>
      <c r="I992" s="2" t="str">
        <f t="shared" si="3"/>
        <v>$ cd ..</v>
      </c>
      <c r="J992" s="2" t="str">
        <f>IFERROR(__xludf.DUMMYFUNCTION("SPLIT(I992,"" "")"),"$")</f>
        <v>$</v>
      </c>
      <c r="K992" s="2" t="str">
        <f>IFERROR(__xludf.DUMMYFUNCTION("""COMPUTED_VALUE"""),"cd")</f>
        <v>cd</v>
      </c>
      <c r="L992" s="2" t="str">
        <f>IFERROR(__xludf.DUMMYFUNCTION("""COMPUTED_VALUE"""),"..")</f>
        <v>..</v>
      </c>
      <c r="M992" s="2" t="b">
        <f t="shared" si="4"/>
        <v>0</v>
      </c>
      <c r="N992" s="2" t="b">
        <f>IFERROR(__xludf.DUMMYFUNCTION("IF(AND(REGEXMATCH($G$4, ""cd""),M992),N991+J992)"),FALSE)</f>
        <v>0</v>
      </c>
      <c r="O992" s="2" t="str">
        <f t="shared" si="5"/>
        <v>#N/A</v>
      </c>
    </row>
    <row r="993">
      <c r="A993" s="1" t="s">
        <v>17</v>
      </c>
      <c r="B993" s="2" t="str">
        <f t="shared" si="1"/>
        <v>#VALUE!</v>
      </c>
      <c r="C993" s="2" t="str">
        <f>IFERROR(__xludf.DUMMYFUNCTION("SPLIT(B993,"" "")"),"#VALUE!")</f>
        <v>#VALUE!</v>
      </c>
      <c r="E993" s="2" t="str">
        <f t="shared" si="2"/>
        <v>$ cd ..</v>
      </c>
      <c r="F993" s="2" t="str">
        <f>IFERROR(__xludf.DUMMYFUNCTION("SPLIT(E993,"" "")"),"$")</f>
        <v>$</v>
      </c>
      <c r="G993" s="2" t="str">
        <f>IFERROR(__xludf.DUMMYFUNCTION("""COMPUTED_VALUE"""),"cd")</f>
        <v>cd</v>
      </c>
      <c r="H993" s="2" t="str">
        <f>IFERROR(__xludf.DUMMYFUNCTION("""COMPUTED_VALUE"""),"..")</f>
        <v>..</v>
      </c>
      <c r="I993" s="2" t="str">
        <f t="shared" si="3"/>
        <v>$ cd ..</v>
      </c>
      <c r="J993" s="2" t="str">
        <f>IFERROR(__xludf.DUMMYFUNCTION("SPLIT(I993,"" "")"),"$")</f>
        <v>$</v>
      </c>
      <c r="K993" s="2" t="str">
        <f>IFERROR(__xludf.DUMMYFUNCTION("""COMPUTED_VALUE"""),"cd")</f>
        <v>cd</v>
      </c>
      <c r="L993" s="2" t="str">
        <f>IFERROR(__xludf.DUMMYFUNCTION("""COMPUTED_VALUE"""),"..")</f>
        <v>..</v>
      </c>
      <c r="M993" s="2" t="b">
        <f t="shared" si="4"/>
        <v>0</v>
      </c>
      <c r="N993" s="2" t="b">
        <f>IFERROR(__xludf.DUMMYFUNCTION("IF(AND(REGEXMATCH($G$4, ""cd""),M993),N992+J993)"),FALSE)</f>
        <v>0</v>
      </c>
      <c r="O993" s="2" t="str">
        <f t="shared" si="5"/>
        <v>#N/A</v>
      </c>
    </row>
    <row r="994">
      <c r="A994" s="1" t="s">
        <v>548</v>
      </c>
      <c r="B994" s="2" t="str">
        <f t="shared" si="1"/>
        <v>#VALUE!</v>
      </c>
      <c r="C994" s="2" t="str">
        <f>IFERROR(__xludf.DUMMYFUNCTION("SPLIT(B994,"" "")"),"#VALUE!")</f>
        <v>#VALUE!</v>
      </c>
      <c r="E994" s="2" t="str">
        <f t="shared" si="2"/>
        <v>$ cd zdcthssc</v>
      </c>
      <c r="F994" s="2" t="str">
        <f>IFERROR(__xludf.DUMMYFUNCTION("SPLIT(E994,"" "")"),"$")</f>
        <v>$</v>
      </c>
      <c r="G994" s="2" t="str">
        <f>IFERROR(__xludf.DUMMYFUNCTION("""COMPUTED_VALUE"""),"cd")</f>
        <v>cd</v>
      </c>
      <c r="H994" s="2" t="str">
        <f>IFERROR(__xludf.DUMMYFUNCTION("""COMPUTED_VALUE"""),"zdcthssc")</f>
        <v>zdcthssc</v>
      </c>
      <c r="I994" s="2" t="str">
        <f t="shared" si="3"/>
        <v>#VALUE!</v>
      </c>
      <c r="J994" s="2" t="str">
        <f>IFERROR(__xludf.DUMMYFUNCTION("SPLIT(I994,"" "")"),"#VALUE!")</f>
        <v>#VALUE!</v>
      </c>
      <c r="M994" s="2" t="b">
        <f t="shared" si="4"/>
        <v>0</v>
      </c>
      <c r="N994" s="2" t="b">
        <f>IFERROR(__xludf.DUMMYFUNCTION("IF(AND(REGEXMATCH($G$4, ""cd""),M994),N993+J994)"),FALSE)</f>
        <v>0</v>
      </c>
      <c r="O994" s="2" t="str">
        <f t="shared" si="5"/>
        <v>#N/A</v>
      </c>
    </row>
    <row r="995">
      <c r="A995" s="1" t="s">
        <v>2</v>
      </c>
      <c r="B995" s="2" t="str">
        <f t="shared" si="1"/>
        <v>#VALUE!</v>
      </c>
      <c r="C995" s="2" t="str">
        <f>IFERROR(__xludf.DUMMYFUNCTION("SPLIT(B995,"" "")"),"#VALUE!")</f>
        <v>#VALUE!</v>
      </c>
      <c r="E995" s="2" t="str">
        <f t="shared" si="2"/>
        <v>#VALUE!</v>
      </c>
      <c r="F995" s="2" t="str">
        <f>IFERROR(__xludf.DUMMYFUNCTION("SPLIT(E995,"" "")"),"#VALUE!")</f>
        <v>#VALUE!</v>
      </c>
      <c r="I995" s="2" t="str">
        <f t="shared" si="3"/>
        <v>#VALUE!</v>
      </c>
      <c r="J995" s="2" t="str">
        <f>IFERROR(__xludf.DUMMYFUNCTION("SPLIT(I995,"" "")"),"#VALUE!")</f>
        <v>#VALUE!</v>
      </c>
      <c r="M995" s="2" t="b">
        <f t="shared" si="4"/>
        <v>0</v>
      </c>
      <c r="N995" s="2" t="b">
        <f>IFERROR(__xludf.DUMMYFUNCTION("IF(AND(REGEXMATCH($G$4, ""cd""),M995),N994+J995)"),FALSE)</f>
        <v>0</v>
      </c>
      <c r="O995" s="2" t="str">
        <f t="shared" si="5"/>
        <v>#N/A</v>
      </c>
    </row>
    <row r="996">
      <c r="A996" s="1" t="s">
        <v>549</v>
      </c>
      <c r="B996" s="2" t="str">
        <f t="shared" si="1"/>
        <v>#VALUE!</v>
      </c>
      <c r="C996" s="2" t="str">
        <f>IFERROR(__xludf.DUMMYFUNCTION("SPLIT(B996,"" "")"),"#VALUE!")</f>
        <v>#VALUE!</v>
      </c>
      <c r="E996" s="2" t="str">
        <f t="shared" si="2"/>
        <v>#VALUE!</v>
      </c>
      <c r="F996" s="2" t="str">
        <f>IFERROR(__xludf.DUMMYFUNCTION("SPLIT(E996,"" "")"),"#VALUE!")</f>
        <v>#VALUE!</v>
      </c>
      <c r="I996" s="2" t="str">
        <f t="shared" si="3"/>
        <v>64408 cgbnzc.cgn</v>
      </c>
      <c r="J996" s="2">
        <f>IFERROR(__xludf.DUMMYFUNCTION("SPLIT(I996,"" "")"),64408.0)</f>
        <v>64408</v>
      </c>
      <c r="K996" s="2" t="str">
        <f>IFERROR(__xludf.DUMMYFUNCTION("""COMPUTED_VALUE"""),"cgbnzc.cgn")</f>
        <v>cgbnzc.cgn</v>
      </c>
      <c r="M996" s="2" t="b">
        <f t="shared" si="4"/>
        <v>1</v>
      </c>
      <c r="N996" s="2">
        <f>IFERROR(__xludf.DUMMYFUNCTION("IF(AND(REGEXMATCH($G$4, ""cd""),M996),N995+J996)"),64408.0)</f>
        <v>64408</v>
      </c>
      <c r="O996" s="2" t="str">
        <f t="shared" si="5"/>
        <v>#N/A</v>
      </c>
    </row>
    <row r="997">
      <c r="A997" s="1" t="s">
        <v>17</v>
      </c>
      <c r="B997" s="2" t="str">
        <f t="shared" si="1"/>
        <v>#VALUE!</v>
      </c>
      <c r="C997" s="2" t="str">
        <f>IFERROR(__xludf.DUMMYFUNCTION("SPLIT(B997,"" "")"),"#VALUE!")</f>
        <v>#VALUE!</v>
      </c>
      <c r="E997" s="2" t="str">
        <f t="shared" si="2"/>
        <v>$ cd ..</v>
      </c>
      <c r="F997" s="2" t="str">
        <f>IFERROR(__xludf.DUMMYFUNCTION("SPLIT(E997,"" "")"),"$")</f>
        <v>$</v>
      </c>
      <c r="G997" s="2" t="str">
        <f>IFERROR(__xludf.DUMMYFUNCTION("""COMPUTED_VALUE"""),"cd")</f>
        <v>cd</v>
      </c>
      <c r="H997" s="2" t="str">
        <f>IFERROR(__xludf.DUMMYFUNCTION("""COMPUTED_VALUE"""),"..")</f>
        <v>..</v>
      </c>
      <c r="I997" s="2" t="str">
        <f t="shared" si="3"/>
        <v>$ cd ..</v>
      </c>
      <c r="J997" s="2" t="str">
        <f>IFERROR(__xludf.DUMMYFUNCTION("SPLIT(I997,"" "")"),"$")</f>
        <v>$</v>
      </c>
      <c r="K997" s="2" t="str">
        <f>IFERROR(__xludf.DUMMYFUNCTION("""COMPUTED_VALUE"""),"cd")</f>
        <v>cd</v>
      </c>
      <c r="L997" s="2" t="str">
        <f>IFERROR(__xludf.DUMMYFUNCTION("""COMPUTED_VALUE"""),"..")</f>
        <v>..</v>
      </c>
      <c r="M997" s="2" t="b">
        <f t="shared" si="4"/>
        <v>0</v>
      </c>
      <c r="N997" s="2" t="b">
        <f>IFERROR(__xludf.DUMMYFUNCTION("IF(AND(REGEXMATCH($G$4, ""cd""),M997),N996+J997)"),FALSE)</f>
        <v>0</v>
      </c>
      <c r="O997" s="2" t="str">
        <f t="shared" si="5"/>
        <v>#N/A</v>
      </c>
    </row>
    <row r="998">
      <c r="A998" s="1" t="s">
        <v>17</v>
      </c>
      <c r="B998" s="2" t="str">
        <f t="shared" si="1"/>
        <v>#VALUE!</v>
      </c>
      <c r="C998" s="2" t="str">
        <f>IFERROR(__xludf.DUMMYFUNCTION("SPLIT(B998,"" "")"),"#VALUE!")</f>
        <v>#VALUE!</v>
      </c>
      <c r="E998" s="2" t="str">
        <f t="shared" si="2"/>
        <v>$ cd ..</v>
      </c>
      <c r="F998" s="2" t="str">
        <f>IFERROR(__xludf.DUMMYFUNCTION("SPLIT(E998,"" "")"),"$")</f>
        <v>$</v>
      </c>
      <c r="G998" s="2" t="str">
        <f>IFERROR(__xludf.DUMMYFUNCTION("""COMPUTED_VALUE"""),"cd")</f>
        <v>cd</v>
      </c>
      <c r="H998" s="2" t="str">
        <f>IFERROR(__xludf.DUMMYFUNCTION("""COMPUTED_VALUE"""),"..")</f>
        <v>..</v>
      </c>
      <c r="I998" s="2" t="str">
        <f t="shared" si="3"/>
        <v>$ cd ..</v>
      </c>
      <c r="J998" s="2" t="str">
        <f>IFERROR(__xludf.DUMMYFUNCTION("SPLIT(I998,"" "")"),"$")</f>
        <v>$</v>
      </c>
      <c r="K998" s="2" t="str">
        <f>IFERROR(__xludf.DUMMYFUNCTION("""COMPUTED_VALUE"""),"cd")</f>
        <v>cd</v>
      </c>
      <c r="L998" s="2" t="str">
        <f>IFERROR(__xludf.DUMMYFUNCTION("""COMPUTED_VALUE"""),"..")</f>
        <v>..</v>
      </c>
      <c r="M998" s="2" t="b">
        <f t="shared" si="4"/>
        <v>0</v>
      </c>
      <c r="N998" s="2" t="b">
        <f>IFERROR(__xludf.DUMMYFUNCTION("IF(AND(REGEXMATCH($G$4, ""cd""),M998),N997+J998)"),FALSE)</f>
        <v>0</v>
      </c>
      <c r="O998" s="2" t="str">
        <f t="shared" si="5"/>
        <v>#N/A</v>
      </c>
    </row>
    <row r="999">
      <c r="A999" s="1" t="s">
        <v>550</v>
      </c>
      <c r="B999" s="2" t="str">
        <f t="shared" si="1"/>
        <v>#VALUE!</v>
      </c>
      <c r="C999" s="2" t="str">
        <f>IFERROR(__xludf.DUMMYFUNCTION("SPLIT(B999,"" "")"),"#VALUE!")</f>
        <v>#VALUE!</v>
      </c>
      <c r="E999" s="2" t="str">
        <f t="shared" si="2"/>
        <v>$ cd zvjv</v>
      </c>
      <c r="F999" s="2" t="str">
        <f>IFERROR(__xludf.DUMMYFUNCTION("SPLIT(E999,"" "")"),"$")</f>
        <v>$</v>
      </c>
      <c r="G999" s="2" t="str">
        <f>IFERROR(__xludf.DUMMYFUNCTION("""COMPUTED_VALUE"""),"cd")</f>
        <v>cd</v>
      </c>
      <c r="H999" s="2" t="str">
        <f>IFERROR(__xludf.DUMMYFUNCTION("""COMPUTED_VALUE"""),"zvjv")</f>
        <v>zvjv</v>
      </c>
      <c r="I999" s="2" t="str">
        <f t="shared" si="3"/>
        <v>#VALUE!</v>
      </c>
      <c r="J999" s="2" t="str">
        <f>IFERROR(__xludf.DUMMYFUNCTION("SPLIT(I999,"" "")"),"#VALUE!")</f>
        <v>#VALUE!</v>
      </c>
      <c r="M999" s="2" t="b">
        <f t="shared" si="4"/>
        <v>0</v>
      </c>
      <c r="N999" s="2" t="b">
        <f>IFERROR(__xludf.DUMMYFUNCTION("IF(AND(REGEXMATCH($G$4, ""cd""),M999),N998+J999)"),FALSE)</f>
        <v>0</v>
      </c>
      <c r="O999" s="2" t="str">
        <f t="shared" si="5"/>
        <v>#N/A</v>
      </c>
    </row>
    <row r="1000">
      <c r="A1000" s="1" t="s">
        <v>2</v>
      </c>
      <c r="B1000" s="2" t="str">
        <f t="shared" si="1"/>
        <v>#VALUE!</v>
      </c>
      <c r="C1000" s="2" t="str">
        <f>IFERROR(__xludf.DUMMYFUNCTION("SPLIT(B1000,"" "")"),"#VALUE!")</f>
        <v>#VALUE!</v>
      </c>
      <c r="E1000" s="2" t="str">
        <f t="shared" si="2"/>
        <v>#VALUE!</v>
      </c>
      <c r="F1000" s="2" t="str">
        <f>IFERROR(__xludf.DUMMYFUNCTION("SPLIT(E1000,"" "")"),"#VALUE!")</f>
        <v>#VALUE!</v>
      </c>
      <c r="I1000" s="2" t="str">
        <f t="shared" si="3"/>
        <v>#VALUE!</v>
      </c>
      <c r="J1000" s="2" t="str">
        <f>IFERROR(__xludf.DUMMYFUNCTION("SPLIT(I1000,"" "")"),"#VALUE!")</f>
        <v>#VALUE!</v>
      </c>
      <c r="M1000" s="2" t="b">
        <f t="shared" si="4"/>
        <v>0</v>
      </c>
      <c r="N1000" s="2" t="b">
        <f>IFERROR(__xludf.DUMMYFUNCTION("IF(AND(REGEXMATCH($G$4, ""cd""),M1000),N999+J1000)"),FALSE)</f>
        <v>0</v>
      </c>
      <c r="O1000" s="2" t="str">
        <f t="shared" si="5"/>
        <v>#N/A</v>
      </c>
    </row>
    <row r="1001">
      <c r="A1001" s="1" t="s">
        <v>551</v>
      </c>
      <c r="B1001" s="2" t="str">
        <f t="shared" si="1"/>
        <v>#VALUE!</v>
      </c>
      <c r="C1001" s="2" t="str">
        <f>IFERROR(__xludf.DUMMYFUNCTION("SPLIT(B1001,"" "")"),"#VALUE!")</f>
        <v>#VALUE!</v>
      </c>
      <c r="E1001" s="2" t="str">
        <f t="shared" si="2"/>
        <v>#VALUE!</v>
      </c>
      <c r="F1001" s="2" t="str">
        <f>IFERROR(__xludf.DUMMYFUNCTION("SPLIT(E1001,"" "")"),"#VALUE!")</f>
        <v>#VALUE!</v>
      </c>
      <c r="I1001" s="2" t="str">
        <f t="shared" si="3"/>
        <v>6088 gnpsb.dml</v>
      </c>
      <c r="J1001" s="2">
        <f>IFERROR(__xludf.DUMMYFUNCTION("SPLIT(I1001,"" "")"),6088.0)</f>
        <v>6088</v>
      </c>
      <c r="K1001" s="2" t="str">
        <f>IFERROR(__xludf.DUMMYFUNCTION("""COMPUTED_VALUE"""),"gnpsb.dml")</f>
        <v>gnpsb.dml</v>
      </c>
      <c r="M1001" s="2" t="b">
        <f t="shared" si="4"/>
        <v>1</v>
      </c>
      <c r="N1001" s="2">
        <f>IFERROR(__xludf.DUMMYFUNCTION("IF(AND(REGEXMATCH($G$4, ""cd""),M1001),N1000+J1001)"),6088.0)</f>
        <v>6088</v>
      </c>
      <c r="O1001" s="2" t="str">
        <f t="shared" si="5"/>
        <v>#N/A</v>
      </c>
    </row>
    <row r="1002">
      <c r="A1002" s="1" t="s">
        <v>552</v>
      </c>
      <c r="B1002" s="2" t="str">
        <f t="shared" si="1"/>
        <v>#VALUE!</v>
      </c>
      <c r="C1002" s="2" t="str">
        <f>IFERROR(__xludf.DUMMYFUNCTION("SPLIT(B1002,"" "")"),"#VALUE!")</f>
        <v>#VALUE!</v>
      </c>
      <c r="E1002" s="2" t="str">
        <f t="shared" si="2"/>
        <v>#VALUE!</v>
      </c>
      <c r="F1002" s="2" t="str">
        <f>IFERROR(__xludf.DUMMYFUNCTION("SPLIT(E1002,"" "")"),"#VALUE!")</f>
        <v>#VALUE!</v>
      </c>
      <c r="I1002" s="2" t="str">
        <f t="shared" si="3"/>
        <v>145405 llp.cbm</v>
      </c>
      <c r="J1002" s="2">
        <f>IFERROR(__xludf.DUMMYFUNCTION("SPLIT(I1002,"" "")"),145405.0)</f>
        <v>145405</v>
      </c>
      <c r="K1002" s="2" t="str">
        <f>IFERROR(__xludf.DUMMYFUNCTION("""COMPUTED_VALUE"""),"llp.cbm")</f>
        <v>llp.cbm</v>
      </c>
      <c r="M1002" s="2" t="b">
        <f t="shared" si="4"/>
        <v>1</v>
      </c>
      <c r="N1002" s="2">
        <f>IFERROR(__xludf.DUMMYFUNCTION("IF(AND(REGEXMATCH($G$4, ""cd""),M1002),N1001+J1002)"),151493.0)</f>
        <v>151493</v>
      </c>
      <c r="O1002" s="2" t="str">
        <f t="shared" si="5"/>
        <v>#N/A</v>
      </c>
    </row>
    <row r="1003">
      <c r="A1003" s="1" t="s">
        <v>553</v>
      </c>
      <c r="B1003" s="2" t="str">
        <f t="shared" si="1"/>
        <v>dir mgcg</v>
      </c>
      <c r="C1003" s="2" t="str">
        <f>IFERROR(__xludf.DUMMYFUNCTION("SPLIT(B1003,"" "")"),"dir")</f>
        <v>dir</v>
      </c>
      <c r="D1003" s="2" t="str">
        <f>IFERROR(__xludf.DUMMYFUNCTION("""COMPUTED_VALUE"""),"mgcg")</f>
        <v>mgcg</v>
      </c>
      <c r="E1003" s="2" t="str">
        <f t="shared" si="2"/>
        <v>#VALUE!</v>
      </c>
      <c r="F1003" s="2" t="str">
        <f>IFERROR(__xludf.DUMMYFUNCTION("SPLIT(E1003,"" "")"),"#VALUE!")</f>
        <v>#VALUE!</v>
      </c>
      <c r="I1003" s="2" t="str">
        <f t="shared" si="3"/>
        <v>#VALUE!</v>
      </c>
      <c r="J1003" s="2" t="str">
        <f>IFERROR(__xludf.DUMMYFUNCTION("SPLIT(I1003,"" "")"),"#VALUE!")</f>
        <v>#VALUE!</v>
      </c>
      <c r="M1003" s="2" t="b">
        <f t="shared" si="4"/>
        <v>0</v>
      </c>
      <c r="N1003" s="2" t="b">
        <f>IFERROR(__xludf.DUMMYFUNCTION("IF(AND(REGEXMATCH($G$4, ""cd""),M1003),N1002+J1003)"),FALSE)</f>
        <v>0</v>
      </c>
      <c r="O1003" s="2" t="str">
        <f t="shared" si="5"/>
        <v>#N/A</v>
      </c>
    </row>
    <row r="1004">
      <c r="A1004" s="1" t="s">
        <v>554</v>
      </c>
      <c r="B1004" s="2" t="str">
        <f t="shared" si="1"/>
        <v>dir nwl</v>
      </c>
      <c r="C1004" s="2" t="str">
        <f>IFERROR(__xludf.DUMMYFUNCTION("SPLIT(B1004,"" "")"),"dir")</f>
        <v>dir</v>
      </c>
      <c r="D1004" s="2" t="str">
        <f>IFERROR(__xludf.DUMMYFUNCTION("""COMPUTED_VALUE"""),"nwl")</f>
        <v>nwl</v>
      </c>
      <c r="E1004" s="2" t="str">
        <f t="shared" si="2"/>
        <v>#VALUE!</v>
      </c>
      <c r="F1004" s="2" t="str">
        <f>IFERROR(__xludf.DUMMYFUNCTION("SPLIT(E1004,"" "")"),"#VALUE!")</f>
        <v>#VALUE!</v>
      </c>
      <c r="I1004" s="2" t="str">
        <f t="shared" si="3"/>
        <v>#VALUE!</v>
      </c>
      <c r="J1004" s="2" t="str">
        <f>IFERROR(__xludf.DUMMYFUNCTION("SPLIT(I1004,"" "")"),"#VALUE!")</f>
        <v>#VALUE!</v>
      </c>
      <c r="M1004" s="2" t="b">
        <f t="shared" si="4"/>
        <v>0</v>
      </c>
      <c r="N1004" s="2" t="b">
        <f>IFERROR(__xludf.DUMMYFUNCTION("IF(AND(REGEXMATCH($G$4, ""cd""),M1004),N1003+J1004)"),FALSE)</f>
        <v>0</v>
      </c>
      <c r="O1004" s="2" t="str">
        <f t="shared" si="5"/>
        <v>#N/A</v>
      </c>
    </row>
    <row r="1005">
      <c r="A1005" s="1" t="s">
        <v>555</v>
      </c>
      <c r="B1005" s="2" t="str">
        <f t="shared" si="1"/>
        <v>dir rqznjmt</v>
      </c>
      <c r="C1005" s="2" t="str">
        <f>IFERROR(__xludf.DUMMYFUNCTION("SPLIT(B1005,"" "")"),"dir")</f>
        <v>dir</v>
      </c>
      <c r="D1005" s="2" t="str">
        <f>IFERROR(__xludf.DUMMYFUNCTION("""COMPUTED_VALUE"""),"rqznjmt")</f>
        <v>rqznjmt</v>
      </c>
      <c r="E1005" s="2" t="str">
        <f t="shared" si="2"/>
        <v>#VALUE!</v>
      </c>
      <c r="F1005" s="2" t="str">
        <f>IFERROR(__xludf.DUMMYFUNCTION("SPLIT(E1005,"" "")"),"#VALUE!")</f>
        <v>#VALUE!</v>
      </c>
      <c r="I1005" s="2" t="str">
        <f t="shared" si="3"/>
        <v>#VALUE!</v>
      </c>
      <c r="J1005" s="2" t="str">
        <f>IFERROR(__xludf.DUMMYFUNCTION("SPLIT(I1005,"" "")"),"#VALUE!")</f>
        <v>#VALUE!</v>
      </c>
      <c r="M1005" s="2" t="b">
        <f t="shared" si="4"/>
        <v>0</v>
      </c>
      <c r="N1005" s="2" t="b">
        <f>IFERROR(__xludf.DUMMYFUNCTION("IF(AND(REGEXMATCH($G$4, ""cd""),M1005),N1004+J1005)"),FALSE)</f>
        <v>0</v>
      </c>
      <c r="O1005" s="2" t="str">
        <f t="shared" si="5"/>
        <v>#N/A</v>
      </c>
    </row>
    <row r="1006">
      <c r="A1006" s="1" t="s">
        <v>556</v>
      </c>
      <c r="B1006" s="2" t="str">
        <f t="shared" si="1"/>
        <v>#VALUE!</v>
      </c>
      <c r="C1006" s="2" t="str">
        <f>IFERROR(__xludf.DUMMYFUNCTION("SPLIT(B1006,"" "")"),"#VALUE!")</f>
        <v>#VALUE!</v>
      </c>
      <c r="E1006" s="2" t="str">
        <f t="shared" si="2"/>
        <v>#VALUE!</v>
      </c>
      <c r="F1006" s="2" t="str">
        <f>IFERROR(__xludf.DUMMYFUNCTION("SPLIT(E1006,"" "")"),"#VALUE!")</f>
        <v>#VALUE!</v>
      </c>
      <c r="I1006" s="2" t="str">
        <f t="shared" si="3"/>
        <v>128194 zbdp.gqb</v>
      </c>
      <c r="J1006" s="2">
        <f>IFERROR(__xludf.DUMMYFUNCTION("SPLIT(I1006,"" "")"),128194.0)</f>
        <v>128194</v>
      </c>
      <c r="K1006" s="2" t="str">
        <f>IFERROR(__xludf.DUMMYFUNCTION("""COMPUTED_VALUE"""),"zbdp.gqb")</f>
        <v>zbdp.gqb</v>
      </c>
      <c r="M1006" s="2" t="b">
        <f t="shared" si="4"/>
        <v>1</v>
      </c>
      <c r="N1006" s="2">
        <f>IFERROR(__xludf.DUMMYFUNCTION("IF(AND(REGEXMATCH($G$4, ""cd""),M1006),N1005+J1006)"),128194.0)</f>
        <v>128194</v>
      </c>
      <c r="O1006" s="2" t="str">
        <f t="shared" si="5"/>
        <v>#N/A</v>
      </c>
    </row>
    <row r="1007">
      <c r="A1007" s="1" t="s">
        <v>557</v>
      </c>
      <c r="B1007" s="2" t="str">
        <f t="shared" si="1"/>
        <v>#VALUE!</v>
      </c>
      <c r="C1007" s="2" t="str">
        <f>IFERROR(__xludf.DUMMYFUNCTION("SPLIT(B1007,"" "")"),"#VALUE!")</f>
        <v>#VALUE!</v>
      </c>
      <c r="E1007" s="2" t="str">
        <f t="shared" si="2"/>
        <v>$ cd mgcg</v>
      </c>
      <c r="F1007" s="2" t="str">
        <f>IFERROR(__xludf.DUMMYFUNCTION("SPLIT(E1007,"" "")"),"$")</f>
        <v>$</v>
      </c>
      <c r="G1007" s="2" t="str">
        <f>IFERROR(__xludf.DUMMYFUNCTION("""COMPUTED_VALUE"""),"cd")</f>
        <v>cd</v>
      </c>
      <c r="H1007" s="2" t="str">
        <f>IFERROR(__xludf.DUMMYFUNCTION("""COMPUTED_VALUE"""),"mgcg")</f>
        <v>mgcg</v>
      </c>
      <c r="I1007" s="2" t="str">
        <f t="shared" si="3"/>
        <v>#VALUE!</v>
      </c>
      <c r="J1007" s="2" t="str">
        <f>IFERROR(__xludf.DUMMYFUNCTION("SPLIT(I1007,"" "")"),"#VALUE!")</f>
        <v>#VALUE!</v>
      </c>
      <c r="M1007" s="2" t="b">
        <f t="shared" si="4"/>
        <v>0</v>
      </c>
      <c r="N1007" s="2" t="b">
        <f>IFERROR(__xludf.DUMMYFUNCTION("IF(AND(REGEXMATCH($G$4, ""cd""),M1007),N1006+J1007)"),FALSE)</f>
        <v>0</v>
      </c>
      <c r="O1007" s="2" t="str">
        <f t="shared" si="5"/>
        <v>#N/A</v>
      </c>
    </row>
    <row r="1008">
      <c r="A1008" s="1" t="s">
        <v>2</v>
      </c>
      <c r="B1008" s="2" t="str">
        <f t="shared" si="1"/>
        <v>#VALUE!</v>
      </c>
      <c r="C1008" s="2" t="str">
        <f>IFERROR(__xludf.DUMMYFUNCTION("SPLIT(B1008,"" "")"),"#VALUE!")</f>
        <v>#VALUE!</v>
      </c>
      <c r="E1008" s="2" t="str">
        <f t="shared" si="2"/>
        <v>#VALUE!</v>
      </c>
      <c r="F1008" s="2" t="str">
        <f>IFERROR(__xludf.DUMMYFUNCTION("SPLIT(E1008,"" "")"),"#VALUE!")</f>
        <v>#VALUE!</v>
      </c>
      <c r="I1008" s="2" t="str">
        <f t="shared" si="3"/>
        <v>#VALUE!</v>
      </c>
      <c r="J1008" s="2" t="str">
        <f>IFERROR(__xludf.DUMMYFUNCTION("SPLIT(I1008,"" "")"),"#VALUE!")</f>
        <v>#VALUE!</v>
      </c>
      <c r="M1008" s="2" t="b">
        <f t="shared" si="4"/>
        <v>0</v>
      </c>
      <c r="N1008" s="2" t="b">
        <f>IFERROR(__xludf.DUMMYFUNCTION("IF(AND(REGEXMATCH($G$4, ""cd""),M1008),N1007+J1008)"),FALSE)</f>
        <v>0</v>
      </c>
      <c r="O1008" s="2" t="str">
        <f t="shared" si="5"/>
        <v>#N/A</v>
      </c>
    </row>
    <row r="1009">
      <c r="A1009" s="1" t="s">
        <v>558</v>
      </c>
      <c r="B1009" s="2" t="str">
        <f t="shared" si="1"/>
        <v>dir ngwvm</v>
      </c>
      <c r="C1009" s="2" t="str">
        <f>IFERROR(__xludf.DUMMYFUNCTION("SPLIT(B1009,"" "")"),"dir")</f>
        <v>dir</v>
      </c>
      <c r="D1009" s="2" t="str">
        <f>IFERROR(__xludf.DUMMYFUNCTION("""COMPUTED_VALUE"""),"ngwvm")</f>
        <v>ngwvm</v>
      </c>
      <c r="E1009" s="2" t="str">
        <f t="shared" si="2"/>
        <v>#VALUE!</v>
      </c>
      <c r="F1009" s="2" t="str">
        <f>IFERROR(__xludf.DUMMYFUNCTION("SPLIT(E1009,"" "")"),"#VALUE!")</f>
        <v>#VALUE!</v>
      </c>
      <c r="I1009" s="2" t="str">
        <f t="shared" si="3"/>
        <v>#VALUE!</v>
      </c>
      <c r="J1009" s="2" t="str">
        <f>IFERROR(__xludf.DUMMYFUNCTION("SPLIT(I1009,"" "")"),"#VALUE!")</f>
        <v>#VALUE!</v>
      </c>
      <c r="M1009" s="2" t="b">
        <f t="shared" si="4"/>
        <v>0</v>
      </c>
      <c r="N1009" s="2" t="b">
        <f>IFERROR(__xludf.DUMMYFUNCTION("IF(AND(REGEXMATCH($G$4, ""cd""),M1009),N1008+J1009)"),FALSE)</f>
        <v>0</v>
      </c>
      <c r="O1009" s="2" t="str">
        <f t="shared" si="5"/>
        <v>#N/A</v>
      </c>
    </row>
    <row r="1010">
      <c r="A1010" s="1" t="s">
        <v>39</v>
      </c>
      <c r="B1010" s="2" t="str">
        <f t="shared" si="1"/>
        <v>dir slzdbm</v>
      </c>
      <c r="C1010" s="2" t="str">
        <f>IFERROR(__xludf.DUMMYFUNCTION("SPLIT(B1010,"" "")"),"dir")</f>
        <v>dir</v>
      </c>
      <c r="D1010" s="2" t="str">
        <f>IFERROR(__xludf.DUMMYFUNCTION("""COMPUTED_VALUE"""),"slzdbm")</f>
        <v>slzdbm</v>
      </c>
      <c r="E1010" s="2" t="str">
        <f t="shared" si="2"/>
        <v>#VALUE!</v>
      </c>
      <c r="F1010" s="2" t="str">
        <f>IFERROR(__xludf.DUMMYFUNCTION("SPLIT(E1010,"" "")"),"#VALUE!")</f>
        <v>#VALUE!</v>
      </c>
      <c r="I1010" s="2" t="str">
        <f t="shared" si="3"/>
        <v>#VALUE!</v>
      </c>
      <c r="J1010" s="2" t="str">
        <f>IFERROR(__xludf.DUMMYFUNCTION("SPLIT(I1010,"" "")"),"#VALUE!")</f>
        <v>#VALUE!</v>
      </c>
      <c r="M1010" s="2" t="b">
        <f t="shared" si="4"/>
        <v>0</v>
      </c>
      <c r="N1010" s="2" t="b">
        <f>IFERROR(__xludf.DUMMYFUNCTION("IF(AND(REGEXMATCH($G$4, ""cd""),M1010),N1009+J1010)"),FALSE)</f>
        <v>0</v>
      </c>
      <c r="O1010" s="2" t="str">
        <f t="shared" si="5"/>
        <v>#N/A</v>
      </c>
    </row>
    <row r="1011">
      <c r="A1011" s="1" t="s">
        <v>559</v>
      </c>
      <c r="B1011" s="2" t="str">
        <f t="shared" si="1"/>
        <v>dir smd</v>
      </c>
      <c r="C1011" s="2" t="str">
        <f>IFERROR(__xludf.DUMMYFUNCTION("SPLIT(B1011,"" "")"),"dir")</f>
        <v>dir</v>
      </c>
      <c r="D1011" s="2" t="str">
        <f>IFERROR(__xludf.DUMMYFUNCTION("""COMPUTED_VALUE"""),"smd")</f>
        <v>smd</v>
      </c>
      <c r="E1011" s="2" t="str">
        <f t="shared" si="2"/>
        <v>#VALUE!</v>
      </c>
      <c r="F1011" s="2" t="str">
        <f>IFERROR(__xludf.DUMMYFUNCTION("SPLIT(E1011,"" "")"),"#VALUE!")</f>
        <v>#VALUE!</v>
      </c>
      <c r="I1011" s="2" t="str">
        <f t="shared" si="3"/>
        <v>#VALUE!</v>
      </c>
      <c r="J1011" s="2" t="str">
        <f>IFERROR(__xludf.DUMMYFUNCTION("SPLIT(I1011,"" "")"),"#VALUE!")</f>
        <v>#VALUE!</v>
      </c>
      <c r="M1011" s="2" t="b">
        <f t="shared" si="4"/>
        <v>0</v>
      </c>
      <c r="N1011" s="2" t="b">
        <f>IFERROR(__xludf.DUMMYFUNCTION("IF(AND(REGEXMATCH($G$4, ""cd""),M1011),N1010+J1011)"),FALSE)</f>
        <v>0</v>
      </c>
      <c r="O1011" s="2" t="str">
        <f t="shared" si="5"/>
        <v>#N/A</v>
      </c>
    </row>
    <row r="1012">
      <c r="A1012" s="1" t="s">
        <v>560</v>
      </c>
      <c r="B1012" s="2" t="str">
        <f t="shared" si="1"/>
        <v>dir smr</v>
      </c>
      <c r="C1012" s="2" t="str">
        <f>IFERROR(__xludf.DUMMYFUNCTION("SPLIT(B1012,"" "")"),"dir")</f>
        <v>dir</v>
      </c>
      <c r="D1012" s="2" t="str">
        <f>IFERROR(__xludf.DUMMYFUNCTION("""COMPUTED_VALUE"""),"smr")</f>
        <v>smr</v>
      </c>
      <c r="E1012" s="2" t="str">
        <f t="shared" si="2"/>
        <v>#VALUE!</v>
      </c>
      <c r="F1012" s="2" t="str">
        <f>IFERROR(__xludf.DUMMYFUNCTION("SPLIT(E1012,"" "")"),"#VALUE!")</f>
        <v>#VALUE!</v>
      </c>
      <c r="I1012" s="2" t="str">
        <f t="shared" si="3"/>
        <v>#VALUE!</v>
      </c>
      <c r="J1012" s="2" t="str">
        <f>IFERROR(__xludf.DUMMYFUNCTION("SPLIT(I1012,"" "")"),"#VALUE!")</f>
        <v>#VALUE!</v>
      </c>
      <c r="M1012" s="2" t="b">
        <f t="shared" si="4"/>
        <v>0</v>
      </c>
      <c r="N1012" s="2" t="b">
        <f>IFERROR(__xludf.DUMMYFUNCTION("IF(AND(REGEXMATCH($G$4, ""cd""),M1012),N1011+J1012)"),FALSE)</f>
        <v>0</v>
      </c>
      <c r="O1012" s="2" t="str">
        <f t="shared" si="5"/>
        <v>#N/A</v>
      </c>
    </row>
    <row r="1013">
      <c r="A1013" s="1" t="s">
        <v>46</v>
      </c>
      <c r="B1013" s="2" t="str">
        <f t="shared" si="1"/>
        <v>dir zcgrgff</v>
      </c>
      <c r="C1013" s="2" t="str">
        <f>IFERROR(__xludf.DUMMYFUNCTION("SPLIT(B1013,"" "")"),"dir")</f>
        <v>dir</v>
      </c>
      <c r="D1013" s="2" t="str">
        <f>IFERROR(__xludf.DUMMYFUNCTION("""COMPUTED_VALUE"""),"zcgrgff")</f>
        <v>zcgrgff</v>
      </c>
      <c r="E1013" s="2" t="str">
        <f t="shared" si="2"/>
        <v>#VALUE!</v>
      </c>
      <c r="F1013" s="2" t="str">
        <f>IFERROR(__xludf.DUMMYFUNCTION("SPLIT(E1013,"" "")"),"#VALUE!")</f>
        <v>#VALUE!</v>
      </c>
      <c r="I1013" s="2" t="str">
        <f t="shared" si="3"/>
        <v>#VALUE!</v>
      </c>
      <c r="J1013" s="2" t="str">
        <f>IFERROR(__xludf.DUMMYFUNCTION("SPLIT(I1013,"" "")"),"#VALUE!")</f>
        <v>#VALUE!</v>
      </c>
      <c r="M1013" s="2" t="b">
        <f t="shared" si="4"/>
        <v>0</v>
      </c>
      <c r="N1013" s="2" t="b">
        <f>IFERROR(__xludf.DUMMYFUNCTION("IF(AND(REGEXMATCH($G$4, ""cd""),M1013),N1012+J1013)"),FALSE)</f>
        <v>0</v>
      </c>
      <c r="O1013" s="2" t="str">
        <f t="shared" si="5"/>
        <v>#N/A</v>
      </c>
    </row>
    <row r="1014">
      <c r="A1014" s="1" t="s">
        <v>561</v>
      </c>
      <c r="B1014" s="2" t="str">
        <f t="shared" si="1"/>
        <v>#VALUE!</v>
      </c>
      <c r="C1014" s="2" t="str">
        <f>IFERROR(__xludf.DUMMYFUNCTION("SPLIT(B1014,"" "")"),"#VALUE!")</f>
        <v>#VALUE!</v>
      </c>
      <c r="E1014" s="2" t="str">
        <f t="shared" si="2"/>
        <v>$ cd ngwvm</v>
      </c>
      <c r="F1014" s="2" t="str">
        <f>IFERROR(__xludf.DUMMYFUNCTION("SPLIT(E1014,"" "")"),"$")</f>
        <v>$</v>
      </c>
      <c r="G1014" s="2" t="str">
        <f>IFERROR(__xludf.DUMMYFUNCTION("""COMPUTED_VALUE"""),"cd")</f>
        <v>cd</v>
      </c>
      <c r="H1014" s="2" t="str">
        <f>IFERROR(__xludf.DUMMYFUNCTION("""COMPUTED_VALUE"""),"ngwvm")</f>
        <v>ngwvm</v>
      </c>
      <c r="I1014" s="2" t="str">
        <f t="shared" si="3"/>
        <v>#VALUE!</v>
      </c>
      <c r="J1014" s="2" t="str">
        <f>IFERROR(__xludf.DUMMYFUNCTION("SPLIT(I1014,"" "")"),"#VALUE!")</f>
        <v>#VALUE!</v>
      </c>
      <c r="M1014" s="2" t="b">
        <f t="shared" si="4"/>
        <v>0</v>
      </c>
      <c r="N1014" s="2" t="b">
        <f>IFERROR(__xludf.DUMMYFUNCTION("IF(AND(REGEXMATCH($G$4, ""cd""),M1014),N1013+J1014)"),FALSE)</f>
        <v>0</v>
      </c>
      <c r="O1014" s="2" t="str">
        <f t="shared" si="5"/>
        <v>#N/A</v>
      </c>
    </row>
    <row r="1015">
      <c r="A1015" s="1" t="s">
        <v>2</v>
      </c>
      <c r="B1015" s="2" t="str">
        <f t="shared" si="1"/>
        <v>#VALUE!</v>
      </c>
      <c r="C1015" s="2" t="str">
        <f>IFERROR(__xludf.DUMMYFUNCTION("SPLIT(B1015,"" "")"),"#VALUE!")</f>
        <v>#VALUE!</v>
      </c>
      <c r="E1015" s="2" t="str">
        <f t="shared" si="2"/>
        <v>#VALUE!</v>
      </c>
      <c r="F1015" s="2" t="str">
        <f>IFERROR(__xludf.DUMMYFUNCTION("SPLIT(E1015,"" "")"),"#VALUE!")</f>
        <v>#VALUE!</v>
      </c>
      <c r="I1015" s="2" t="str">
        <f t="shared" si="3"/>
        <v>#VALUE!</v>
      </c>
      <c r="J1015" s="2" t="str">
        <f>IFERROR(__xludf.DUMMYFUNCTION("SPLIT(I1015,"" "")"),"#VALUE!")</f>
        <v>#VALUE!</v>
      </c>
      <c r="M1015" s="2" t="b">
        <f t="shared" si="4"/>
        <v>0</v>
      </c>
      <c r="N1015" s="2" t="b">
        <f>IFERROR(__xludf.DUMMYFUNCTION("IF(AND(REGEXMATCH($G$4, ""cd""),M1015),N1014+J1015)"),FALSE)</f>
        <v>0</v>
      </c>
      <c r="O1015" s="2" t="str">
        <f t="shared" si="5"/>
        <v>#N/A</v>
      </c>
    </row>
    <row r="1016">
      <c r="A1016" s="1" t="s">
        <v>562</v>
      </c>
      <c r="B1016" s="2" t="str">
        <f t="shared" si="1"/>
        <v>#VALUE!</v>
      </c>
      <c r="C1016" s="2" t="str">
        <f>IFERROR(__xludf.DUMMYFUNCTION("SPLIT(B1016,"" "")"),"#VALUE!")</f>
        <v>#VALUE!</v>
      </c>
      <c r="E1016" s="2" t="str">
        <f t="shared" si="2"/>
        <v>#VALUE!</v>
      </c>
      <c r="F1016" s="2" t="str">
        <f>IFERROR(__xludf.DUMMYFUNCTION("SPLIT(E1016,"" "")"),"#VALUE!")</f>
        <v>#VALUE!</v>
      </c>
      <c r="I1016" s="2" t="str">
        <f t="shared" si="3"/>
        <v>#VALUE!</v>
      </c>
      <c r="J1016" s="2" t="str">
        <f>IFERROR(__xludf.DUMMYFUNCTION("SPLIT(I1016,"" "")"),"#VALUE!")</f>
        <v>#VALUE!</v>
      </c>
      <c r="M1016" s="2" t="b">
        <f t="shared" si="4"/>
        <v>0</v>
      </c>
      <c r="N1016" s="2" t="b">
        <f>IFERROR(__xludf.DUMMYFUNCTION("IF(AND(REGEXMATCH($G$4, ""cd""),M1016),N1015+J1016)"),FALSE)</f>
        <v>0</v>
      </c>
      <c r="O1016" s="2" t="str">
        <f t="shared" si="5"/>
        <v>#N/A</v>
      </c>
    </row>
    <row r="1017">
      <c r="A1017" s="1" t="s">
        <v>17</v>
      </c>
      <c r="B1017" s="2" t="str">
        <f t="shared" si="1"/>
        <v>#VALUE!</v>
      </c>
      <c r="C1017" s="2" t="str">
        <f>IFERROR(__xludf.DUMMYFUNCTION("SPLIT(B1017,"" "")"),"#VALUE!")</f>
        <v>#VALUE!</v>
      </c>
      <c r="E1017" s="2" t="str">
        <f t="shared" si="2"/>
        <v>$ cd ..</v>
      </c>
      <c r="F1017" s="2" t="str">
        <f>IFERROR(__xludf.DUMMYFUNCTION("SPLIT(E1017,"" "")"),"$")</f>
        <v>$</v>
      </c>
      <c r="G1017" s="2" t="str">
        <f>IFERROR(__xludf.DUMMYFUNCTION("""COMPUTED_VALUE"""),"cd")</f>
        <v>cd</v>
      </c>
      <c r="H1017" s="2" t="str">
        <f>IFERROR(__xludf.DUMMYFUNCTION("""COMPUTED_VALUE"""),"..")</f>
        <v>..</v>
      </c>
      <c r="I1017" s="2" t="str">
        <f t="shared" si="3"/>
        <v>$ cd ..</v>
      </c>
      <c r="J1017" s="2" t="str">
        <f>IFERROR(__xludf.DUMMYFUNCTION("SPLIT(I1017,"" "")"),"$")</f>
        <v>$</v>
      </c>
      <c r="K1017" s="2" t="str">
        <f>IFERROR(__xludf.DUMMYFUNCTION("""COMPUTED_VALUE"""),"cd")</f>
        <v>cd</v>
      </c>
      <c r="L1017" s="2" t="str">
        <f>IFERROR(__xludf.DUMMYFUNCTION("""COMPUTED_VALUE"""),"..")</f>
        <v>..</v>
      </c>
      <c r="M1017" s="2" t="b">
        <f t="shared" si="4"/>
        <v>0</v>
      </c>
      <c r="N1017" s="2" t="b">
        <f>IFERROR(__xludf.DUMMYFUNCTION("IF(AND(REGEXMATCH($G$4, ""cd""),M1017),N1016+J1017)"),FALSE)</f>
        <v>0</v>
      </c>
      <c r="O1017" s="2" t="str">
        <f t="shared" si="5"/>
        <v>#N/A</v>
      </c>
    </row>
    <row r="1018">
      <c r="A1018" s="1" t="s">
        <v>60</v>
      </c>
      <c r="B1018" s="2" t="str">
        <f t="shared" si="1"/>
        <v>#VALUE!</v>
      </c>
      <c r="C1018" s="2" t="str">
        <f>IFERROR(__xludf.DUMMYFUNCTION("SPLIT(B1018,"" "")"),"#VALUE!")</f>
        <v>#VALUE!</v>
      </c>
      <c r="E1018" s="2" t="str">
        <f t="shared" si="2"/>
        <v>$ cd slzdbm</v>
      </c>
      <c r="F1018" s="2" t="str">
        <f>IFERROR(__xludf.DUMMYFUNCTION("SPLIT(E1018,"" "")"),"$")</f>
        <v>$</v>
      </c>
      <c r="G1018" s="2" t="str">
        <f>IFERROR(__xludf.DUMMYFUNCTION("""COMPUTED_VALUE"""),"cd")</f>
        <v>cd</v>
      </c>
      <c r="H1018" s="2" t="str">
        <f>IFERROR(__xludf.DUMMYFUNCTION("""COMPUTED_VALUE"""),"slzdbm")</f>
        <v>slzdbm</v>
      </c>
      <c r="I1018" s="2" t="str">
        <f t="shared" si="3"/>
        <v>#VALUE!</v>
      </c>
      <c r="J1018" s="2" t="str">
        <f>IFERROR(__xludf.DUMMYFUNCTION("SPLIT(I1018,"" "")"),"#VALUE!")</f>
        <v>#VALUE!</v>
      </c>
      <c r="M1018" s="2" t="b">
        <f t="shared" si="4"/>
        <v>0</v>
      </c>
      <c r="N1018" s="2" t="b">
        <f>IFERROR(__xludf.DUMMYFUNCTION("IF(AND(REGEXMATCH($G$4, ""cd""),M1018),N1017+J1018)"),FALSE)</f>
        <v>0</v>
      </c>
      <c r="O1018" s="2" t="str">
        <f t="shared" si="5"/>
        <v>#N/A</v>
      </c>
    </row>
    <row r="1019">
      <c r="A1019" s="1" t="s">
        <v>2</v>
      </c>
      <c r="B1019" s="2" t="str">
        <f t="shared" si="1"/>
        <v>#VALUE!</v>
      </c>
      <c r="C1019" s="2" t="str">
        <f>IFERROR(__xludf.DUMMYFUNCTION("SPLIT(B1019,"" "")"),"#VALUE!")</f>
        <v>#VALUE!</v>
      </c>
      <c r="E1019" s="2" t="str">
        <f t="shared" si="2"/>
        <v>#VALUE!</v>
      </c>
      <c r="F1019" s="2" t="str">
        <f>IFERROR(__xludf.DUMMYFUNCTION("SPLIT(E1019,"" "")"),"#VALUE!")</f>
        <v>#VALUE!</v>
      </c>
      <c r="I1019" s="2" t="str">
        <f t="shared" si="3"/>
        <v>#VALUE!</v>
      </c>
      <c r="J1019" s="2" t="str">
        <f>IFERROR(__xludf.DUMMYFUNCTION("SPLIT(I1019,"" "")"),"#VALUE!")</f>
        <v>#VALUE!</v>
      </c>
      <c r="M1019" s="2" t="b">
        <f t="shared" si="4"/>
        <v>0</v>
      </c>
      <c r="N1019" s="2" t="b">
        <f>IFERROR(__xludf.DUMMYFUNCTION("IF(AND(REGEXMATCH($G$4, ""cd""),M1019),N1018+J1019)"),FALSE)</f>
        <v>0</v>
      </c>
      <c r="O1019" s="2" t="str">
        <f t="shared" si="5"/>
        <v>#N/A</v>
      </c>
    </row>
    <row r="1020">
      <c r="A1020" s="1" t="s">
        <v>563</v>
      </c>
      <c r="B1020" s="2" t="str">
        <f t="shared" si="1"/>
        <v>#VALUE!</v>
      </c>
      <c r="C1020" s="2" t="str">
        <f>IFERROR(__xludf.DUMMYFUNCTION("SPLIT(B1020,"" "")"),"#VALUE!")</f>
        <v>#VALUE!</v>
      </c>
      <c r="E1020" s="2" t="str">
        <f t="shared" si="2"/>
        <v>#VALUE!</v>
      </c>
      <c r="F1020" s="2" t="str">
        <f>IFERROR(__xludf.DUMMYFUNCTION("SPLIT(E1020,"" "")"),"#VALUE!")</f>
        <v>#VALUE!</v>
      </c>
      <c r="I1020" s="2" t="str">
        <f t="shared" si="3"/>
        <v>#VALUE!</v>
      </c>
      <c r="J1020" s="2" t="str">
        <f>IFERROR(__xludf.DUMMYFUNCTION("SPLIT(I1020,"" "")"),"#VALUE!")</f>
        <v>#VALUE!</v>
      </c>
      <c r="M1020" s="2" t="b">
        <f t="shared" si="4"/>
        <v>0</v>
      </c>
      <c r="N1020" s="2" t="b">
        <f>IFERROR(__xludf.DUMMYFUNCTION("IF(AND(REGEXMATCH($G$4, ""cd""),M1020),N1019+J1020)"),FALSE)</f>
        <v>0</v>
      </c>
      <c r="O1020" s="2" t="str">
        <f t="shared" si="5"/>
        <v>#N/A</v>
      </c>
    </row>
    <row r="1021">
      <c r="A1021" s="1" t="s">
        <v>17</v>
      </c>
      <c r="B1021" s="2" t="str">
        <f t="shared" si="1"/>
        <v>#VALUE!</v>
      </c>
      <c r="C1021" s="2" t="str">
        <f>IFERROR(__xludf.DUMMYFUNCTION("SPLIT(B1021,"" "")"),"#VALUE!")</f>
        <v>#VALUE!</v>
      </c>
      <c r="E1021" s="2" t="str">
        <f t="shared" si="2"/>
        <v>$ cd ..</v>
      </c>
      <c r="F1021" s="2" t="str">
        <f>IFERROR(__xludf.DUMMYFUNCTION("SPLIT(E1021,"" "")"),"$")</f>
        <v>$</v>
      </c>
      <c r="G1021" s="2" t="str">
        <f>IFERROR(__xludf.DUMMYFUNCTION("""COMPUTED_VALUE"""),"cd")</f>
        <v>cd</v>
      </c>
      <c r="H1021" s="2" t="str">
        <f>IFERROR(__xludf.DUMMYFUNCTION("""COMPUTED_VALUE"""),"..")</f>
        <v>..</v>
      </c>
      <c r="I1021" s="2" t="str">
        <f t="shared" si="3"/>
        <v>$ cd ..</v>
      </c>
      <c r="J1021" s="2" t="str">
        <f>IFERROR(__xludf.DUMMYFUNCTION("SPLIT(I1021,"" "")"),"$")</f>
        <v>$</v>
      </c>
      <c r="K1021" s="2" t="str">
        <f>IFERROR(__xludf.DUMMYFUNCTION("""COMPUTED_VALUE"""),"cd")</f>
        <v>cd</v>
      </c>
      <c r="L1021" s="2" t="str">
        <f>IFERROR(__xludf.DUMMYFUNCTION("""COMPUTED_VALUE"""),"..")</f>
        <v>..</v>
      </c>
      <c r="M1021" s="2" t="b">
        <f t="shared" si="4"/>
        <v>0</v>
      </c>
      <c r="N1021" s="2" t="b">
        <f>IFERROR(__xludf.DUMMYFUNCTION("IF(AND(REGEXMATCH($G$4, ""cd""),M1021),N1020+J1021)"),FALSE)</f>
        <v>0</v>
      </c>
      <c r="O1021" s="2" t="str">
        <f t="shared" si="5"/>
        <v>#N/A</v>
      </c>
    </row>
    <row r="1022">
      <c r="A1022" s="1" t="s">
        <v>564</v>
      </c>
      <c r="B1022" s="2" t="str">
        <f t="shared" si="1"/>
        <v>#VALUE!</v>
      </c>
      <c r="C1022" s="2" t="str">
        <f>IFERROR(__xludf.DUMMYFUNCTION("SPLIT(B1022,"" "")"),"#VALUE!")</f>
        <v>#VALUE!</v>
      </c>
      <c r="E1022" s="2" t="str">
        <f t="shared" si="2"/>
        <v>$ cd smd</v>
      </c>
      <c r="F1022" s="2" t="str">
        <f>IFERROR(__xludf.DUMMYFUNCTION("SPLIT(E1022,"" "")"),"$")</f>
        <v>$</v>
      </c>
      <c r="G1022" s="2" t="str">
        <f>IFERROR(__xludf.DUMMYFUNCTION("""COMPUTED_VALUE"""),"cd")</f>
        <v>cd</v>
      </c>
      <c r="H1022" s="2" t="str">
        <f>IFERROR(__xludf.DUMMYFUNCTION("""COMPUTED_VALUE"""),"smd")</f>
        <v>smd</v>
      </c>
      <c r="I1022" s="2" t="str">
        <f t="shared" si="3"/>
        <v>#VALUE!</v>
      </c>
      <c r="J1022" s="2" t="str">
        <f>IFERROR(__xludf.DUMMYFUNCTION("SPLIT(I1022,"" "")"),"#VALUE!")</f>
        <v>#VALUE!</v>
      </c>
      <c r="M1022" s="2" t="b">
        <f t="shared" si="4"/>
        <v>0</v>
      </c>
      <c r="N1022" s="2" t="b">
        <f>IFERROR(__xludf.DUMMYFUNCTION("IF(AND(REGEXMATCH($G$4, ""cd""),M1022),N1021+J1022)"),FALSE)</f>
        <v>0</v>
      </c>
      <c r="O1022" s="2" t="str">
        <f t="shared" si="5"/>
        <v>#N/A</v>
      </c>
    </row>
    <row r="1023">
      <c r="A1023" s="1" t="s">
        <v>2</v>
      </c>
      <c r="B1023" s="2" t="str">
        <f t="shared" si="1"/>
        <v>#VALUE!</v>
      </c>
      <c r="C1023" s="2" t="str">
        <f>IFERROR(__xludf.DUMMYFUNCTION("SPLIT(B1023,"" "")"),"#VALUE!")</f>
        <v>#VALUE!</v>
      </c>
      <c r="E1023" s="2" t="str">
        <f t="shared" si="2"/>
        <v>#VALUE!</v>
      </c>
      <c r="F1023" s="2" t="str">
        <f>IFERROR(__xludf.DUMMYFUNCTION("SPLIT(E1023,"" "")"),"#VALUE!")</f>
        <v>#VALUE!</v>
      </c>
      <c r="I1023" s="2" t="str">
        <f t="shared" si="3"/>
        <v>#VALUE!</v>
      </c>
      <c r="J1023" s="2" t="str">
        <f>IFERROR(__xludf.DUMMYFUNCTION("SPLIT(I1023,"" "")"),"#VALUE!")</f>
        <v>#VALUE!</v>
      </c>
      <c r="M1023" s="2" t="b">
        <f t="shared" si="4"/>
        <v>0</v>
      </c>
      <c r="N1023" s="2" t="b">
        <f>IFERROR(__xludf.DUMMYFUNCTION("IF(AND(REGEXMATCH($G$4, ""cd""),M1023),N1022+J1023)"),FALSE)</f>
        <v>0</v>
      </c>
      <c r="O1023" s="2" t="str">
        <f t="shared" si="5"/>
        <v>#N/A</v>
      </c>
    </row>
    <row r="1024">
      <c r="A1024" s="1" t="s">
        <v>565</v>
      </c>
      <c r="B1024" s="2" t="str">
        <f t="shared" si="1"/>
        <v>dir fjd</v>
      </c>
      <c r="C1024" s="2" t="str">
        <f>IFERROR(__xludf.DUMMYFUNCTION("SPLIT(B1024,"" "")"),"dir")</f>
        <v>dir</v>
      </c>
      <c r="D1024" s="2" t="str">
        <f>IFERROR(__xludf.DUMMYFUNCTION("""COMPUTED_VALUE"""),"fjd")</f>
        <v>fjd</v>
      </c>
      <c r="E1024" s="2" t="str">
        <f t="shared" si="2"/>
        <v>#VALUE!</v>
      </c>
      <c r="F1024" s="2" t="str">
        <f>IFERROR(__xludf.DUMMYFUNCTION("SPLIT(E1024,"" "")"),"#VALUE!")</f>
        <v>#VALUE!</v>
      </c>
      <c r="I1024" s="2" t="str">
        <f t="shared" si="3"/>
        <v>#VALUE!</v>
      </c>
      <c r="J1024" s="2" t="str">
        <f>IFERROR(__xludf.DUMMYFUNCTION("SPLIT(I1024,"" "")"),"#VALUE!")</f>
        <v>#VALUE!</v>
      </c>
      <c r="M1024" s="2" t="b">
        <f t="shared" si="4"/>
        <v>0</v>
      </c>
      <c r="N1024" s="2" t="b">
        <f>IFERROR(__xludf.DUMMYFUNCTION("IF(AND(REGEXMATCH($G$4, ""cd""),M1024),N1023+J1024)"),FALSE)</f>
        <v>0</v>
      </c>
      <c r="O1024" s="2" t="str">
        <f t="shared" si="5"/>
        <v>#N/A</v>
      </c>
    </row>
    <row r="1025">
      <c r="A1025" s="1" t="s">
        <v>566</v>
      </c>
      <c r="B1025" s="2" t="str">
        <f t="shared" si="1"/>
        <v>dir rscdvnwt</v>
      </c>
      <c r="C1025" s="2" t="str">
        <f>IFERROR(__xludf.DUMMYFUNCTION("SPLIT(B1025,"" "")"),"dir")</f>
        <v>dir</v>
      </c>
      <c r="D1025" s="2" t="str">
        <f>IFERROR(__xludf.DUMMYFUNCTION("""COMPUTED_VALUE"""),"rscdvnwt")</f>
        <v>rscdvnwt</v>
      </c>
      <c r="E1025" s="2" t="str">
        <f t="shared" si="2"/>
        <v>dir rscdvnwt</v>
      </c>
      <c r="F1025" s="2" t="str">
        <f>IFERROR(__xludf.DUMMYFUNCTION("SPLIT(E1025,"" "")"),"dir")</f>
        <v>dir</v>
      </c>
      <c r="G1025" s="2" t="str">
        <f>IFERROR(__xludf.DUMMYFUNCTION("""COMPUTED_VALUE"""),"rscdvnwt")</f>
        <v>rscdvnwt</v>
      </c>
      <c r="I1025" s="2" t="str">
        <f t="shared" si="3"/>
        <v>#VALUE!</v>
      </c>
      <c r="J1025" s="2" t="str">
        <f>IFERROR(__xludf.DUMMYFUNCTION("SPLIT(I1025,"" "")"),"#VALUE!")</f>
        <v>#VALUE!</v>
      </c>
      <c r="M1025" s="2" t="b">
        <f t="shared" si="4"/>
        <v>0</v>
      </c>
      <c r="N1025" s="2" t="b">
        <f>IFERROR(__xludf.DUMMYFUNCTION("IF(AND(REGEXMATCH($G$4, ""cd""),M1025),N1024+J1025)"),FALSE)</f>
        <v>0</v>
      </c>
      <c r="O1025" s="2" t="str">
        <f t="shared" si="5"/>
        <v>#N/A</v>
      </c>
    </row>
    <row r="1026">
      <c r="A1026" s="1" t="s">
        <v>567</v>
      </c>
      <c r="B1026" s="2" t="str">
        <f t="shared" si="1"/>
        <v>dir wbhp</v>
      </c>
      <c r="C1026" s="2" t="str">
        <f>IFERROR(__xludf.DUMMYFUNCTION("SPLIT(B1026,"" "")"),"dir")</f>
        <v>dir</v>
      </c>
      <c r="D1026" s="2" t="str">
        <f>IFERROR(__xludf.DUMMYFUNCTION("""COMPUTED_VALUE"""),"wbhp")</f>
        <v>wbhp</v>
      </c>
      <c r="E1026" s="2" t="str">
        <f t="shared" si="2"/>
        <v>#VALUE!</v>
      </c>
      <c r="F1026" s="2" t="str">
        <f>IFERROR(__xludf.DUMMYFUNCTION("SPLIT(E1026,"" "")"),"#VALUE!")</f>
        <v>#VALUE!</v>
      </c>
      <c r="I1026" s="2" t="str">
        <f t="shared" si="3"/>
        <v>#VALUE!</v>
      </c>
      <c r="J1026" s="2" t="str">
        <f>IFERROR(__xludf.DUMMYFUNCTION("SPLIT(I1026,"" "")"),"#VALUE!")</f>
        <v>#VALUE!</v>
      </c>
      <c r="M1026" s="2" t="b">
        <f t="shared" si="4"/>
        <v>0</v>
      </c>
      <c r="N1026" s="2" t="b">
        <f>IFERROR(__xludf.DUMMYFUNCTION("IF(AND(REGEXMATCH($G$4, ""cd""),M1026),N1025+J1026)"),FALSE)</f>
        <v>0</v>
      </c>
      <c r="O1026" s="2" t="str">
        <f t="shared" si="5"/>
        <v>#N/A</v>
      </c>
    </row>
    <row r="1027">
      <c r="A1027" s="1" t="s">
        <v>568</v>
      </c>
      <c r="B1027" s="2" t="str">
        <f t="shared" si="1"/>
        <v>#VALUE!</v>
      </c>
      <c r="C1027" s="2" t="str">
        <f>IFERROR(__xludf.DUMMYFUNCTION("SPLIT(B1027,"" "")"),"#VALUE!")</f>
        <v>#VALUE!</v>
      </c>
      <c r="E1027" s="2" t="str">
        <f t="shared" si="2"/>
        <v>#VALUE!</v>
      </c>
      <c r="F1027" s="2" t="str">
        <f>IFERROR(__xludf.DUMMYFUNCTION("SPLIT(E1027,"" "")"),"#VALUE!")</f>
        <v>#VALUE!</v>
      </c>
      <c r="I1027" s="2" t="str">
        <f t="shared" si="3"/>
        <v>318166 zbdp.gqb</v>
      </c>
      <c r="J1027" s="2">
        <f>IFERROR(__xludf.DUMMYFUNCTION("SPLIT(I1027,"" "")"),318166.0)</f>
        <v>318166</v>
      </c>
      <c r="K1027" s="2" t="str">
        <f>IFERROR(__xludf.DUMMYFUNCTION("""COMPUTED_VALUE"""),"zbdp.gqb")</f>
        <v>zbdp.gqb</v>
      </c>
      <c r="M1027" s="2" t="b">
        <f t="shared" si="4"/>
        <v>1</v>
      </c>
      <c r="N1027" s="2">
        <f>IFERROR(__xludf.DUMMYFUNCTION("IF(AND(REGEXMATCH($G$4, ""cd""),M1027),N1026+J1027)"),318166.0)</f>
        <v>318166</v>
      </c>
      <c r="O1027" s="2" t="str">
        <f t="shared" si="5"/>
        <v>#N/A</v>
      </c>
    </row>
    <row r="1028">
      <c r="A1028" s="1" t="s">
        <v>569</v>
      </c>
      <c r="B1028" s="2" t="str">
        <f t="shared" si="1"/>
        <v>#VALUE!</v>
      </c>
      <c r="C1028" s="2" t="str">
        <f>IFERROR(__xludf.DUMMYFUNCTION("SPLIT(B1028,"" "")"),"#VALUE!")</f>
        <v>#VALUE!</v>
      </c>
      <c r="E1028" s="2" t="str">
        <f t="shared" si="2"/>
        <v>$ cd fjd</v>
      </c>
      <c r="F1028" s="2" t="str">
        <f>IFERROR(__xludf.DUMMYFUNCTION("SPLIT(E1028,"" "")"),"$")</f>
        <v>$</v>
      </c>
      <c r="G1028" s="2" t="str">
        <f>IFERROR(__xludf.DUMMYFUNCTION("""COMPUTED_VALUE"""),"cd")</f>
        <v>cd</v>
      </c>
      <c r="H1028" s="2" t="str">
        <f>IFERROR(__xludf.DUMMYFUNCTION("""COMPUTED_VALUE"""),"fjd")</f>
        <v>fjd</v>
      </c>
      <c r="I1028" s="2" t="str">
        <f t="shared" si="3"/>
        <v>#VALUE!</v>
      </c>
      <c r="J1028" s="2" t="str">
        <f>IFERROR(__xludf.DUMMYFUNCTION("SPLIT(I1028,"" "")"),"#VALUE!")</f>
        <v>#VALUE!</v>
      </c>
      <c r="M1028" s="2" t="b">
        <f t="shared" si="4"/>
        <v>0</v>
      </c>
      <c r="N1028" s="2" t="b">
        <f>IFERROR(__xludf.DUMMYFUNCTION("IF(AND(REGEXMATCH($G$4, ""cd""),M1028),N1027+J1028)"),FALSE)</f>
        <v>0</v>
      </c>
      <c r="O1028" s="2" t="str">
        <f t="shared" si="5"/>
        <v>#N/A</v>
      </c>
    </row>
    <row r="1029">
      <c r="A1029" s="1" t="s">
        <v>2</v>
      </c>
      <c r="B1029" s="2" t="str">
        <f t="shared" si="1"/>
        <v>#VALUE!</v>
      </c>
      <c r="C1029" s="2" t="str">
        <f>IFERROR(__xludf.DUMMYFUNCTION("SPLIT(B1029,"" "")"),"#VALUE!")</f>
        <v>#VALUE!</v>
      </c>
      <c r="E1029" s="2" t="str">
        <f t="shared" si="2"/>
        <v>#VALUE!</v>
      </c>
      <c r="F1029" s="2" t="str">
        <f>IFERROR(__xludf.DUMMYFUNCTION("SPLIT(E1029,"" "")"),"#VALUE!")</f>
        <v>#VALUE!</v>
      </c>
      <c r="I1029" s="2" t="str">
        <f t="shared" si="3"/>
        <v>#VALUE!</v>
      </c>
      <c r="J1029" s="2" t="str">
        <f>IFERROR(__xludf.DUMMYFUNCTION("SPLIT(I1029,"" "")"),"#VALUE!")</f>
        <v>#VALUE!</v>
      </c>
      <c r="M1029" s="2" t="b">
        <f t="shared" si="4"/>
        <v>0</v>
      </c>
      <c r="N1029" s="2" t="b">
        <f>IFERROR(__xludf.DUMMYFUNCTION("IF(AND(REGEXMATCH($G$4, ""cd""),M1029),N1028+J1029)"),FALSE)</f>
        <v>0</v>
      </c>
      <c r="O1029" s="2" t="str">
        <f t="shared" si="5"/>
        <v>#N/A</v>
      </c>
    </row>
    <row r="1030">
      <c r="A1030" s="1" t="s">
        <v>570</v>
      </c>
      <c r="B1030" s="2" t="str">
        <f t="shared" si="1"/>
        <v>#VALUE!</v>
      </c>
      <c r="C1030" s="2" t="str">
        <f>IFERROR(__xludf.DUMMYFUNCTION("SPLIT(B1030,"" "")"),"#VALUE!")</f>
        <v>#VALUE!</v>
      </c>
      <c r="E1030" s="2" t="str">
        <f t="shared" si="2"/>
        <v>#VALUE!</v>
      </c>
      <c r="F1030" s="2" t="str">
        <f>IFERROR(__xludf.DUMMYFUNCTION("SPLIT(E1030,"" "")"),"#VALUE!")</f>
        <v>#VALUE!</v>
      </c>
      <c r="I1030" s="2" t="str">
        <f t="shared" si="3"/>
        <v>14084 hlvpfw.ghn</v>
      </c>
      <c r="J1030" s="2">
        <f>IFERROR(__xludf.DUMMYFUNCTION("SPLIT(I1030,"" "")"),14084.0)</f>
        <v>14084</v>
      </c>
      <c r="K1030" s="2" t="str">
        <f>IFERROR(__xludf.DUMMYFUNCTION("""COMPUTED_VALUE"""),"hlvpfw.ghn")</f>
        <v>hlvpfw.ghn</v>
      </c>
      <c r="M1030" s="2" t="b">
        <f t="shared" si="4"/>
        <v>1</v>
      </c>
      <c r="N1030" s="2">
        <f>IFERROR(__xludf.DUMMYFUNCTION("IF(AND(REGEXMATCH($G$4, ""cd""),M1030),N1029+J1030)"),14084.0)</f>
        <v>14084</v>
      </c>
      <c r="O1030" s="2" t="str">
        <f t="shared" si="5"/>
        <v>#N/A</v>
      </c>
    </row>
    <row r="1031">
      <c r="A1031" s="1" t="s">
        <v>17</v>
      </c>
      <c r="B1031" s="2" t="str">
        <f t="shared" si="1"/>
        <v>#VALUE!</v>
      </c>
      <c r="C1031" s="2" t="str">
        <f>IFERROR(__xludf.DUMMYFUNCTION("SPLIT(B1031,"" "")"),"#VALUE!")</f>
        <v>#VALUE!</v>
      </c>
      <c r="E1031" s="2" t="str">
        <f t="shared" si="2"/>
        <v>$ cd ..</v>
      </c>
      <c r="F1031" s="2" t="str">
        <f>IFERROR(__xludf.DUMMYFUNCTION("SPLIT(E1031,"" "")"),"$")</f>
        <v>$</v>
      </c>
      <c r="G1031" s="2" t="str">
        <f>IFERROR(__xludf.DUMMYFUNCTION("""COMPUTED_VALUE"""),"cd")</f>
        <v>cd</v>
      </c>
      <c r="H1031" s="2" t="str">
        <f>IFERROR(__xludf.DUMMYFUNCTION("""COMPUTED_VALUE"""),"..")</f>
        <v>..</v>
      </c>
      <c r="I1031" s="2" t="str">
        <f t="shared" si="3"/>
        <v>$ cd ..</v>
      </c>
      <c r="J1031" s="2" t="str">
        <f>IFERROR(__xludf.DUMMYFUNCTION("SPLIT(I1031,"" "")"),"$")</f>
        <v>$</v>
      </c>
      <c r="K1031" s="2" t="str">
        <f>IFERROR(__xludf.DUMMYFUNCTION("""COMPUTED_VALUE"""),"cd")</f>
        <v>cd</v>
      </c>
      <c r="L1031" s="2" t="str">
        <f>IFERROR(__xludf.DUMMYFUNCTION("""COMPUTED_VALUE"""),"..")</f>
        <v>..</v>
      </c>
      <c r="M1031" s="2" t="b">
        <f t="shared" si="4"/>
        <v>0</v>
      </c>
      <c r="N1031" s="2" t="b">
        <f>IFERROR(__xludf.DUMMYFUNCTION("IF(AND(REGEXMATCH($G$4, ""cd""),M1031),N1030+J1031)"),FALSE)</f>
        <v>0</v>
      </c>
      <c r="O1031" s="2" t="str">
        <f t="shared" si="5"/>
        <v>#N/A</v>
      </c>
    </row>
    <row r="1032">
      <c r="A1032" s="1" t="s">
        <v>571</v>
      </c>
      <c r="B1032" s="2" t="str">
        <f t="shared" si="1"/>
        <v>#VALUE!</v>
      </c>
      <c r="C1032" s="2" t="str">
        <f>IFERROR(__xludf.DUMMYFUNCTION("SPLIT(B1032,"" "")"),"#VALUE!")</f>
        <v>#VALUE!</v>
      </c>
      <c r="E1032" s="2" t="str">
        <f t="shared" si="2"/>
        <v>$ cd rscdvnwt</v>
      </c>
      <c r="F1032" s="2" t="str">
        <f>IFERROR(__xludf.DUMMYFUNCTION("SPLIT(E1032,"" "")"),"$")</f>
        <v>$</v>
      </c>
      <c r="G1032" s="2" t="str">
        <f>IFERROR(__xludf.DUMMYFUNCTION("""COMPUTED_VALUE"""),"cd")</f>
        <v>cd</v>
      </c>
      <c r="H1032" s="2" t="str">
        <f>IFERROR(__xludf.DUMMYFUNCTION("""COMPUTED_VALUE"""),"rscdvnwt")</f>
        <v>rscdvnwt</v>
      </c>
      <c r="I1032" s="2" t="str">
        <f t="shared" si="3"/>
        <v>#VALUE!</v>
      </c>
      <c r="J1032" s="2" t="str">
        <f>IFERROR(__xludf.DUMMYFUNCTION("SPLIT(I1032,"" "")"),"#VALUE!")</f>
        <v>#VALUE!</v>
      </c>
      <c r="M1032" s="2" t="b">
        <f t="shared" si="4"/>
        <v>0</v>
      </c>
      <c r="N1032" s="2" t="b">
        <f>IFERROR(__xludf.DUMMYFUNCTION("IF(AND(REGEXMATCH($G$4, ""cd""),M1032),N1031+J1032)"),FALSE)</f>
        <v>0</v>
      </c>
      <c r="O1032" s="2" t="str">
        <f t="shared" si="5"/>
        <v>#N/A</v>
      </c>
    </row>
    <row r="1033">
      <c r="A1033" s="1" t="s">
        <v>2</v>
      </c>
      <c r="B1033" s="2" t="str">
        <f t="shared" si="1"/>
        <v>#VALUE!</v>
      </c>
      <c r="C1033" s="2" t="str">
        <f>IFERROR(__xludf.DUMMYFUNCTION("SPLIT(B1033,"" "")"),"#VALUE!")</f>
        <v>#VALUE!</v>
      </c>
      <c r="E1033" s="2" t="str">
        <f t="shared" si="2"/>
        <v>#VALUE!</v>
      </c>
      <c r="F1033" s="2" t="str">
        <f>IFERROR(__xludf.DUMMYFUNCTION("SPLIT(E1033,"" "")"),"#VALUE!")</f>
        <v>#VALUE!</v>
      </c>
      <c r="I1033" s="2" t="str">
        <f t="shared" si="3"/>
        <v>#VALUE!</v>
      </c>
      <c r="J1033" s="2" t="str">
        <f>IFERROR(__xludf.DUMMYFUNCTION("SPLIT(I1033,"" "")"),"#VALUE!")</f>
        <v>#VALUE!</v>
      </c>
      <c r="M1033" s="2" t="b">
        <f t="shared" si="4"/>
        <v>0</v>
      </c>
      <c r="N1033" s="2" t="b">
        <f>IFERROR(__xludf.DUMMYFUNCTION("IF(AND(REGEXMATCH($G$4, ""cd""),M1033),N1032+J1033)"),FALSE)</f>
        <v>0</v>
      </c>
      <c r="O1033" s="2" t="str">
        <f t="shared" si="5"/>
        <v>#N/A</v>
      </c>
    </row>
    <row r="1034">
      <c r="A1034" s="1" t="s">
        <v>572</v>
      </c>
      <c r="B1034" s="2" t="str">
        <f t="shared" si="1"/>
        <v>#VALUE!</v>
      </c>
      <c r="C1034" s="2" t="str">
        <f>IFERROR(__xludf.DUMMYFUNCTION("SPLIT(B1034,"" "")"),"#VALUE!")</f>
        <v>#VALUE!</v>
      </c>
      <c r="E1034" s="2" t="str">
        <f t="shared" si="2"/>
        <v>#VALUE!</v>
      </c>
      <c r="F1034" s="2" t="str">
        <f>IFERROR(__xludf.DUMMYFUNCTION("SPLIT(E1034,"" "")"),"#VALUE!")</f>
        <v>#VALUE!</v>
      </c>
      <c r="I1034" s="2" t="str">
        <f t="shared" si="3"/>
        <v>6432 fzwpmjm.ntl</v>
      </c>
      <c r="J1034" s="2">
        <f>IFERROR(__xludf.DUMMYFUNCTION("SPLIT(I1034,"" "")"),6432.0)</f>
        <v>6432</v>
      </c>
      <c r="K1034" s="2" t="str">
        <f>IFERROR(__xludf.DUMMYFUNCTION("""COMPUTED_VALUE"""),"fzwpmjm.ntl")</f>
        <v>fzwpmjm.ntl</v>
      </c>
      <c r="M1034" s="2" t="b">
        <f t="shared" si="4"/>
        <v>1</v>
      </c>
      <c r="N1034" s="2">
        <f>IFERROR(__xludf.DUMMYFUNCTION("IF(AND(REGEXMATCH($G$4, ""cd""),M1034),N1033+J1034)"),6432.0)</f>
        <v>6432</v>
      </c>
      <c r="O1034" s="2" t="str">
        <f t="shared" si="5"/>
        <v>#N/A</v>
      </c>
    </row>
    <row r="1035">
      <c r="A1035" s="1" t="s">
        <v>17</v>
      </c>
      <c r="B1035" s="2" t="str">
        <f t="shared" si="1"/>
        <v>#VALUE!</v>
      </c>
      <c r="C1035" s="2" t="str">
        <f>IFERROR(__xludf.DUMMYFUNCTION("SPLIT(B1035,"" "")"),"#VALUE!")</f>
        <v>#VALUE!</v>
      </c>
      <c r="E1035" s="2" t="str">
        <f t="shared" si="2"/>
        <v>$ cd ..</v>
      </c>
      <c r="F1035" s="2" t="str">
        <f>IFERROR(__xludf.DUMMYFUNCTION("SPLIT(E1035,"" "")"),"$")</f>
        <v>$</v>
      </c>
      <c r="G1035" s="2" t="str">
        <f>IFERROR(__xludf.DUMMYFUNCTION("""COMPUTED_VALUE"""),"cd")</f>
        <v>cd</v>
      </c>
      <c r="H1035" s="2" t="str">
        <f>IFERROR(__xludf.DUMMYFUNCTION("""COMPUTED_VALUE"""),"..")</f>
        <v>..</v>
      </c>
      <c r="I1035" s="2" t="str">
        <f t="shared" si="3"/>
        <v>$ cd ..</v>
      </c>
      <c r="J1035" s="2" t="str">
        <f>IFERROR(__xludf.DUMMYFUNCTION("SPLIT(I1035,"" "")"),"$")</f>
        <v>$</v>
      </c>
      <c r="K1035" s="2" t="str">
        <f>IFERROR(__xludf.DUMMYFUNCTION("""COMPUTED_VALUE"""),"cd")</f>
        <v>cd</v>
      </c>
      <c r="L1035" s="2" t="str">
        <f>IFERROR(__xludf.DUMMYFUNCTION("""COMPUTED_VALUE"""),"..")</f>
        <v>..</v>
      </c>
      <c r="M1035" s="2" t="b">
        <f t="shared" si="4"/>
        <v>0</v>
      </c>
      <c r="N1035" s="2" t="b">
        <f>IFERROR(__xludf.DUMMYFUNCTION("IF(AND(REGEXMATCH($G$4, ""cd""),M1035),N1034+J1035)"),FALSE)</f>
        <v>0</v>
      </c>
      <c r="O1035" s="2" t="str">
        <f t="shared" si="5"/>
        <v>#N/A</v>
      </c>
    </row>
    <row r="1036">
      <c r="A1036" s="1" t="s">
        <v>573</v>
      </c>
      <c r="B1036" s="2" t="str">
        <f t="shared" si="1"/>
        <v>#VALUE!</v>
      </c>
      <c r="C1036" s="2" t="str">
        <f>IFERROR(__xludf.DUMMYFUNCTION("SPLIT(B1036,"" "")"),"#VALUE!")</f>
        <v>#VALUE!</v>
      </c>
      <c r="E1036" s="2" t="str">
        <f t="shared" si="2"/>
        <v>$ cd wbhp</v>
      </c>
      <c r="F1036" s="2" t="str">
        <f>IFERROR(__xludf.DUMMYFUNCTION("SPLIT(E1036,"" "")"),"$")</f>
        <v>$</v>
      </c>
      <c r="G1036" s="2" t="str">
        <f>IFERROR(__xludf.DUMMYFUNCTION("""COMPUTED_VALUE"""),"cd")</f>
        <v>cd</v>
      </c>
      <c r="H1036" s="2" t="str">
        <f>IFERROR(__xludf.DUMMYFUNCTION("""COMPUTED_VALUE"""),"wbhp")</f>
        <v>wbhp</v>
      </c>
      <c r="I1036" s="2" t="str">
        <f t="shared" si="3"/>
        <v>#VALUE!</v>
      </c>
      <c r="J1036" s="2" t="str">
        <f>IFERROR(__xludf.DUMMYFUNCTION("SPLIT(I1036,"" "")"),"#VALUE!")</f>
        <v>#VALUE!</v>
      </c>
      <c r="M1036" s="2" t="b">
        <f t="shared" si="4"/>
        <v>0</v>
      </c>
      <c r="N1036" s="2" t="b">
        <f>IFERROR(__xludf.DUMMYFUNCTION("IF(AND(REGEXMATCH($G$4, ""cd""),M1036),N1035+J1036)"),FALSE)</f>
        <v>0</v>
      </c>
      <c r="O1036" s="2" t="str">
        <f t="shared" si="5"/>
        <v>#N/A</v>
      </c>
    </row>
    <row r="1037">
      <c r="A1037" s="1" t="s">
        <v>2</v>
      </c>
      <c r="B1037" s="2" t="str">
        <f t="shared" si="1"/>
        <v>#VALUE!</v>
      </c>
      <c r="C1037" s="2" t="str">
        <f>IFERROR(__xludf.DUMMYFUNCTION("SPLIT(B1037,"" "")"),"#VALUE!")</f>
        <v>#VALUE!</v>
      </c>
      <c r="E1037" s="2" t="str">
        <f t="shared" si="2"/>
        <v>#VALUE!</v>
      </c>
      <c r="F1037" s="2" t="str">
        <f>IFERROR(__xludf.DUMMYFUNCTION("SPLIT(E1037,"" "")"),"#VALUE!")</f>
        <v>#VALUE!</v>
      </c>
      <c r="I1037" s="2" t="str">
        <f t="shared" si="3"/>
        <v>#VALUE!</v>
      </c>
      <c r="J1037" s="2" t="str">
        <f>IFERROR(__xludf.DUMMYFUNCTION("SPLIT(I1037,"" "")"),"#VALUE!")</f>
        <v>#VALUE!</v>
      </c>
      <c r="M1037" s="2" t="b">
        <f t="shared" si="4"/>
        <v>0</v>
      </c>
      <c r="N1037" s="2" t="b">
        <f>IFERROR(__xludf.DUMMYFUNCTION("IF(AND(REGEXMATCH($G$4, ""cd""),M1037),N1036+J1037)"),FALSE)</f>
        <v>0</v>
      </c>
      <c r="O1037" s="2" t="str">
        <f t="shared" si="5"/>
        <v>#N/A</v>
      </c>
    </row>
    <row r="1038">
      <c r="A1038" s="1" t="s">
        <v>574</v>
      </c>
      <c r="B1038" s="2" t="str">
        <f t="shared" si="1"/>
        <v>dir czv</v>
      </c>
      <c r="C1038" s="2" t="str">
        <f>IFERROR(__xludf.DUMMYFUNCTION("SPLIT(B1038,"" "")"),"dir")</f>
        <v>dir</v>
      </c>
      <c r="D1038" s="2" t="str">
        <f>IFERROR(__xludf.DUMMYFUNCTION("""COMPUTED_VALUE"""),"czv")</f>
        <v>czv</v>
      </c>
      <c r="E1038" s="2" t="str">
        <f t="shared" si="2"/>
        <v>#VALUE!</v>
      </c>
      <c r="F1038" s="2" t="str">
        <f>IFERROR(__xludf.DUMMYFUNCTION("SPLIT(E1038,"" "")"),"#VALUE!")</f>
        <v>#VALUE!</v>
      </c>
      <c r="I1038" s="2" t="str">
        <f t="shared" si="3"/>
        <v>#VALUE!</v>
      </c>
      <c r="J1038" s="2" t="str">
        <f>IFERROR(__xludf.DUMMYFUNCTION("SPLIT(I1038,"" "")"),"#VALUE!")</f>
        <v>#VALUE!</v>
      </c>
      <c r="M1038" s="2" t="b">
        <f t="shared" si="4"/>
        <v>0</v>
      </c>
      <c r="N1038" s="2" t="b">
        <f>IFERROR(__xludf.DUMMYFUNCTION("IF(AND(REGEXMATCH($G$4, ""cd""),M1038),N1037+J1038)"),FALSE)</f>
        <v>0</v>
      </c>
      <c r="O1038" s="2" t="str">
        <f t="shared" si="5"/>
        <v>#N/A</v>
      </c>
    </row>
    <row r="1039">
      <c r="A1039" s="1" t="s">
        <v>575</v>
      </c>
      <c r="B1039" s="2" t="str">
        <f t="shared" si="1"/>
        <v>#VALUE!</v>
      </c>
      <c r="C1039" s="2" t="str">
        <f>IFERROR(__xludf.DUMMYFUNCTION("SPLIT(B1039,"" "")"),"#VALUE!")</f>
        <v>#VALUE!</v>
      </c>
      <c r="E1039" s="2" t="str">
        <f t="shared" si="2"/>
        <v>#VALUE!</v>
      </c>
      <c r="F1039" s="2" t="str">
        <f>IFERROR(__xludf.DUMMYFUNCTION("SPLIT(E1039,"" "")"),"#VALUE!")</f>
        <v>#VALUE!</v>
      </c>
      <c r="I1039" s="2" t="str">
        <f t="shared" si="3"/>
        <v>217474 dnq.cpq</v>
      </c>
      <c r="J1039" s="2">
        <f>IFERROR(__xludf.DUMMYFUNCTION("SPLIT(I1039,"" "")"),217474.0)</f>
        <v>217474</v>
      </c>
      <c r="K1039" s="2" t="str">
        <f>IFERROR(__xludf.DUMMYFUNCTION("""COMPUTED_VALUE"""),"dnq.cpq")</f>
        <v>dnq.cpq</v>
      </c>
      <c r="M1039" s="2" t="b">
        <f t="shared" si="4"/>
        <v>1</v>
      </c>
      <c r="N1039" s="2">
        <f>IFERROR(__xludf.DUMMYFUNCTION("IF(AND(REGEXMATCH($G$4, ""cd""),M1039),N1038+J1039)"),217474.0)</f>
        <v>217474</v>
      </c>
      <c r="O1039" s="2" t="str">
        <f t="shared" si="5"/>
        <v>#N/A</v>
      </c>
    </row>
    <row r="1040">
      <c r="A1040" s="1" t="s">
        <v>576</v>
      </c>
      <c r="B1040" s="2" t="str">
        <f t="shared" si="1"/>
        <v>#VALUE!</v>
      </c>
      <c r="C1040" s="2" t="str">
        <f>IFERROR(__xludf.DUMMYFUNCTION("SPLIT(B1040,"" "")"),"#VALUE!")</f>
        <v>#VALUE!</v>
      </c>
      <c r="E1040" s="2" t="str">
        <f t="shared" si="2"/>
        <v>#VALUE!</v>
      </c>
      <c r="F1040" s="2" t="str">
        <f>IFERROR(__xludf.DUMMYFUNCTION("SPLIT(E1040,"" "")"),"#VALUE!")</f>
        <v>#VALUE!</v>
      </c>
      <c r="I1040" s="2" t="str">
        <f t="shared" si="3"/>
        <v>36009 jnwr.zdv</v>
      </c>
      <c r="J1040" s="2">
        <f>IFERROR(__xludf.DUMMYFUNCTION("SPLIT(I1040,"" "")"),36009.0)</f>
        <v>36009</v>
      </c>
      <c r="K1040" s="2" t="str">
        <f>IFERROR(__xludf.DUMMYFUNCTION("""COMPUTED_VALUE"""),"jnwr.zdv")</f>
        <v>jnwr.zdv</v>
      </c>
      <c r="M1040" s="2" t="b">
        <f t="shared" si="4"/>
        <v>1</v>
      </c>
      <c r="N1040" s="2">
        <f>IFERROR(__xludf.DUMMYFUNCTION("IF(AND(REGEXMATCH($G$4, ""cd""),M1040),N1039+J1040)"),253483.0)</f>
        <v>253483</v>
      </c>
      <c r="O1040" s="2" t="str">
        <f t="shared" si="5"/>
        <v>#N/A</v>
      </c>
    </row>
    <row r="1041">
      <c r="A1041" s="1" t="s">
        <v>577</v>
      </c>
      <c r="B1041" s="2" t="str">
        <f t="shared" si="1"/>
        <v>#VALUE!</v>
      </c>
      <c r="C1041" s="2" t="str">
        <f>IFERROR(__xludf.DUMMYFUNCTION("SPLIT(B1041,"" "")"),"#VALUE!")</f>
        <v>#VALUE!</v>
      </c>
      <c r="E1041" s="2" t="str">
        <f t="shared" si="2"/>
        <v>32123 mpq.cdn</v>
      </c>
      <c r="F1041" s="2">
        <f>IFERROR(__xludf.DUMMYFUNCTION("SPLIT(E1041,"" "")"),32123.0)</f>
        <v>32123</v>
      </c>
      <c r="G1041" s="2" t="str">
        <f>IFERROR(__xludf.DUMMYFUNCTION("""COMPUTED_VALUE"""),"mpq.cdn")</f>
        <v>mpq.cdn</v>
      </c>
      <c r="I1041" s="2" t="str">
        <f t="shared" si="3"/>
        <v>32123 mpq.cdn</v>
      </c>
      <c r="J1041" s="2">
        <f>IFERROR(__xludf.DUMMYFUNCTION("SPLIT(I1041,"" "")"),32123.0)</f>
        <v>32123</v>
      </c>
      <c r="K1041" s="2" t="str">
        <f>IFERROR(__xludf.DUMMYFUNCTION("""COMPUTED_VALUE"""),"mpq.cdn")</f>
        <v>mpq.cdn</v>
      </c>
      <c r="M1041" s="2" t="b">
        <f t="shared" si="4"/>
        <v>1</v>
      </c>
      <c r="N1041" s="2">
        <f>IFERROR(__xludf.DUMMYFUNCTION("IF(AND(REGEXMATCH($G$4, ""cd""),M1041),N1040+J1041)"),285606.0)</f>
        <v>285606</v>
      </c>
      <c r="O1041" s="2" t="str">
        <f t="shared" si="5"/>
        <v>#N/A</v>
      </c>
    </row>
    <row r="1042">
      <c r="A1042" s="1" t="s">
        <v>578</v>
      </c>
      <c r="B1042" s="2" t="str">
        <f t="shared" si="1"/>
        <v>#VALUE!</v>
      </c>
      <c r="C1042" s="2" t="str">
        <f>IFERROR(__xludf.DUMMYFUNCTION("SPLIT(B1042,"" "")"),"#VALUE!")</f>
        <v>#VALUE!</v>
      </c>
      <c r="E1042" s="2" t="str">
        <f t="shared" si="2"/>
        <v>#VALUE!</v>
      </c>
      <c r="F1042" s="2" t="str">
        <f>IFERROR(__xludf.DUMMYFUNCTION("SPLIT(E1042,"" "")"),"#VALUE!")</f>
        <v>#VALUE!</v>
      </c>
      <c r="I1042" s="2" t="str">
        <f t="shared" si="3"/>
        <v>27607 mrm.sgs</v>
      </c>
      <c r="J1042" s="2">
        <f>IFERROR(__xludf.DUMMYFUNCTION("SPLIT(I1042,"" "")"),27607.0)</f>
        <v>27607</v>
      </c>
      <c r="K1042" s="2" t="str">
        <f>IFERROR(__xludf.DUMMYFUNCTION("""COMPUTED_VALUE"""),"mrm.sgs")</f>
        <v>mrm.sgs</v>
      </c>
      <c r="M1042" s="2" t="b">
        <f t="shared" si="4"/>
        <v>1</v>
      </c>
      <c r="N1042" s="2">
        <f>IFERROR(__xludf.DUMMYFUNCTION("IF(AND(REGEXMATCH($G$4, ""cd""),M1042),N1041+J1042)"),313213.0)</f>
        <v>313213</v>
      </c>
      <c r="O1042" s="2" t="str">
        <f t="shared" si="5"/>
        <v>#N/A</v>
      </c>
    </row>
    <row r="1043">
      <c r="A1043" s="1" t="s">
        <v>579</v>
      </c>
      <c r="B1043" s="2" t="str">
        <f t="shared" si="1"/>
        <v>#VALUE!</v>
      </c>
      <c r="C1043" s="2" t="str">
        <f>IFERROR(__xludf.DUMMYFUNCTION("SPLIT(B1043,"" "")"),"#VALUE!")</f>
        <v>#VALUE!</v>
      </c>
      <c r="E1043" s="2" t="str">
        <f t="shared" si="2"/>
        <v>#VALUE!</v>
      </c>
      <c r="F1043" s="2" t="str">
        <f>IFERROR(__xludf.DUMMYFUNCTION("SPLIT(E1043,"" "")"),"#VALUE!")</f>
        <v>#VALUE!</v>
      </c>
      <c r="I1043" s="2" t="str">
        <f t="shared" si="3"/>
        <v>107593 zbdp.gqb</v>
      </c>
      <c r="J1043" s="2">
        <f>IFERROR(__xludf.DUMMYFUNCTION("SPLIT(I1043,"" "")"),107593.0)</f>
        <v>107593</v>
      </c>
      <c r="K1043" s="2" t="str">
        <f>IFERROR(__xludf.DUMMYFUNCTION("""COMPUTED_VALUE"""),"zbdp.gqb")</f>
        <v>zbdp.gqb</v>
      </c>
      <c r="M1043" s="2" t="b">
        <f t="shared" si="4"/>
        <v>1</v>
      </c>
      <c r="N1043" s="2">
        <f>IFERROR(__xludf.DUMMYFUNCTION("IF(AND(REGEXMATCH($G$4, ""cd""),M1043),N1042+J1043)"),420806.0)</f>
        <v>420806</v>
      </c>
      <c r="O1043" s="2" t="str">
        <f t="shared" si="5"/>
        <v>#N/A</v>
      </c>
    </row>
    <row r="1044">
      <c r="A1044" s="1" t="s">
        <v>580</v>
      </c>
      <c r="B1044" s="2" t="str">
        <f t="shared" si="1"/>
        <v>#VALUE!</v>
      </c>
      <c r="C1044" s="2" t="str">
        <f>IFERROR(__xludf.DUMMYFUNCTION("SPLIT(B1044,"" "")"),"#VALUE!")</f>
        <v>#VALUE!</v>
      </c>
      <c r="E1044" s="2" t="str">
        <f t="shared" si="2"/>
        <v>$ cd czv</v>
      </c>
      <c r="F1044" s="2" t="str">
        <f>IFERROR(__xludf.DUMMYFUNCTION("SPLIT(E1044,"" "")"),"$")</f>
        <v>$</v>
      </c>
      <c r="G1044" s="2" t="str">
        <f>IFERROR(__xludf.DUMMYFUNCTION("""COMPUTED_VALUE"""),"cd")</f>
        <v>cd</v>
      </c>
      <c r="H1044" s="2" t="str">
        <f>IFERROR(__xludf.DUMMYFUNCTION("""COMPUTED_VALUE"""),"czv")</f>
        <v>czv</v>
      </c>
      <c r="I1044" s="2" t="str">
        <f t="shared" si="3"/>
        <v>#VALUE!</v>
      </c>
      <c r="J1044" s="2" t="str">
        <f>IFERROR(__xludf.DUMMYFUNCTION("SPLIT(I1044,"" "")"),"#VALUE!")</f>
        <v>#VALUE!</v>
      </c>
      <c r="M1044" s="2" t="b">
        <f t="shared" si="4"/>
        <v>0</v>
      </c>
      <c r="N1044" s="2" t="b">
        <f>IFERROR(__xludf.DUMMYFUNCTION("IF(AND(REGEXMATCH($G$4, ""cd""),M1044),N1043+J1044)"),FALSE)</f>
        <v>0</v>
      </c>
      <c r="O1044" s="2" t="str">
        <f t="shared" si="5"/>
        <v>#N/A</v>
      </c>
    </row>
    <row r="1045">
      <c r="A1045" s="1" t="s">
        <v>2</v>
      </c>
      <c r="B1045" s="2" t="str">
        <f t="shared" si="1"/>
        <v>#VALUE!</v>
      </c>
      <c r="C1045" s="2" t="str">
        <f>IFERROR(__xludf.DUMMYFUNCTION("SPLIT(B1045,"" "")"),"#VALUE!")</f>
        <v>#VALUE!</v>
      </c>
      <c r="E1045" s="2" t="str">
        <f t="shared" si="2"/>
        <v>#VALUE!</v>
      </c>
      <c r="F1045" s="2" t="str">
        <f>IFERROR(__xludf.DUMMYFUNCTION("SPLIT(E1045,"" "")"),"#VALUE!")</f>
        <v>#VALUE!</v>
      </c>
      <c r="I1045" s="2" t="str">
        <f t="shared" si="3"/>
        <v>#VALUE!</v>
      </c>
      <c r="J1045" s="2" t="str">
        <f>IFERROR(__xludf.DUMMYFUNCTION("SPLIT(I1045,"" "")"),"#VALUE!")</f>
        <v>#VALUE!</v>
      </c>
      <c r="M1045" s="2" t="b">
        <f t="shared" si="4"/>
        <v>0</v>
      </c>
      <c r="N1045" s="2" t="b">
        <f>IFERROR(__xludf.DUMMYFUNCTION("IF(AND(REGEXMATCH($G$4, ""cd""),M1045),N1044+J1045)"),FALSE)</f>
        <v>0</v>
      </c>
      <c r="O1045" s="2" t="str">
        <f t="shared" si="5"/>
        <v>#N/A</v>
      </c>
    </row>
    <row r="1046">
      <c r="A1046" s="1" t="s">
        <v>581</v>
      </c>
      <c r="B1046" s="2" t="str">
        <f t="shared" si="1"/>
        <v>#VALUE!</v>
      </c>
      <c r="C1046" s="2" t="str">
        <f>IFERROR(__xludf.DUMMYFUNCTION("SPLIT(B1046,"" "")"),"#VALUE!")</f>
        <v>#VALUE!</v>
      </c>
      <c r="E1046" s="2" t="str">
        <f t="shared" si="2"/>
        <v>#VALUE!</v>
      </c>
      <c r="F1046" s="2" t="str">
        <f>IFERROR(__xludf.DUMMYFUNCTION("SPLIT(E1046,"" "")"),"#VALUE!")</f>
        <v>#VALUE!</v>
      </c>
      <c r="I1046" s="2" t="str">
        <f t="shared" si="3"/>
        <v>60750 zcgrgff.mnr</v>
      </c>
      <c r="J1046" s="2">
        <f>IFERROR(__xludf.DUMMYFUNCTION("SPLIT(I1046,"" "")"),60750.0)</f>
        <v>60750</v>
      </c>
      <c r="K1046" s="2" t="str">
        <f>IFERROR(__xludf.DUMMYFUNCTION("""COMPUTED_VALUE"""),"zcgrgff.mnr")</f>
        <v>zcgrgff.mnr</v>
      </c>
      <c r="M1046" s="2" t="b">
        <f t="shared" si="4"/>
        <v>1</v>
      </c>
      <c r="N1046" s="2">
        <f>IFERROR(__xludf.DUMMYFUNCTION("IF(AND(REGEXMATCH($G$4, ""cd""),M1046),N1045+J1046)"),60750.0)</f>
        <v>60750</v>
      </c>
      <c r="O1046" s="2" t="str">
        <f t="shared" si="5"/>
        <v>#N/A</v>
      </c>
    </row>
    <row r="1047">
      <c r="A1047" s="1" t="s">
        <v>17</v>
      </c>
      <c r="B1047" s="2" t="str">
        <f t="shared" si="1"/>
        <v>#VALUE!</v>
      </c>
      <c r="C1047" s="2" t="str">
        <f>IFERROR(__xludf.DUMMYFUNCTION("SPLIT(B1047,"" "")"),"#VALUE!")</f>
        <v>#VALUE!</v>
      </c>
      <c r="E1047" s="2" t="str">
        <f t="shared" si="2"/>
        <v>$ cd ..</v>
      </c>
      <c r="F1047" s="2" t="str">
        <f>IFERROR(__xludf.DUMMYFUNCTION("SPLIT(E1047,"" "")"),"$")</f>
        <v>$</v>
      </c>
      <c r="G1047" s="2" t="str">
        <f>IFERROR(__xludf.DUMMYFUNCTION("""COMPUTED_VALUE"""),"cd")</f>
        <v>cd</v>
      </c>
      <c r="H1047" s="2" t="str">
        <f>IFERROR(__xludf.DUMMYFUNCTION("""COMPUTED_VALUE"""),"..")</f>
        <v>..</v>
      </c>
      <c r="I1047" s="2" t="str">
        <f t="shared" si="3"/>
        <v>$ cd ..</v>
      </c>
      <c r="J1047" s="2" t="str">
        <f>IFERROR(__xludf.DUMMYFUNCTION("SPLIT(I1047,"" "")"),"$")</f>
        <v>$</v>
      </c>
      <c r="K1047" s="2" t="str">
        <f>IFERROR(__xludf.DUMMYFUNCTION("""COMPUTED_VALUE"""),"cd")</f>
        <v>cd</v>
      </c>
      <c r="L1047" s="2" t="str">
        <f>IFERROR(__xludf.DUMMYFUNCTION("""COMPUTED_VALUE"""),"..")</f>
        <v>..</v>
      </c>
      <c r="M1047" s="2" t="b">
        <f t="shared" si="4"/>
        <v>0</v>
      </c>
      <c r="N1047" s="2" t="b">
        <f>IFERROR(__xludf.DUMMYFUNCTION("IF(AND(REGEXMATCH($G$4, ""cd""),M1047),N1046+J1047)"),FALSE)</f>
        <v>0</v>
      </c>
      <c r="O1047" s="2" t="str">
        <f t="shared" si="5"/>
        <v>#N/A</v>
      </c>
    </row>
    <row r="1048">
      <c r="A1048" s="1" t="s">
        <v>17</v>
      </c>
      <c r="B1048" s="2" t="str">
        <f t="shared" si="1"/>
        <v>#VALUE!</v>
      </c>
      <c r="C1048" s="2" t="str">
        <f>IFERROR(__xludf.DUMMYFUNCTION("SPLIT(B1048,"" "")"),"#VALUE!")</f>
        <v>#VALUE!</v>
      </c>
      <c r="E1048" s="2" t="str">
        <f t="shared" si="2"/>
        <v>$ cd ..</v>
      </c>
      <c r="F1048" s="2" t="str">
        <f>IFERROR(__xludf.DUMMYFUNCTION("SPLIT(E1048,"" "")"),"$")</f>
        <v>$</v>
      </c>
      <c r="G1048" s="2" t="str">
        <f>IFERROR(__xludf.DUMMYFUNCTION("""COMPUTED_VALUE"""),"cd")</f>
        <v>cd</v>
      </c>
      <c r="H1048" s="2" t="str">
        <f>IFERROR(__xludf.DUMMYFUNCTION("""COMPUTED_VALUE"""),"..")</f>
        <v>..</v>
      </c>
      <c r="I1048" s="2" t="str">
        <f t="shared" si="3"/>
        <v>$ cd ..</v>
      </c>
      <c r="J1048" s="2" t="str">
        <f>IFERROR(__xludf.DUMMYFUNCTION("SPLIT(I1048,"" "")"),"$")</f>
        <v>$</v>
      </c>
      <c r="K1048" s="2" t="str">
        <f>IFERROR(__xludf.DUMMYFUNCTION("""COMPUTED_VALUE"""),"cd")</f>
        <v>cd</v>
      </c>
      <c r="L1048" s="2" t="str">
        <f>IFERROR(__xludf.DUMMYFUNCTION("""COMPUTED_VALUE"""),"..")</f>
        <v>..</v>
      </c>
      <c r="M1048" s="2" t="b">
        <f t="shared" si="4"/>
        <v>0</v>
      </c>
      <c r="N1048" s="2" t="b">
        <f>IFERROR(__xludf.DUMMYFUNCTION("IF(AND(REGEXMATCH($G$4, ""cd""),M1048),N1047+J1048)"),FALSE)</f>
        <v>0</v>
      </c>
      <c r="O1048" s="2" t="str">
        <f t="shared" si="5"/>
        <v>#N/A</v>
      </c>
    </row>
    <row r="1049">
      <c r="A1049" s="1" t="s">
        <v>17</v>
      </c>
      <c r="B1049" s="2" t="str">
        <f t="shared" si="1"/>
        <v>#VALUE!</v>
      </c>
      <c r="C1049" s="2" t="str">
        <f>IFERROR(__xludf.DUMMYFUNCTION("SPLIT(B1049,"" "")"),"#VALUE!")</f>
        <v>#VALUE!</v>
      </c>
      <c r="E1049" s="2" t="str">
        <f t="shared" si="2"/>
        <v>$ cd ..</v>
      </c>
      <c r="F1049" s="2" t="str">
        <f>IFERROR(__xludf.DUMMYFUNCTION("SPLIT(E1049,"" "")"),"$")</f>
        <v>$</v>
      </c>
      <c r="G1049" s="2" t="str">
        <f>IFERROR(__xludf.DUMMYFUNCTION("""COMPUTED_VALUE"""),"cd")</f>
        <v>cd</v>
      </c>
      <c r="H1049" s="2" t="str">
        <f>IFERROR(__xludf.DUMMYFUNCTION("""COMPUTED_VALUE"""),"..")</f>
        <v>..</v>
      </c>
      <c r="I1049" s="2" t="str">
        <f t="shared" si="3"/>
        <v>$ cd ..</v>
      </c>
      <c r="J1049" s="2" t="str">
        <f>IFERROR(__xludf.DUMMYFUNCTION("SPLIT(I1049,"" "")"),"$")</f>
        <v>$</v>
      </c>
      <c r="K1049" s="2" t="str">
        <f>IFERROR(__xludf.DUMMYFUNCTION("""COMPUTED_VALUE"""),"cd")</f>
        <v>cd</v>
      </c>
      <c r="L1049" s="2" t="str">
        <f>IFERROR(__xludf.DUMMYFUNCTION("""COMPUTED_VALUE"""),"..")</f>
        <v>..</v>
      </c>
      <c r="M1049" s="2" t="b">
        <f t="shared" si="4"/>
        <v>0</v>
      </c>
      <c r="N1049" s="2" t="b">
        <f>IFERROR(__xludf.DUMMYFUNCTION("IF(AND(REGEXMATCH($G$4, ""cd""),M1049),N1048+J1049)"),FALSE)</f>
        <v>0</v>
      </c>
      <c r="O1049" s="2" t="str">
        <f t="shared" si="5"/>
        <v>#N/A</v>
      </c>
    </row>
    <row r="1050">
      <c r="A1050" s="1" t="s">
        <v>582</v>
      </c>
      <c r="B1050" s="2" t="str">
        <f t="shared" si="1"/>
        <v>#VALUE!</v>
      </c>
      <c r="C1050" s="2" t="str">
        <f>IFERROR(__xludf.DUMMYFUNCTION("SPLIT(B1050,"" "")"),"#VALUE!")</f>
        <v>#VALUE!</v>
      </c>
      <c r="E1050" s="2" t="str">
        <f t="shared" si="2"/>
        <v>$ cd smr</v>
      </c>
      <c r="F1050" s="2" t="str">
        <f>IFERROR(__xludf.DUMMYFUNCTION("SPLIT(E1050,"" "")"),"$")</f>
        <v>$</v>
      </c>
      <c r="G1050" s="2" t="str">
        <f>IFERROR(__xludf.DUMMYFUNCTION("""COMPUTED_VALUE"""),"cd")</f>
        <v>cd</v>
      </c>
      <c r="H1050" s="2" t="str">
        <f>IFERROR(__xludf.DUMMYFUNCTION("""COMPUTED_VALUE"""),"smr")</f>
        <v>smr</v>
      </c>
      <c r="I1050" s="2" t="str">
        <f t="shared" si="3"/>
        <v>#VALUE!</v>
      </c>
      <c r="J1050" s="2" t="str">
        <f>IFERROR(__xludf.DUMMYFUNCTION("SPLIT(I1050,"" "")"),"#VALUE!")</f>
        <v>#VALUE!</v>
      </c>
      <c r="M1050" s="2" t="b">
        <f t="shared" si="4"/>
        <v>0</v>
      </c>
      <c r="N1050" s="2" t="b">
        <f>IFERROR(__xludf.DUMMYFUNCTION("IF(AND(REGEXMATCH($G$4, ""cd""),M1050),N1049+J1050)"),FALSE)</f>
        <v>0</v>
      </c>
      <c r="O1050" s="2" t="str">
        <f t="shared" si="5"/>
        <v>#N/A</v>
      </c>
    </row>
    <row r="1051">
      <c r="A1051" s="1" t="s">
        <v>2</v>
      </c>
      <c r="B1051" s="2" t="str">
        <f t="shared" si="1"/>
        <v>#VALUE!</v>
      </c>
      <c r="C1051" s="2" t="str">
        <f>IFERROR(__xludf.DUMMYFUNCTION("SPLIT(B1051,"" "")"),"#VALUE!")</f>
        <v>#VALUE!</v>
      </c>
      <c r="E1051" s="2" t="str">
        <f t="shared" si="2"/>
        <v>#VALUE!</v>
      </c>
      <c r="F1051" s="2" t="str">
        <f>IFERROR(__xludf.DUMMYFUNCTION("SPLIT(E1051,"" "")"),"#VALUE!")</f>
        <v>#VALUE!</v>
      </c>
      <c r="I1051" s="2" t="str">
        <f t="shared" si="3"/>
        <v>#VALUE!</v>
      </c>
      <c r="J1051" s="2" t="str">
        <f>IFERROR(__xludf.DUMMYFUNCTION("SPLIT(I1051,"" "")"),"#VALUE!")</f>
        <v>#VALUE!</v>
      </c>
      <c r="M1051" s="2" t="b">
        <f t="shared" si="4"/>
        <v>0</v>
      </c>
      <c r="N1051" s="2" t="b">
        <f>IFERROR(__xludf.DUMMYFUNCTION("IF(AND(REGEXMATCH($G$4, ""cd""),M1051),N1050+J1051)"),FALSE)</f>
        <v>0</v>
      </c>
      <c r="O1051" s="2" t="str">
        <f t="shared" si="5"/>
        <v>#N/A</v>
      </c>
    </row>
    <row r="1052">
      <c r="A1052" s="1" t="s">
        <v>583</v>
      </c>
      <c r="B1052" s="2" t="str">
        <f t="shared" si="1"/>
        <v>#VALUE!</v>
      </c>
      <c r="C1052" s="2" t="str">
        <f>IFERROR(__xludf.DUMMYFUNCTION("SPLIT(B1052,"" "")"),"#VALUE!")</f>
        <v>#VALUE!</v>
      </c>
      <c r="E1052" s="2" t="str">
        <f t="shared" si="2"/>
        <v>#VALUE!</v>
      </c>
      <c r="F1052" s="2" t="str">
        <f>IFERROR(__xludf.DUMMYFUNCTION("SPLIT(E1052,"" "")"),"#VALUE!")</f>
        <v>#VALUE!</v>
      </c>
      <c r="I1052" s="2" t="str">
        <f t="shared" si="3"/>
        <v>47204 zcgrgff.vsl</v>
      </c>
      <c r="J1052" s="2">
        <f>IFERROR(__xludf.DUMMYFUNCTION("SPLIT(I1052,"" "")"),47204.0)</f>
        <v>47204</v>
      </c>
      <c r="K1052" s="2" t="str">
        <f>IFERROR(__xludf.DUMMYFUNCTION("""COMPUTED_VALUE"""),"zcgrgff.vsl")</f>
        <v>zcgrgff.vsl</v>
      </c>
      <c r="M1052" s="2" t="b">
        <f t="shared" si="4"/>
        <v>1</v>
      </c>
      <c r="N1052" s="2">
        <f>IFERROR(__xludf.DUMMYFUNCTION("IF(AND(REGEXMATCH($G$4, ""cd""),M1052),N1051+J1052)"),47204.0)</f>
        <v>47204</v>
      </c>
      <c r="O1052" s="2" t="str">
        <f t="shared" si="5"/>
        <v>#N/A</v>
      </c>
    </row>
    <row r="1053">
      <c r="A1053" s="1" t="s">
        <v>17</v>
      </c>
      <c r="B1053" s="2" t="str">
        <f t="shared" si="1"/>
        <v>#VALUE!</v>
      </c>
      <c r="C1053" s="2" t="str">
        <f>IFERROR(__xludf.DUMMYFUNCTION("SPLIT(B1053,"" "")"),"#VALUE!")</f>
        <v>#VALUE!</v>
      </c>
      <c r="E1053" s="2" t="str">
        <f t="shared" si="2"/>
        <v>$ cd ..</v>
      </c>
      <c r="F1053" s="2" t="str">
        <f>IFERROR(__xludf.DUMMYFUNCTION("SPLIT(E1053,"" "")"),"$")</f>
        <v>$</v>
      </c>
      <c r="G1053" s="2" t="str">
        <f>IFERROR(__xludf.DUMMYFUNCTION("""COMPUTED_VALUE"""),"cd")</f>
        <v>cd</v>
      </c>
      <c r="H1053" s="2" t="str">
        <f>IFERROR(__xludf.DUMMYFUNCTION("""COMPUTED_VALUE"""),"..")</f>
        <v>..</v>
      </c>
      <c r="I1053" s="2" t="str">
        <f t="shared" si="3"/>
        <v>$ cd ..</v>
      </c>
      <c r="J1053" s="2" t="str">
        <f>IFERROR(__xludf.DUMMYFUNCTION("SPLIT(I1053,"" "")"),"$")</f>
        <v>$</v>
      </c>
      <c r="K1053" s="2" t="str">
        <f>IFERROR(__xludf.DUMMYFUNCTION("""COMPUTED_VALUE"""),"cd")</f>
        <v>cd</v>
      </c>
      <c r="L1053" s="2" t="str">
        <f>IFERROR(__xludf.DUMMYFUNCTION("""COMPUTED_VALUE"""),"..")</f>
        <v>..</v>
      </c>
      <c r="M1053" s="2" t="b">
        <f t="shared" si="4"/>
        <v>0</v>
      </c>
      <c r="N1053" s="2" t="b">
        <f>IFERROR(__xludf.DUMMYFUNCTION("IF(AND(REGEXMATCH($G$4, ""cd""),M1053),N1052+J1053)"),FALSE)</f>
        <v>0</v>
      </c>
      <c r="O1053" s="2" t="str">
        <f t="shared" si="5"/>
        <v>#N/A</v>
      </c>
    </row>
    <row r="1054">
      <c r="A1054" s="1" t="s">
        <v>63</v>
      </c>
      <c r="B1054" s="2" t="str">
        <f t="shared" si="1"/>
        <v>#VALUE!</v>
      </c>
      <c r="C1054" s="2" t="str">
        <f>IFERROR(__xludf.DUMMYFUNCTION("SPLIT(B1054,"" "")"),"#VALUE!")</f>
        <v>#VALUE!</v>
      </c>
      <c r="E1054" s="2" t="str">
        <f t="shared" si="2"/>
        <v>$ cd zcgrgff</v>
      </c>
      <c r="F1054" s="2" t="str">
        <f>IFERROR(__xludf.DUMMYFUNCTION("SPLIT(E1054,"" "")"),"$")</f>
        <v>$</v>
      </c>
      <c r="G1054" s="2" t="str">
        <f>IFERROR(__xludf.DUMMYFUNCTION("""COMPUTED_VALUE"""),"cd")</f>
        <v>cd</v>
      </c>
      <c r="H1054" s="2" t="str">
        <f>IFERROR(__xludf.DUMMYFUNCTION("""COMPUTED_VALUE"""),"zcgrgff")</f>
        <v>zcgrgff</v>
      </c>
      <c r="I1054" s="2" t="str">
        <f t="shared" si="3"/>
        <v>#VALUE!</v>
      </c>
      <c r="J1054" s="2" t="str">
        <f>IFERROR(__xludf.DUMMYFUNCTION("SPLIT(I1054,"" "")"),"#VALUE!")</f>
        <v>#VALUE!</v>
      </c>
      <c r="M1054" s="2" t="b">
        <f t="shared" si="4"/>
        <v>0</v>
      </c>
      <c r="N1054" s="2" t="b">
        <f>IFERROR(__xludf.DUMMYFUNCTION("IF(AND(REGEXMATCH($G$4, ""cd""),M1054),N1053+J1054)"),FALSE)</f>
        <v>0</v>
      </c>
      <c r="O1054" s="2" t="str">
        <f t="shared" si="5"/>
        <v>#N/A</v>
      </c>
    </row>
    <row r="1055">
      <c r="A1055" s="1" t="s">
        <v>2</v>
      </c>
      <c r="B1055" s="2" t="str">
        <f t="shared" si="1"/>
        <v>#VALUE!</v>
      </c>
      <c r="C1055" s="2" t="str">
        <f>IFERROR(__xludf.DUMMYFUNCTION("SPLIT(B1055,"" "")"),"#VALUE!")</f>
        <v>#VALUE!</v>
      </c>
      <c r="E1055" s="2" t="str">
        <f t="shared" si="2"/>
        <v>#VALUE!</v>
      </c>
      <c r="F1055" s="2" t="str">
        <f>IFERROR(__xludf.DUMMYFUNCTION("SPLIT(E1055,"" "")"),"#VALUE!")</f>
        <v>#VALUE!</v>
      </c>
      <c r="I1055" s="2" t="str">
        <f t="shared" si="3"/>
        <v>#VALUE!</v>
      </c>
      <c r="J1055" s="2" t="str">
        <f>IFERROR(__xludf.DUMMYFUNCTION("SPLIT(I1055,"" "")"),"#VALUE!")</f>
        <v>#VALUE!</v>
      </c>
      <c r="M1055" s="2" t="b">
        <f t="shared" si="4"/>
        <v>0</v>
      </c>
      <c r="N1055" s="2" t="b">
        <f>IFERROR(__xludf.DUMMYFUNCTION("IF(AND(REGEXMATCH($G$4, ""cd""),M1055),N1054+J1055)"),FALSE)</f>
        <v>0</v>
      </c>
      <c r="O1055" s="2" t="str">
        <f t="shared" si="5"/>
        <v>#N/A</v>
      </c>
    </row>
    <row r="1056">
      <c r="A1056" s="1" t="s">
        <v>584</v>
      </c>
      <c r="B1056" s="2" t="str">
        <f t="shared" si="1"/>
        <v>#VALUE!</v>
      </c>
      <c r="C1056" s="2" t="str">
        <f>IFERROR(__xludf.DUMMYFUNCTION("SPLIT(B1056,"" "")"),"#VALUE!")</f>
        <v>#VALUE!</v>
      </c>
      <c r="E1056" s="2" t="str">
        <f t="shared" si="2"/>
        <v>#VALUE!</v>
      </c>
      <c r="F1056" s="2" t="str">
        <f>IFERROR(__xludf.DUMMYFUNCTION("SPLIT(E1056,"" "")"),"#VALUE!")</f>
        <v>#VALUE!</v>
      </c>
      <c r="I1056" s="2" t="str">
        <f t="shared" si="3"/>
        <v>#VALUE!</v>
      </c>
      <c r="J1056" s="2" t="str">
        <f>IFERROR(__xludf.DUMMYFUNCTION("SPLIT(I1056,"" "")"),"#VALUE!")</f>
        <v>#VALUE!</v>
      </c>
      <c r="M1056" s="2" t="b">
        <f t="shared" si="4"/>
        <v>0</v>
      </c>
      <c r="N1056" s="2" t="b">
        <f>IFERROR(__xludf.DUMMYFUNCTION("IF(AND(REGEXMATCH($G$4, ""cd""),M1056),N1055+J1056)"),FALSE)</f>
        <v>0</v>
      </c>
      <c r="O1056" s="2" t="str">
        <f t="shared" si="5"/>
        <v>#N/A</v>
      </c>
    </row>
    <row r="1057">
      <c r="A1057" s="1" t="s">
        <v>585</v>
      </c>
      <c r="B1057" s="2" t="str">
        <f t="shared" si="1"/>
        <v>#VALUE!</v>
      </c>
      <c r="C1057" s="2" t="str">
        <f>IFERROR(__xludf.DUMMYFUNCTION("SPLIT(B1057,"" "")"),"#VALUE!")</f>
        <v>#VALUE!</v>
      </c>
      <c r="E1057" s="2" t="str">
        <f t="shared" si="2"/>
        <v>#VALUE!</v>
      </c>
      <c r="F1057" s="2" t="str">
        <f>IFERROR(__xludf.DUMMYFUNCTION("SPLIT(E1057,"" "")"),"#VALUE!")</f>
        <v>#VALUE!</v>
      </c>
      <c r="I1057" s="2" t="str">
        <f t="shared" si="3"/>
        <v>#VALUE!</v>
      </c>
      <c r="J1057" s="2" t="str">
        <f>IFERROR(__xludf.DUMMYFUNCTION("SPLIT(I1057,"" "")"),"#VALUE!")</f>
        <v>#VALUE!</v>
      </c>
      <c r="M1057" s="2" t="b">
        <f t="shared" si="4"/>
        <v>0</v>
      </c>
      <c r="N1057" s="2" t="b">
        <f>IFERROR(__xludf.DUMMYFUNCTION("IF(AND(REGEXMATCH($G$4, ""cd""),M1057),N1056+J1057)"),FALSE)</f>
        <v>0</v>
      </c>
      <c r="O1057" s="2" t="str">
        <f t="shared" si="5"/>
        <v>#N/A</v>
      </c>
    </row>
    <row r="1058">
      <c r="A1058" s="1" t="s">
        <v>586</v>
      </c>
      <c r="B1058" s="2" t="str">
        <f t="shared" si="1"/>
        <v>#VALUE!</v>
      </c>
      <c r="C1058" s="2" t="str">
        <f>IFERROR(__xludf.DUMMYFUNCTION("SPLIT(B1058,"" "")"),"#VALUE!")</f>
        <v>#VALUE!</v>
      </c>
      <c r="E1058" s="2" t="str">
        <f t="shared" si="2"/>
        <v>#VALUE!</v>
      </c>
      <c r="F1058" s="2" t="str">
        <f>IFERROR(__xludf.DUMMYFUNCTION("SPLIT(E1058,"" "")"),"#VALUE!")</f>
        <v>#VALUE!</v>
      </c>
      <c r="I1058" s="2" t="str">
        <f t="shared" si="3"/>
        <v>290867 ltfj.dvl</v>
      </c>
      <c r="J1058" s="2">
        <f>IFERROR(__xludf.DUMMYFUNCTION("SPLIT(I1058,"" "")"),290867.0)</f>
        <v>290867</v>
      </c>
      <c r="K1058" s="2" t="str">
        <f>IFERROR(__xludf.DUMMYFUNCTION("""COMPUTED_VALUE"""),"ltfj.dvl")</f>
        <v>ltfj.dvl</v>
      </c>
      <c r="M1058" s="2" t="b">
        <f t="shared" si="4"/>
        <v>1</v>
      </c>
      <c r="N1058" s="2">
        <f>IFERROR(__xludf.DUMMYFUNCTION("IF(AND(REGEXMATCH($G$4, ""cd""),M1058),N1057+J1058)"),290867.0)</f>
        <v>290867</v>
      </c>
      <c r="O1058" s="2" t="str">
        <f t="shared" si="5"/>
        <v>#N/A</v>
      </c>
    </row>
    <row r="1059">
      <c r="A1059" s="1" t="s">
        <v>128</v>
      </c>
      <c r="B1059" s="2" t="str">
        <f t="shared" si="1"/>
        <v>dir mzsfcvgv</v>
      </c>
      <c r="C1059" s="2" t="str">
        <f>IFERROR(__xludf.DUMMYFUNCTION("SPLIT(B1059,"" "")"),"dir")</f>
        <v>dir</v>
      </c>
      <c r="D1059" s="2" t="str">
        <f>IFERROR(__xludf.DUMMYFUNCTION("""COMPUTED_VALUE"""),"mzsfcvgv")</f>
        <v>mzsfcvgv</v>
      </c>
      <c r="E1059" s="2" t="str">
        <f t="shared" si="2"/>
        <v>#VALUE!</v>
      </c>
      <c r="F1059" s="2" t="str">
        <f>IFERROR(__xludf.DUMMYFUNCTION("SPLIT(E1059,"" "")"),"#VALUE!")</f>
        <v>#VALUE!</v>
      </c>
      <c r="I1059" s="2" t="str">
        <f t="shared" si="3"/>
        <v>#VALUE!</v>
      </c>
      <c r="J1059" s="2" t="str">
        <f>IFERROR(__xludf.DUMMYFUNCTION("SPLIT(I1059,"" "")"),"#VALUE!")</f>
        <v>#VALUE!</v>
      </c>
      <c r="M1059" s="2" t="b">
        <f t="shared" si="4"/>
        <v>0</v>
      </c>
      <c r="N1059" s="2" t="b">
        <f>IFERROR(__xludf.DUMMYFUNCTION("IF(AND(REGEXMATCH($G$4, ""cd""),M1059),N1058+J1059)"),FALSE)</f>
        <v>0</v>
      </c>
      <c r="O1059" s="2" t="str">
        <f t="shared" si="5"/>
        <v>#N/A</v>
      </c>
    </row>
    <row r="1060">
      <c r="A1060" s="1" t="s">
        <v>587</v>
      </c>
      <c r="B1060" s="2" t="str">
        <f t="shared" si="1"/>
        <v>#VALUE!</v>
      </c>
      <c r="C1060" s="2" t="str">
        <f>IFERROR(__xludf.DUMMYFUNCTION("SPLIT(B1060,"" "")"),"#VALUE!")</f>
        <v>#VALUE!</v>
      </c>
      <c r="E1060" s="2" t="str">
        <f t="shared" si="2"/>
        <v>#VALUE!</v>
      </c>
      <c r="F1060" s="2" t="str">
        <f>IFERROR(__xludf.DUMMYFUNCTION("SPLIT(E1060,"" "")"),"#VALUE!")</f>
        <v>#VALUE!</v>
      </c>
      <c r="I1060" s="2" t="str">
        <f t="shared" si="3"/>
        <v>130694 wnc.rnr</v>
      </c>
      <c r="J1060" s="2">
        <f>IFERROR(__xludf.DUMMYFUNCTION("SPLIT(I1060,"" "")"),130694.0)</f>
        <v>130694</v>
      </c>
      <c r="K1060" s="2" t="str">
        <f>IFERROR(__xludf.DUMMYFUNCTION("""COMPUTED_VALUE"""),"wnc.rnr")</f>
        <v>wnc.rnr</v>
      </c>
      <c r="M1060" s="2" t="b">
        <f t="shared" si="4"/>
        <v>1</v>
      </c>
      <c r="N1060" s="2">
        <f>IFERROR(__xludf.DUMMYFUNCTION("IF(AND(REGEXMATCH($G$4, ""cd""),M1060),N1059+J1060)"),130694.0)</f>
        <v>130694</v>
      </c>
      <c r="O1060" s="2" t="str">
        <f t="shared" si="5"/>
        <v>#N/A</v>
      </c>
    </row>
    <row r="1061">
      <c r="A1061" s="1" t="s">
        <v>588</v>
      </c>
      <c r="B1061" s="2" t="str">
        <f t="shared" si="1"/>
        <v>#VALUE!</v>
      </c>
      <c r="C1061" s="2" t="str">
        <f>IFERROR(__xludf.DUMMYFUNCTION("SPLIT(B1061,"" "")"),"#VALUE!")</f>
        <v>#VALUE!</v>
      </c>
      <c r="E1061" s="2" t="str">
        <f t="shared" si="2"/>
        <v>#VALUE!</v>
      </c>
      <c r="F1061" s="2" t="str">
        <f>IFERROR(__xludf.DUMMYFUNCTION("SPLIT(E1061,"" "")"),"#VALUE!")</f>
        <v>#VALUE!</v>
      </c>
      <c r="I1061" s="2" t="str">
        <f t="shared" si="3"/>
        <v>206448 zbdp.gqb</v>
      </c>
      <c r="J1061" s="2">
        <f>IFERROR(__xludf.DUMMYFUNCTION("SPLIT(I1061,"" "")"),206448.0)</f>
        <v>206448</v>
      </c>
      <c r="K1061" s="2" t="str">
        <f>IFERROR(__xludf.DUMMYFUNCTION("""COMPUTED_VALUE"""),"zbdp.gqb")</f>
        <v>zbdp.gqb</v>
      </c>
      <c r="M1061" s="2" t="b">
        <f t="shared" si="4"/>
        <v>1</v>
      </c>
      <c r="N1061" s="2">
        <f>IFERROR(__xludf.DUMMYFUNCTION("IF(AND(REGEXMATCH($G$4, ""cd""),M1061),N1060+J1061)"),337142.0)</f>
        <v>337142</v>
      </c>
      <c r="O1061" s="2" t="str">
        <f t="shared" si="5"/>
        <v>#N/A</v>
      </c>
    </row>
    <row r="1062">
      <c r="A1062" s="1" t="s">
        <v>131</v>
      </c>
      <c r="B1062" s="2" t="str">
        <f t="shared" si="1"/>
        <v>#VALUE!</v>
      </c>
      <c r="C1062" s="2" t="str">
        <f>IFERROR(__xludf.DUMMYFUNCTION("SPLIT(B1062,"" "")"),"#VALUE!")</f>
        <v>#VALUE!</v>
      </c>
      <c r="E1062" s="2" t="str">
        <f t="shared" si="2"/>
        <v>$ cd mzsfcvgv</v>
      </c>
      <c r="F1062" s="2" t="str">
        <f>IFERROR(__xludf.DUMMYFUNCTION("SPLIT(E1062,"" "")"),"$")</f>
        <v>$</v>
      </c>
      <c r="G1062" s="2" t="str">
        <f>IFERROR(__xludf.DUMMYFUNCTION("""COMPUTED_VALUE"""),"cd")</f>
        <v>cd</v>
      </c>
      <c r="H1062" s="2" t="str">
        <f>IFERROR(__xludf.DUMMYFUNCTION("""COMPUTED_VALUE"""),"mzsfcvgv")</f>
        <v>mzsfcvgv</v>
      </c>
      <c r="I1062" s="2" t="str">
        <f t="shared" si="3"/>
        <v>#VALUE!</v>
      </c>
      <c r="J1062" s="2" t="str">
        <f>IFERROR(__xludf.DUMMYFUNCTION("SPLIT(I1062,"" "")"),"#VALUE!")</f>
        <v>#VALUE!</v>
      </c>
      <c r="M1062" s="2" t="b">
        <f t="shared" si="4"/>
        <v>0</v>
      </c>
      <c r="N1062" s="2" t="b">
        <f>IFERROR(__xludf.DUMMYFUNCTION("IF(AND(REGEXMATCH($G$4, ""cd""),M1062),N1061+J1062)"),FALSE)</f>
        <v>0</v>
      </c>
      <c r="O1062" s="2" t="str">
        <f t="shared" si="5"/>
        <v>#N/A</v>
      </c>
    </row>
    <row r="1063">
      <c r="A1063" s="1" t="s">
        <v>2</v>
      </c>
      <c r="B1063" s="2" t="str">
        <f t="shared" si="1"/>
        <v>#VALUE!</v>
      </c>
      <c r="C1063" s="2" t="str">
        <f>IFERROR(__xludf.DUMMYFUNCTION("SPLIT(B1063,"" "")"),"#VALUE!")</f>
        <v>#VALUE!</v>
      </c>
      <c r="E1063" s="2" t="str">
        <f t="shared" si="2"/>
        <v>#VALUE!</v>
      </c>
      <c r="F1063" s="2" t="str">
        <f>IFERROR(__xludf.DUMMYFUNCTION("SPLIT(E1063,"" "")"),"#VALUE!")</f>
        <v>#VALUE!</v>
      </c>
      <c r="I1063" s="2" t="str">
        <f t="shared" si="3"/>
        <v>#VALUE!</v>
      </c>
      <c r="J1063" s="2" t="str">
        <f>IFERROR(__xludf.DUMMYFUNCTION("SPLIT(I1063,"" "")"),"#VALUE!")</f>
        <v>#VALUE!</v>
      </c>
      <c r="M1063" s="2" t="b">
        <f t="shared" si="4"/>
        <v>0</v>
      </c>
      <c r="N1063" s="2" t="b">
        <f>IFERROR(__xludf.DUMMYFUNCTION("IF(AND(REGEXMATCH($G$4, ""cd""),M1063),N1062+J1063)"),FALSE)</f>
        <v>0</v>
      </c>
      <c r="O1063" s="2" t="str">
        <f t="shared" si="5"/>
        <v>#N/A</v>
      </c>
    </row>
    <row r="1064">
      <c r="A1064" s="1" t="s">
        <v>4</v>
      </c>
      <c r="B1064" s="2" t="str">
        <f t="shared" si="1"/>
        <v>dir jnwr</v>
      </c>
      <c r="C1064" s="2" t="str">
        <f>IFERROR(__xludf.DUMMYFUNCTION("SPLIT(B1064,"" "")"),"dir")</f>
        <v>dir</v>
      </c>
      <c r="D1064" s="2" t="str">
        <f>IFERROR(__xludf.DUMMYFUNCTION("""COMPUTED_VALUE"""),"jnwr")</f>
        <v>jnwr</v>
      </c>
      <c r="E1064" s="2" t="str">
        <f t="shared" si="2"/>
        <v>#VALUE!</v>
      </c>
      <c r="F1064" s="2" t="str">
        <f>IFERROR(__xludf.DUMMYFUNCTION("SPLIT(E1064,"" "")"),"#VALUE!")</f>
        <v>#VALUE!</v>
      </c>
      <c r="I1064" s="2" t="str">
        <f t="shared" si="3"/>
        <v>#VALUE!</v>
      </c>
      <c r="J1064" s="2" t="str">
        <f>IFERROR(__xludf.DUMMYFUNCTION("SPLIT(I1064,"" "")"),"#VALUE!")</f>
        <v>#VALUE!</v>
      </c>
      <c r="M1064" s="2" t="b">
        <f t="shared" si="4"/>
        <v>0</v>
      </c>
      <c r="N1064" s="2" t="b">
        <f>IFERROR(__xludf.DUMMYFUNCTION("IF(AND(REGEXMATCH($G$4, ""cd""),M1064),N1063+J1064)"),FALSE)</f>
        <v>0</v>
      </c>
      <c r="O1064" s="2" t="str">
        <f t="shared" si="5"/>
        <v>#N/A</v>
      </c>
    </row>
    <row r="1065">
      <c r="A1065" s="1" t="s">
        <v>20</v>
      </c>
      <c r="B1065" s="2" t="str">
        <f t="shared" si="1"/>
        <v>#VALUE!</v>
      </c>
      <c r="C1065" s="2" t="str">
        <f>IFERROR(__xludf.DUMMYFUNCTION("SPLIT(B1065,"" "")"),"#VALUE!")</f>
        <v>#VALUE!</v>
      </c>
      <c r="E1065" s="2" t="str">
        <f t="shared" si="2"/>
        <v>$ cd jnwr</v>
      </c>
      <c r="F1065" s="2" t="str">
        <f>IFERROR(__xludf.DUMMYFUNCTION("SPLIT(E1065,"" "")"),"$")</f>
        <v>$</v>
      </c>
      <c r="G1065" s="2" t="str">
        <f>IFERROR(__xludf.DUMMYFUNCTION("""COMPUTED_VALUE"""),"cd")</f>
        <v>cd</v>
      </c>
      <c r="H1065" s="2" t="str">
        <f>IFERROR(__xludf.DUMMYFUNCTION("""COMPUTED_VALUE"""),"jnwr")</f>
        <v>jnwr</v>
      </c>
      <c r="I1065" s="2" t="str">
        <f t="shared" si="3"/>
        <v>#VALUE!</v>
      </c>
      <c r="J1065" s="2" t="str">
        <f>IFERROR(__xludf.DUMMYFUNCTION("SPLIT(I1065,"" "")"),"#VALUE!")</f>
        <v>#VALUE!</v>
      </c>
      <c r="M1065" s="2" t="b">
        <f t="shared" si="4"/>
        <v>0</v>
      </c>
      <c r="N1065" s="2" t="b">
        <f>IFERROR(__xludf.DUMMYFUNCTION("IF(AND(REGEXMATCH($G$4, ""cd""),M1065),N1064+J1065)"),FALSE)</f>
        <v>0</v>
      </c>
      <c r="O1065" s="2" t="str">
        <f t="shared" si="5"/>
        <v>#N/A</v>
      </c>
    </row>
    <row r="1066">
      <c r="A1066" s="1" t="s">
        <v>2</v>
      </c>
      <c r="B1066" s="2" t="str">
        <f t="shared" si="1"/>
        <v>#VALUE!</v>
      </c>
      <c r="C1066" s="2" t="str">
        <f>IFERROR(__xludf.DUMMYFUNCTION("SPLIT(B1066,"" "")"),"#VALUE!")</f>
        <v>#VALUE!</v>
      </c>
      <c r="E1066" s="2" t="str">
        <f t="shared" si="2"/>
        <v>#VALUE!</v>
      </c>
      <c r="F1066" s="2" t="str">
        <f>IFERROR(__xludf.DUMMYFUNCTION("SPLIT(E1066,"" "")"),"#VALUE!")</f>
        <v>#VALUE!</v>
      </c>
      <c r="I1066" s="2" t="str">
        <f t="shared" si="3"/>
        <v>#VALUE!</v>
      </c>
      <c r="J1066" s="2" t="str">
        <f>IFERROR(__xludf.DUMMYFUNCTION("SPLIT(I1066,"" "")"),"#VALUE!")</f>
        <v>#VALUE!</v>
      </c>
      <c r="M1066" s="2" t="b">
        <f t="shared" si="4"/>
        <v>0</v>
      </c>
      <c r="N1066" s="2" t="b">
        <f>IFERROR(__xludf.DUMMYFUNCTION("IF(AND(REGEXMATCH($G$4, ""cd""),M1066),N1065+J1066)"),FALSE)</f>
        <v>0</v>
      </c>
      <c r="O1066" s="2" t="str">
        <f t="shared" si="5"/>
        <v>#N/A</v>
      </c>
    </row>
    <row r="1067">
      <c r="A1067" s="1" t="s">
        <v>589</v>
      </c>
      <c r="B1067" s="2" t="str">
        <f t="shared" si="1"/>
        <v>#VALUE!</v>
      </c>
      <c r="C1067" s="2" t="str">
        <f>IFERROR(__xludf.DUMMYFUNCTION("SPLIT(B1067,"" "")"),"#VALUE!")</f>
        <v>#VALUE!</v>
      </c>
      <c r="E1067" s="2" t="str">
        <f t="shared" si="2"/>
        <v>#VALUE!</v>
      </c>
      <c r="F1067" s="2" t="str">
        <f>IFERROR(__xludf.DUMMYFUNCTION("SPLIT(E1067,"" "")"),"#VALUE!")</f>
        <v>#VALUE!</v>
      </c>
      <c r="I1067" s="2" t="str">
        <f t="shared" si="3"/>
        <v>#VALUE!</v>
      </c>
      <c r="J1067" s="2" t="str">
        <f>IFERROR(__xludf.DUMMYFUNCTION("SPLIT(I1067,"" "")"),"#VALUE!")</f>
        <v>#VALUE!</v>
      </c>
      <c r="M1067" s="2" t="b">
        <f t="shared" si="4"/>
        <v>0</v>
      </c>
      <c r="N1067" s="2" t="b">
        <f>IFERROR(__xludf.DUMMYFUNCTION("IF(AND(REGEXMATCH($G$4, ""cd""),M1067),N1066+J1067)"),FALSE)</f>
        <v>0</v>
      </c>
      <c r="O1067" s="2" t="str">
        <f t="shared" si="5"/>
        <v>#N/A</v>
      </c>
    </row>
    <row r="1068">
      <c r="A1068" s="1" t="s">
        <v>17</v>
      </c>
      <c r="B1068" s="2" t="str">
        <f t="shared" si="1"/>
        <v>#VALUE!</v>
      </c>
      <c r="C1068" s="2" t="str">
        <f>IFERROR(__xludf.DUMMYFUNCTION("SPLIT(B1068,"" "")"),"#VALUE!")</f>
        <v>#VALUE!</v>
      </c>
      <c r="E1068" s="2" t="str">
        <f t="shared" si="2"/>
        <v>$ cd ..</v>
      </c>
      <c r="F1068" s="2" t="str">
        <f>IFERROR(__xludf.DUMMYFUNCTION("SPLIT(E1068,"" "")"),"$")</f>
        <v>$</v>
      </c>
      <c r="G1068" s="2" t="str">
        <f>IFERROR(__xludf.DUMMYFUNCTION("""COMPUTED_VALUE"""),"cd")</f>
        <v>cd</v>
      </c>
      <c r="H1068" s="2" t="str">
        <f>IFERROR(__xludf.DUMMYFUNCTION("""COMPUTED_VALUE"""),"..")</f>
        <v>..</v>
      </c>
      <c r="I1068" s="2" t="str">
        <f t="shared" si="3"/>
        <v>$ cd ..</v>
      </c>
      <c r="J1068" s="2" t="str">
        <f>IFERROR(__xludf.DUMMYFUNCTION("SPLIT(I1068,"" "")"),"$")</f>
        <v>$</v>
      </c>
      <c r="K1068" s="2" t="str">
        <f>IFERROR(__xludf.DUMMYFUNCTION("""COMPUTED_VALUE"""),"cd")</f>
        <v>cd</v>
      </c>
      <c r="L1068" s="2" t="str">
        <f>IFERROR(__xludf.DUMMYFUNCTION("""COMPUTED_VALUE"""),"..")</f>
        <v>..</v>
      </c>
      <c r="M1068" s="2" t="b">
        <f t="shared" si="4"/>
        <v>0</v>
      </c>
      <c r="N1068" s="2" t="b">
        <f>IFERROR(__xludf.DUMMYFUNCTION("IF(AND(REGEXMATCH($G$4, ""cd""),M1068),N1067+J1068)"),FALSE)</f>
        <v>0</v>
      </c>
      <c r="O1068" s="2" t="str">
        <f t="shared" si="5"/>
        <v>#N/A</v>
      </c>
    </row>
    <row r="1069">
      <c r="A1069" s="1" t="s">
        <v>17</v>
      </c>
      <c r="B1069" s="2" t="str">
        <f t="shared" si="1"/>
        <v>#VALUE!</v>
      </c>
      <c r="C1069" s="2" t="str">
        <f>IFERROR(__xludf.DUMMYFUNCTION("SPLIT(B1069,"" "")"),"#VALUE!")</f>
        <v>#VALUE!</v>
      </c>
      <c r="E1069" s="2" t="str">
        <f t="shared" si="2"/>
        <v>$ cd ..</v>
      </c>
      <c r="F1069" s="2" t="str">
        <f>IFERROR(__xludf.DUMMYFUNCTION("SPLIT(E1069,"" "")"),"$")</f>
        <v>$</v>
      </c>
      <c r="G1069" s="2" t="str">
        <f>IFERROR(__xludf.DUMMYFUNCTION("""COMPUTED_VALUE"""),"cd")</f>
        <v>cd</v>
      </c>
      <c r="H1069" s="2" t="str">
        <f>IFERROR(__xludf.DUMMYFUNCTION("""COMPUTED_VALUE"""),"..")</f>
        <v>..</v>
      </c>
      <c r="I1069" s="2" t="str">
        <f t="shared" si="3"/>
        <v>$ cd ..</v>
      </c>
      <c r="J1069" s="2" t="str">
        <f>IFERROR(__xludf.DUMMYFUNCTION("SPLIT(I1069,"" "")"),"$")</f>
        <v>$</v>
      </c>
      <c r="K1069" s="2" t="str">
        <f>IFERROR(__xludf.DUMMYFUNCTION("""COMPUTED_VALUE"""),"cd")</f>
        <v>cd</v>
      </c>
      <c r="L1069" s="2" t="str">
        <f>IFERROR(__xludf.DUMMYFUNCTION("""COMPUTED_VALUE"""),"..")</f>
        <v>..</v>
      </c>
      <c r="M1069" s="2" t="b">
        <f t="shared" si="4"/>
        <v>0</v>
      </c>
      <c r="N1069" s="2" t="b">
        <f>IFERROR(__xludf.DUMMYFUNCTION("IF(AND(REGEXMATCH($G$4, ""cd""),M1069),N1068+J1069)"),FALSE)</f>
        <v>0</v>
      </c>
      <c r="O1069" s="2" t="str">
        <f t="shared" si="5"/>
        <v>#N/A</v>
      </c>
    </row>
    <row r="1070">
      <c r="A1070" s="1" t="s">
        <v>17</v>
      </c>
      <c r="B1070" s="2" t="str">
        <f t="shared" si="1"/>
        <v>#VALUE!</v>
      </c>
      <c r="C1070" s="2" t="str">
        <f>IFERROR(__xludf.DUMMYFUNCTION("SPLIT(B1070,"" "")"),"#VALUE!")</f>
        <v>#VALUE!</v>
      </c>
      <c r="E1070" s="2" t="str">
        <f t="shared" si="2"/>
        <v>$ cd ..</v>
      </c>
      <c r="F1070" s="2" t="str">
        <f>IFERROR(__xludf.DUMMYFUNCTION("SPLIT(E1070,"" "")"),"$")</f>
        <v>$</v>
      </c>
      <c r="G1070" s="2" t="str">
        <f>IFERROR(__xludf.DUMMYFUNCTION("""COMPUTED_VALUE"""),"cd")</f>
        <v>cd</v>
      </c>
      <c r="H1070" s="2" t="str">
        <f>IFERROR(__xludf.DUMMYFUNCTION("""COMPUTED_VALUE"""),"..")</f>
        <v>..</v>
      </c>
      <c r="I1070" s="2" t="str">
        <f t="shared" si="3"/>
        <v>$ cd ..</v>
      </c>
      <c r="J1070" s="2" t="str">
        <f>IFERROR(__xludf.DUMMYFUNCTION("SPLIT(I1070,"" "")"),"$")</f>
        <v>$</v>
      </c>
      <c r="K1070" s="2" t="str">
        <f>IFERROR(__xludf.DUMMYFUNCTION("""COMPUTED_VALUE"""),"cd")</f>
        <v>cd</v>
      </c>
      <c r="L1070" s="2" t="str">
        <f>IFERROR(__xludf.DUMMYFUNCTION("""COMPUTED_VALUE"""),"..")</f>
        <v>..</v>
      </c>
      <c r="M1070" s="2" t="b">
        <f t="shared" si="4"/>
        <v>0</v>
      </c>
      <c r="N1070" s="2" t="b">
        <f>IFERROR(__xludf.DUMMYFUNCTION("IF(AND(REGEXMATCH($G$4, ""cd""),M1070),N1069+J1070)"),FALSE)</f>
        <v>0</v>
      </c>
      <c r="O1070" s="2" t="str">
        <f t="shared" si="5"/>
        <v>#N/A</v>
      </c>
    </row>
    <row r="1071">
      <c r="A1071" s="1" t="s">
        <v>17</v>
      </c>
      <c r="B1071" s="2" t="str">
        <f t="shared" si="1"/>
        <v>#VALUE!</v>
      </c>
      <c r="C1071" s="2" t="str">
        <f>IFERROR(__xludf.DUMMYFUNCTION("SPLIT(B1071,"" "")"),"#VALUE!")</f>
        <v>#VALUE!</v>
      </c>
      <c r="E1071" s="2" t="str">
        <f t="shared" si="2"/>
        <v>$ cd ..</v>
      </c>
      <c r="F1071" s="2" t="str">
        <f>IFERROR(__xludf.DUMMYFUNCTION("SPLIT(E1071,"" "")"),"$")</f>
        <v>$</v>
      </c>
      <c r="G1071" s="2" t="str">
        <f>IFERROR(__xludf.DUMMYFUNCTION("""COMPUTED_VALUE"""),"cd")</f>
        <v>cd</v>
      </c>
      <c r="H1071" s="2" t="str">
        <f>IFERROR(__xludf.DUMMYFUNCTION("""COMPUTED_VALUE"""),"..")</f>
        <v>..</v>
      </c>
      <c r="I1071" s="2" t="str">
        <f t="shared" si="3"/>
        <v>$ cd ..</v>
      </c>
      <c r="J1071" s="2" t="str">
        <f>IFERROR(__xludf.DUMMYFUNCTION("SPLIT(I1071,"" "")"),"$")</f>
        <v>$</v>
      </c>
      <c r="K1071" s="2" t="str">
        <f>IFERROR(__xludf.DUMMYFUNCTION("""COMPUTED_VALUE"""),"cd")</f>
        <v>cd</v>
      </c>
      <c r="L1071" s="2" t="str">
        <f>IFERROR(__xludf.DUMMYFUNCTION("""COMPUTED_VALUE"""),"..")</f>
        <v>..</v>
      </c>
      <c r="M1071" s="2" t="b">
        <f t="shared" si="4"/>
        <v>0</v>
      </c>
      <c r="N1071" s="2" t="b">
        <f>IFERROR(__xludf.DUMMYFUNCTION("IF(AND(REGEXMATCH($G$4, ""cd""),M1071),N1070+J1071)"),FALSE)</f>
        <v>0</v>
      </c>
      <c r="O1071" s="2" t="str">
        <f t="shared" si="5"/>
        <v>#N/A</v>
      </c>
    </row>
    <row r="1072">
      <c r="A1072" s="1" t="s">
        <v>590</v>
      </c>
      <c r="B1072" s="2" t="str">
        <f t="shared" si="1"/>
        <v>#VALUE!</v>
      </c>
      <c r="C1072" s="2" t="str">
        <f>IFERROR(__xludf.DUMMYFUNCTION("SPLIT(B1072,"" "")"),"#VALUE!")</f>
        <v>#VALUE!</v>
      </c>
      <c r="E1072" s="2" t="str">
        <f t="shared" si="2"/>
        <v>$ cd nwl</v>
      </c>
      <c r="F1072" s="2" t="str">
        <f>IFERROR(__xludf.DUMMYFUNCTION("SPLIT(E1072,"" "")"),"$")</f>
        <v>$</v>
      </c>
      <c r="G1072" s="2" t="str">
        <f>IFERROR(__xludf.DUMMYFUNCTION("""COMPUTED_VALUE"""),"cd")</f>
        <v>cd</v>
      </c>
      <c r="H1072" s="2" t="str">
        <f>IFERROR(__xludf.DUMMYFUNCTION("""COMPUTED_VALUE"""),"nwl")</f>
        <v>nwl</v>
      </c>
      <c r="I1072" s="2" t="str">
        <f t="shared" si="3"/>
        <v>#VALUE!</v>
      </c>
      <c r="J1072" s="2" t="str">
        <f>IFERROR(__xludf.DUMMYFUNCTION("SPLIT(I1072,"" "")"),"#VALUE!")</f>
        <v>#VALUE!</v>
      </c>
      <c r="M1072" s="2" t="b">
        <f t="shared" si="4"/>
        <v>0</v>
      </c>
      <c r="N1072" s="2" t="b">
        <f>IFERROR(__xludf.DUMMYFUNCTION("IF(AND(REGEXMATCH($G$4, ""cd""),M1072),N1071+J1072)"),FALSE)</f>
        <v>0</v>
      </c>
      <c r="O1072" s="2" t="str">
        <f t="shared" si="5"/>
        <v>#N/A</v>
      </c>
    </row>
    <row r="1073">
      <c r="A1073" s="1" t="s">
        <v>2</v>
      </c>
      <c r="B1073" s="2" t="str">
        <f t="shared" si="1"/>
        <v>#VALUE!</v>
      </c>
      <c r="C1073" s="2" t="str">
        <f>IFERROR(__xludf.DUMMYFUNCTION("SPLIT(B1073,"" "")"),"#VALUE!")</f>
        <v>#VALUE!</v>
      </c>
      <c r="E1073" s="2" t="str">
        <f t="shared" si="2"/>
        <v>#VALUE!</v>
      </c>
      <c r="F1073" s="2" t="str">
        <f>IFERROR(__xludf.DUMMYFUNCTION("SPLIT(E1073,"" "")"),"#VALUE!")</f>
        <v>#VALUE!</v>
      </c>
      <c r="I1073" s="2" t="str">
        <f t="shared" si="3"/>
        <v>#VALUE!</v>
      </c>
      <c r="J1073" s="2" t="str">
        <f>IFERROR(__xludf.DUMMYFUNCTION("SPLIT(I1073,"" "")"),"#VALUE!")</f>
        <v>#VALUE!</v>
      </c>
      <c r="M1073" s="2" t="b">
        <f t="shared" si="4"/>
        <v>0</v>
      </c>
      <c r="N1073" s="2" t="b">
        <f>IFERROR(__xludf.DUMMYFUNCTION("IF(AND(REGEXMATCH($G$4, ""cd""),M1073),N1072+J1073)"),FALSE)</f>
        <v>0</v>
      </c>
      <c r="O1073" s="2" t="str">
        <f t="shared" si="5"/>
        <v>#N/A</v>
      </c>
    </row>
    <row r="1074">
      <c r="A1074" s="1" t="s">
        <v>591</v>
      </c>
      <c r="B1074" s="2" t="str">
        <f t="shared" si="1"/>
        <v>#VALUE!</v>
      </c>
      <c r="C1074" s="2" t="str">
        <f>IFERROR(__xludf.DUMMYFUNCTION("SPLIT(B1074,"" "")"),"#VALUE!")</f>
        <v>#VALUE!</v>
      </c>
      <c r="E1074" s="2" t="str">
        <f t="shared" si="2"/>
        <v>#VALUE!</v>
      </c>
      <c r="F1074" s="2" t="str">
        <f>IFERROR(__xludf.DUMMYFUNCTION("SPLIT(E1074,"" "")"),"#VALUE!")</f>
        <v>#VALUE!</v>
      </c>
      <c r="I1074" s="2" t="str">
        <f t="shared" si="3"/>
        <v>#VALUE!</v>
      </c>
      <c r="J1074" s="2" t="str">
        <f>IFERROR(__xludf.DUMMYFUNCTION("SPLIT(I1074,"" "")"),"#VALUE!")</f>
        <v>#VALUE!</v>
      </c>
      <c r="M1074" s="2" t="b">
        <f t="shared" si="4"/>
        <v>0</v>
      </c>
      <c r="N1074" s="2" t="b">
        <f>IFERROR(__xludf.DUMMYFUNCTION("IF(AND(REGEXMATCH($G$4, ""cd""),M1074),N1073+J1074)"),FALSE)</f>
        <v>0</v>
      </c>
      <c r="O1074" s="2" t="str">
        <f t="shared" si="5"/>
        <v>#N/A</v>
      </c>
    </row>
    <row r="1075">
      <c r="A1075" s="1" t="s">
        <v>592</v>
      </c>
      <c r="B1075" s="2" t="str">
        <f t="shared" si="1"/>
        <v>#VALUE!</v>
      </c>
      <c r="C1075" s="2" t="str">
        <f>IFERROR(__xludf.DUMMYFUNCTION("SPLIT(B1075,"" "")"),"#VALUE!")</f>
        <v>#VALUE!</v>
      </c>
      <c r="E1075" s="2" t="str">
        <f t="shared" si="2"/>
        <v>#VALUE!</v>
      </c>
      <c r="F1075" s="2" t="str">
        <f>IFERROR(__xludf.DUMMYFUNCTION("SPLIT(E1075,"" "")"),"#VALUE!")</f>
        <v>#VALUE!</v>
      </c>
      <c r="I1075" s="2" t="str">
        <f t="shared" si="3"/>
        <v>#VALUE!</v>
      </c>
      <c r="J1075" s="2" t="str">
        <f>IFERROR(__xludf.DUMMYFUNCTION("SPLIT(I1075,"" "")"),"#VALUE!")</f>
        <v>#VALUE!</v>
      </c>
      <c r="M1075" s="2" t="b">
        <f t="shared" si="4"/>
        <v>0</v>
      </c>
      <c r="N1075" s="2" t="b">
        <f>IFERROR(__xludf.DUMMYFUNCTION("IF(AND(REGEXMATCH($G$4, ""cd""),M1075),N1074+J1075)"),FALSE)</f>
        <v>0</v>
      </c>
      <c r="O1075" s="2" t="str">
        <f t="shared" si="5"/>
        <v>#N/A</v>
      </c>
    </row>
    <row r="1076">
      <c r="A1076" s="1" t="s">
        <v>593</v>
      </c>
      <c r="B1076" s="2" t="str">
        <f t="shared" si="1"/>
        <v>#VALUE!</v>
      </c>
      <c r="C1076" s="2" t="str">
        <f>IFERROR(__xludf.DUMMYFUNCTION("SPLIT(B1076,"" "")"),"#VALUE!")</f>
        <v>#VALUE!</v>
      </c>
      <c r="E1076" s="2" t="str">
        <f t="shared" si="2"/>
        <v>#VALUE!</v>
      </c>
      <c r="F1076" s="2" t="str">
        <f>IFERROR(__xludf.DUMMYFUNCTION("SPLIT(E1076,"" "")"),"#VALUE!")</f>
        <v>#VALUE!</v>
      </c>
      <c r="I1076" s="2" t="str">
        <f t="shared" si="3"/>
        <v>13603 hnsdntn.trz</v>
      </c>
      <c r="J1076" s="2">
        <f>IFERROR(__xludf.DUMMYFUNCTION("SPLIT(I1076,"" "")"),13603.0)</f>
        <v>13603</v>
      </c>
      <c r="K1076" s="2" t="str">
        <f>IFERROR(__xludf.DUMMYFUNCTION("""COMPUTED_VALUE"""),"hnsdntn.trz")</f>
        <v>hnsdntn.trz</v>
      </c>
      <c r="M1076" s="2" t="b">
        <f t="shared" si="4"/>
        <v>1</v>
      </c>
      <c r="N1076" s="2">
        <f>IFERROR(__xludf.DUMMYFUNCTION("IF(AND(REGEXMATCH($G$4, ""cd""),M1076),N1075+J1076)"),13603.0)</f>
        <v>13603</v>
      </c>
      <c r="O1076" s="2" t="str">
        <f t="shared" si="5"/>
        <v>#N/A</v>
      </c>
    </row>
    <row r="1077">
      <c r="A1077" s="1" t="s">
        <v>594</v>
      </c>
      <c r="B1077" s="2" t="str">
        <f t="shared" si="1"/>
        <v>#VALUE!</v>
      </c>
      <c r="C1077" s="2" t="str">
        <f>IFERROR(__xludf.DUMMYFUNCTION("SPLIT(B1077,"" "")"),"#VALUE!")</f>
        <v>#VALUE!</v>
      </c>
      <c r="E1077" s="2" t="str">
        <f t="shared" si="2"/>
        <v>2990 mpq.cdn</v>
      </c>
      <c r="F1077" s="2">
        <f>IFERROR(__xludf.DUMMYFUNCTION("SPLIT(E1077,"" "")"),2990.0)</f>
        <v>2990</v>
      </c>
      <c r="G1077" s="2" t="str">
        <f>IFERROR(__xludf.DUMMYFUNCTION("""COMPUTED_VALUE"""),"mpq.cdn")</f>
        <v>mpq.cdn</v>
      </c>
      <c r="I1077" s="2" t="str">
        <f t="shared" si="3"/>
        <v>2990 mpq.cdn</v>
      </c>
      <c r="J1077" s="2">
        <f>IFERROR(__xludf.DUMMYFUNCTION("SPLIT(I1077,"" "")"),2990.0)</f>
        <v>2990</v>
      </c>
      <c r="K1077" s="2" t="str">
        <f>IFERROR(__xludf.DUMMYFUNCTION("""COMPUTED_VALUE"""),"mpq.cdn")</f>
        <v>mpq.cdn</v>
      </c>
      <c r="M1077" s="2" t="b">
        <f t="shared" si="4"/>
        <v>1</v>
      </c>
      <c r="N1077" s="2">
        <f>IFERROR(__xludf.DUMMYFUNCTION("IF(AND(REGEXMATCH($G$4, ""cd""),M1077),N1076+J1077)"),16593.0)</f>
        <v>16593</v>
      </c>
      <c r="O1077" s="2" t="str">
        <f t="shared" si="5"/>
        <v>#N/A</v>
      </c>
    </row>
    <row r="1078">
      <c r="A1078" s="1" t="s">
        <v>17</v>
      </c>
      <c r="B1078" s="2" t="str">
        <f t="shared" si="1"/>
        <v>#VALUE!</v>
      </c>
      <c r="C1078" s="2" t="str">
        <f>IFERROR(__xludf.DUMMYFUNCTION("SPLIT(B1078,"" "")"),"#VALUE!")</f>
        <v>#VALUE!</v>
      </c>
      <c r="E1078" s="2" t="str">
        <f t="shared" si="2"/>
        <v>$ cd ..</v>
      </c>
      <c r="F1078" s="2" t="str">
        <f>IFERROR(__xludf.DUMMYFUNCTION("SPLIT(E1078,"" "")"),"$")</f>
        <v>$</v>
      </c>
      <c r="G1078" s="2" t="str">
        <f>IFERROR(__xludf.DUMMYFUNCTION("""COMPUTED_VALUE"""),"cd")</f>
        <v>cd</v>
      </c>
      <c r="H1078" s="2" t="str">
        <f>IFERROR(__xludf.DUMMYFUNCTION("""COMPUTED_VALUE"""),"..")</f>
        <v>..</v>
      </c>
      <c r="I1078" s="2" t="str">
        <f t="shared" si="3"/>
        <v>$ cd ..</v>
      </c>
      <c r="J1078" s="2" t="str">
        <f>IFERROR(__xludf.DUMMYFUNCTION("SPLIT(I1078,"" "")"),"$")</f>
        <v>$</v>
      </c>
      <c r="K1078" s="2" t="str">
        <f>IFERROR(__xludf.DUMMYFUNCTION("""COMPUTED_VALUE"""),"cd")</f>
        <v>cd</v>
      </c>
      <c r="L1078" s="2" t="str">
        <f>IFERROR(__xludf.DUMMYFUNCTION("""COMPUTED_VALUE"""),"..")</f>
        <v>..</v>
      </c>
      <c r="M1078" s="2" t="b">
        <f t="shared" si="4"/>
        <v>0</v>
      </c>
      <c r="N1078" s="2" t="b">
        <f>IFERROR(__xludf.DUMMYFUNCTION("IF(AND(REGEXMATCH($G$4, ""cd""),M1078),N1077+J1078)"),FALSE)</f>
        <v>0</v>
      </c>
      <c r="O1078" s="2" t="str">
        <f t="shared" si="5"/>
        <v>#N/A</v>
      </c>
    </row>
    <row r="1079">
      <c r="A1079" s="1" t="s">
        <v>595</v>
      </c>
      <c r="B1079" s="2" t="str">
        <f t="shared" si="1"/>
        <v>#VALUE!</v>
      </c>
      <c r="C1079" s="2" t="str">
        <f>IFERROR(__xludf.DUMMYFUNCTION("SPLIT(B1079,"" "")"),"#VALUE!")</f>
        <v>#VALUE!</v>
      </c>
      <c r="E1079" s="2" t="str">
        <f t="shared" si="2"/>
        <v>$ cd rqznjmt</v>
      </c>
      <c r="F1079" s="2" t="str">
        <f>IFERROR(__xludf.DUMMYFUNCTION("SPLIT(E1079,"" "")"),"$")</f>
        <v>$</v>
      </c>
      <c r="G1079" s="2" t="str">
        <f>IFERROR(__xludf.DUMMYFUNCTION("""COMPUTED_VALUE"""),"cd")</f>
        <v>cd</v>
      </c>
      <c r="H1079" s="2" t="str">
        <f>IFERROR(__xludf.DUMMYFUNCTION("""COMPUTED_VALUE"""),"rqznjmt")</f>
        <v>rqznjmt</v>
      </c>
      <c r="I1079" s="2" t="str">
        <f t="shared" si="3"/>
        <v>#VALUE!</v>
      </c>
      <c r="J1079" s="2" t="str">
        <f>IFERROR(__xludf.DUMMYFUNCTION("SPLIT(I1079,"" "")"),"#VALUE!")</f>
        <v>#VALUE!</v>
      </c>
      <c r="M1079" s="2" t="b">
        <f t="shared" si="4"/>
        <v>0</v>
      </c>
      <c r="N1079" s="2" t="b">
        <f>IFERROR(__xludf.DUMMYFUNCTION("IF(AND(REGEXMATCH($G$4, ""cd""),M1079),N1078+J1079)"),FALSE)</f>
        <v>0</v>
      </c>
      <c r="O1079" s="2" t="str">
        <f t="shared" si="5"/>
        <v>#N/A</v>
      </c>
    </row>
    <row r="1080">
      <c r="A1080" s="1" t="s">
        <v>2</v>
      </c>
      <c r="B1080" s="2" t="str">
        <f t="shared" si="1"/>
        <v>#VALUE!</v>
      </c>
      <c r="C1080" s="2" t="str">
        <f>IFERROR(__xludf.DUMMYFUNCTION("SPLIT(B1080,"" "")"),"#VALUE!")</f>
        <v>#VALUE!</v>
      </c>
      <c r="E1080" s="2" t="str">
        <f t="shared" si="2"/>
        <v>#VALUE!</v>
      </c>
      <c r="F1080" s="2" t="str">
        <f>IFERROR(__xludf.DUMMYFUNCTION("SPLIT(E1080,"" "")"),"#VALUE!")</f>
        <v>#VALUE!</v>
      </c>
      <c r="I1080" s="2" t="str">
        <f t="shared" si="3"/>
        <v>#VALUE!</v>
      </c>
      <c r="J1080" s="2" t="str">
        <f>IFERROR(__xludf.DUMMYFUNCTION("SPLIT(I1080,"" "")"),"#VALUE!")</f>
        <v>#VALUE!</v>
      </c>
      <c r="M1080" s="2" t="b">
        <f t="shared" si="4"/>
        <v>0</v>
      </c>
      <c r="N1080" s="2" t="b">
        <f>IFERROR(__xludf.DUMMYFUNCTION("IF(AND(REGEXMATCH($G$4, ""cd""),M1080),N1079+J1080)"),FALSE)</f>
        <v>0</v>
      </c>
      <c r="O1080" s="2" t="str">
        <f t="shared" si="5"/>
        <v>#N/A</v>
      </c>
    </row>
    <row r="1081">
      <c r="A1081" s="1" t="s">
        <v>596</v>
      </c>
      <c r="B1081" s="2" t="str">
        <f t="shared" si="1"/>
        <v>#VALUE!</v>
      </c>
      <c r="C1081" s="2" t="str">
        <f>IFERROR(__xludf.DUMMYFUNCTION("SPLIT(B1081,"" "")"),"#VALUE!")</f>
        <v>#VALUE!</v>
      </c>
      <c r="E1081" s="2" t="str">
        <f t="shared" si="2"/>
        <v>#VALUE!</v>
      </c>
      <c r="F1081" s="2" t="str">
        <f>IFERROR(__xludf.DUMMYFUNCTION("SPLIT(E1081,"" "")"),"#VALUE!")</f>
        <v>#VALUE!</v>
      </c>
      <c r="I1081" s="2" t="str">
        <f t="shared" si="3"/>
        <v>#VALUE!</v>
      </c>
      <c r="J1081" s="2" t="str">
        <f>IFERROR(__xludf.DUMMYFUNCTION("SPLIT(I1081,"" "")"),"#VALUE!")</f>
        <v>#VALUE!</v>
      </c>
      <c r="M1081" s="2" t="b">
        <f t="shared" si="4"/>
        <v>0</v>
      </c>
      <c r="N1081" s="2" t="b">
        <f>IFERROR(__xludf.DUMMYFUNCTION("IF(AND(REGEXMATCH($G$4, ""cd""),M1081),N1080+J1081)"),FALSE)</f>
        <v>0</v>
      </c>
      <c r="O1081" s="2" t="str">
        <f t="shared" si="5"/>
        <v>#N/A</v>
      </c>
    </row>
    <row r="1082">
      <c r="A1082" s="1" t="s">
        <v>597</v>
      </c>
      <c r="B1082" s="2" t="str">
        <f t="shared" si="1"/>
        <v>#VALUE!</v>
      </c>
      <c r="C1082" s="2" t="str">
        <f>IFERROR(__xludf.DUMMYFUNCTION("SPLIT(B1082,"" "")"),"#VALUE!")</f>
        <v>#VALUE!</v>
      </c>
      <c r="E1082" s="2" t="str">
        <f t="shared" si="2"/>
        <v>#VALUE!</v>
      </c>
      <c r="F1082" s="2" t="str">
        <f>IFERROR(__xludf.DUMMYFUNCTION("SPLIT(E1082,"" "")"),"#VALUE!")</f>
        <v>#VALUE!</v>
      </c>
      <c r="I1082" s="2" t="str">
        <f t="shared" si="3"/>
        <v>189732 mzsfcvgv.vqv</v>
      </c>
      <c r="J1082" s="2">
        <f>IFERROR(__xludf.DUMMYFUNCTION("SPLIT(I1082,"" "")"),189732.0)</f>
        <v>189732</v>
      </c>
      <c r="K1082" s="2" t="str">
        <f>IFERROR(__xludf.DUMMYFUNCTION("""COMPUTED_VALUE"""),"mzsfcvgv.vqv")</f>
        <v>mzsfcvgv.vqv</v>
      </c>
      <c r="M1082" s="2" t="b">
        <f t="shared" si="4"/>
        <v>1</v>
      </c>
      <c r="N1082" s="2">
        <f>IFERROR(__xludf.DUMMYFUNCTION("IF(AND(REGEXMATCH($G$4, ""cd""),M1082),N1081+J1082)"),189732.0)</f>
        <v>189732</v>
      </c>
      <c r="O1082" s="2" t="str">
        <f t="shared" si="5"/>
        <v>#N/A</v>
      </c>
    </row>
    <row r="1083">
      <c r="A1083" s="1" t="s">
        <v>598</v>
      </c>
      <c r="B1083" s="2" t="str">
        <f t="shared" si="1"/>
        <v>#VALUE!</v>
      </c>
      <c r="C1083" s="2" t="str">
        <f>IFERROR(__xludf.DUMMYFUNCTION("SPLIT(B1083,"" "")"),"#VALUE!")</f>
        <v>#VALUE!</v>
      </c>
      <c r="E1083" s="2" t="str">
        <f t="shared" si="2"/>
        <v>#VALUE!</v>
      </c>
      <c r="F1083" s="2" t="str">
        <f>IFERROR(__xludf.DUMMYFUNCTION("SPLIT(E1083,"" "")"),"#VALUE!")</f>
        <v>#VALUE!</v>
      </c>
      <c r="I1083" s="2" t="str">
        <f t="shared" si="3"/>
        <v>#VALUE!</v>
      </c>
      <c r="J1083" s="2" t="str">
        <f>IFERROR(__xludf.DUMMYFUNCTION("SPLIT(I1083,"" "")"),"#VALUE!")</f>
        <v>#VALUE!</v>
      </c>
      <c r="M1083" s="2" t="b">
        <f t="shared" si="4"/>
        <v>0</v>
      </c>
      <c r="N1083" s="2" t="b">
        <f>IFERROR(__xludf.DUMMYFUNCTION("IF(AND(REGEXMATCH($G$4, ""cd""),M1083),N1082+J1083)"),FALSE)</f>
        <v>0</v>
      </c>
      <c r="O1083" s="2" t="str">
        <f t="shared" si="5"/>
        <v>#N/A</v>
      </c>
    </row>
    <row r="1084">
      <c r="A1084" s="1" t="s">
        <v>17</v>
      </c>
      <c r="B1084" s="2" t="str">
        <f t="shared" si="1"/>
        <v>#VALUE!</v>
      </c>
      <c r="C1084" s="2" t="str">
        <f>IFERROR(__xludf.DUMMYFUNCTION("SPLIT(B1084,"" "")"),"#VALUE!")</f>
        <v>#VALUE!</v>
      </c>
      <c r="E1084" s="2" t="str">
        <f t="shared" si="2"/>
        <v>$ cd ..</v>
      </c>
      <c r="F1084" s="2" t="str">
        <f>IFERROR(__xludf.DUMMYFUNCTION("SPLIT(E1084,"" "")"),"$")</f>
        <v>$</v>
      </c>
      <c r="G1084" s="2" t="str">
        <f>IFERROR(__xludf.DUMMYFUNCTION("""COMPUTED_VALUE"""),"cd")</f>
        <v>cd</v>
      </c>
      <c r="H1084" s="2" t="str">
        <f>IFERROR(__xludf.DUMMYFUNCTION("""COMPUTED_VALUE"""),"..")</f>
        <v>..</v>
      </c>
      <c r="I1084" s="2" t="str">
        <f t="shared" si="3"/>
        <v>$ cd ..</v>
      </c>
      <c r="J1084" s="2" t="str">
        <f>IFERROR(__xludf.DUMMYFUNCTION("SPLIT(I1084,"" "")"),"$")</f>
        <v>$</v>
      </c>
      <c r="K1084" s="2" t="str">
        <f>IFERROR(__xludf.DUMMYFUNCTION("""COMPUTED_VALUE"""),"cd")</f>
        <v>cd</v>
      </c>
      <c r="L1084" s="2" t="str">
        <f>IFERROR(__xludf.DUMMYFUNCTION("""COMPUTED_VALUE"""),"..")</f>
        <v>..</v>
      </c>
      <c r="M1084" s="2" t="b">
        <f t="shared" si="4"/>
        <v>0</v>
      </c>
      <c r="N1084" s="2" t="b">
        <f>IFERROR(__xludf.DUMMYFUNCTION("IF(AND(REGEXMATCH($G$4, ""cd""),M1084),N1083+J1084)"),FALSE)</f>
        <v>0</v>
      </c>
      <c r="O1084" s="2" t="str">
        <f t="shared" si="5"/>
        <v>#N/A</v>
      </c>
    </row>
    <row r="1085">
      <c r="A1085" s="1" t="s">
        <v>17</v>
      </c>
      <c r="B1085" s="2" t="str">
        <f t="shared" si="1"/>
        <v>#VALUE!</v>
      </c>
      <c r="C1085" s="2" t="str">
        <f>IFERROR(__xludf.DUMMYFUNCTION("SPLIT(B1085,"" "")"),"#VALUE!")</f>
        <v>#VALUE!</v>
      </c>
      <c r="E1085" s="2" t="str">
        <f t="shared" si="2"/>
        <v>$ cd ..</v>
      </c>
      <c r="F1085" s="2" t="str">
        <f>IFERROR(__xludf.DUMMYFUNCTION("SPLIT(E1085,"" "")"),"$")</f>
        <v>$</v>
      </c>
      <c r="G1085" s="2" t="str">
        <f>IFERROR(__xludf.DUMMYFUNCTION("""COMPUTED_VALUE"""),"cd")</f>
        <v>cd</v>
      </c>
      <c r="H1085" s="2" t="str">
        <f>IFERROR(__xludf.DUMMYFUNCTION("""COMPUTED_VALUE"""),"..")</f>
        <v>..</v>
      </c>
      <c r="I1085" s="2" t="str">
        <f t="shared" si="3"/>
        <v>$ cd ..</v>
      </c>
      <c r="J1085" s="2" t="str">
        <f>IFERROR(__xludf.DUMMYFUNCTION("SPLIT(I1085,"" "")"),"$")</f>
        <v>$</v>
      </c>
      <c r="K1085" s="2" t="str">
        <f>IFERROR(__xludf.DUMMYFUNCTION("""COMPUTED_VALUE"""),"cd")</f>
        <v>cd</v>
      </c>
      <c r="L1085" s="2" t="str">
        <f>IFERROR(__xludf.DUMMYFUNCTION("""COMPUTED_VALUE"""),"..")</f>
        <v>..</v>
      </c>
      <c r="M1085" s="2" t="b">
        <f t="shared" si="4"/>
        <v>0</v>
      </c>
      <c r="N1085" s="2" t="b">
        <f>IFERROR(__xludf.DUMMYFUNCTION("IF(AND(REGEXMATCH($G$4, ""cd""),M1085),N1084+J1085)"),FALSE)</f>
        <v>0</v>
      </c>
      <c r="O1085" s="2" t="str">
        <f t="shared" si="5"/>
        <v>#N/A</v>
      </c>
    </row>
    <row r="1086">
      <c r="A1086" s="1" t="s">
        <v>17</v>
      </c>
      <c r="B1086" s="2" t="str">
        <f t="shared" si="1"/>
        <v>#VALUE!</v>
      </c>
      <c r="C1086" s="2" t="str">
        <f>IFERROR(__xludf.DUMMYFUNCTION("SPLIT(B1086,"" "")"),"#VALUE!")</f>
        <v>#VALUE!</v>
      </c>
      <c r="E1086" s="2" t="str">
        <f t="shared" si="2"/>
        <v>$ cd ..</v>
      </c>
      <c r="F1086" s="2" t="str">
        <f>IFERROR(__xludf.DUMMYFUNCTION("SPLIT(E1086,"" "")"),"$")</f>
        <v>$</v>
      </c>
      <c r="G1086" s="2" t="str">
        <f>IFERROR(__xludf.DUMMYFUNCTION("""COMPUTED_VALUE"""),"cd")</f>
        <v>cd</v>
      </c>
      <c r="H1086" s="2" t="str">
        <f>IFERROR(__xludf.DUMMYFUNCTION("""COMPUTED_VALUE"""),"..")</f>
        <v>..</v>
      </c>
      <c r="I1086" s="2" t="str">
        <f t="shared" si="3"/>
        <v>$ cd ..</v>
      </c>
      <c r="J1086" s="2" t="str">
        <f>IFERROR(__xludf.DUMMYFUNCTION("SPLIT(I1086,"" "")"),"$")</f>
        <v>$</v>
      </c>
      <c r="K1086" s="2" t="str">
        <f>IFERROR(__xludf.DUMMYFUNCTION("""COMPUTED_VALUE"""),"cd")</f>
        <v>cd</v>
      </c>
      <c r="L1086" s="2" t="str">
        <f>IFERROR(__xludf.DUMMYFUNCTION("""COMPUTED_VALUE"""),"..")</f>
        <v>..</v>
      </c>
      <c r="M1086" s="2" t="b">
        <f t="shared" si="4"/>
        <v>0</v>
      </c>
      <c r="N1086" s="2" t="b">
        <f>IFERROR(__xludf.DUMMYFUNCTION("IF(AND(REGEXMATCH($G$4, ""cd""),M1086),N1085+J1086)"),FALSE)</f>
        <v>0</v>
      </c>
      <c r="O1086" s="2" t="str">
        <f t="shared" si="5"/>
        <v>#N/A</v>
      </c>
    </row>
    <row r="1087">
      <c r="A1087" s="1" t="s">
        <v>599</v>
      </c>
      <c r="B1087" s="2" t="str">
        <f t="shared" si="1"/>
        <v>#VALUE!</v>
      </c>
      <c r="C1087" s="2" t="str">
        <f>IFERROR(__xludf.DUMMYFUNCTION("SPLIT(B1087,"" "")"),"#VALUE!")</f>
        <v>#VALUE!</v>
      </c>
      <c r="E1087" s="2" t="str">
        <f t="shared" si="2"/>
        <v>$ cd zdsvth</v>
      </c>
      <c r="F1087" s="2" t="str">
        <f>IFERROR(__xludf.DUMMYFUNCTION("SPLIT(E1087,"" "")"),"$")</f>
        <v>$</v>
      </c>
      <c r="G1087" s="2" t="str">
        <f>IFERROR(__xludf.DUMMYFUNCTION("""COMPUTED_VALUE"""),"cd")</f>
        <v>cd</v>
      </c>
      <c r="H1087" s="2" t="str">
        <f>IFERROR(__xludf.DUMMYFUNCTION("""COMPUTED_VALUE"""),"zdsvth")</f>
        <v>zdsvth</v>
      </c>
      <c r="I1087" s="2" t="str">
        <f t="shared" si="3"/>
        <v>#VALUE!</v>
      </c>
      <c r="J1087" s="2" t="str">
        <f>IFERROR(__xludf.DUMMYFUNCTION("SPLIT(I1087,"" "")"),"#VALUE!")</f>
        <v>#VALUE!</v>
      </c>
      <c r="M1087" s="2" t="b">
        <f t="shared" si="4"/>
        <v>0</v>
      </c>
      <c r="N1087" s="2" t="b">
        <f>IFERROR(__xludf.DUMMYFUNCTION("IF(AND(REGEXMATCH($G$4, ""cd""),M1087),N1086+J1087)"),FALSE)</f>
        <v>0</v>
      </c>
      <c r="O1087" s="2" t="str">
        <f t="shared" si="5"/>
        <v>#N/A</v>
      </c>
    </row>
    <row r="1088">
      <c r="A1088" s="1" t="s">
        <v>2</v>
      </c>
      <c r="B1088" s="2" t="str">
        <f t="shared" si="1"/>
        <v>#VALUE!</v>
      </c>
      <c r="C1088" s="2" t="str">
        <f>IFERROR(__xludf.DUMMYFUNCTION("SPLIT(B1088,"" "")"),"#VALUE!")</f>
        <v>#VALUE!</v>
      </c>
      <c r="E1088" s="2" t="str">
        <f t="shared" si="2"/>
        <v>#VALUE!</v>
      </c>
      <c r="F1088" s="2" t="str">
        <f>IFERROR(__xludf.DUMMYFUNCTION("SPLIT(E1088,"" "")"),"#VALUE!")</f>
        <v>#VALUE!</v>
      </c>
      <c r="I1088" s="2" t="str">
        <f t="shared" si="3"/>
        <v>#VALUE!</v>
      </c>
      <c r="J1088" s="2" t="str">
        <f>IFERROR(__xludf.DUMMYFUNCTION("SPLIT(I1088,"" "")"),"#VALUE!")</f>
        <v>#VALUE!</v>
      </c>
      <c r="M1088" s="2" t="b">
        <f t="shared" si="4"/>
        <v>0</v>
      </c>
      <c r="N1088" s="2" t="b">
        <f>IFERROR(__xludf.DUMMYFUNCTION("IF(AND(REGEXMATCH($G$4, ""cd""),M1088),N1087+J1088)"),FALSE)</f>
        <v>0</v>
      </c>
      <c r="O1088" s="2" t="str">
        <f t="shared" si="5"/>
        <v>#N/A</v>
      </c>
    </row>
    <row r="1089">
      <c r="A1089" s="1" t="s">
        <v>600</v>
      </c>
      <c r="B1089" s="2" t="str">
        <f t="shared" si="1"/>
        <v>#VALUE!</v>
      </c>
      <c r="C1089" s="2" t="str">
        <f>IFERROR(__xludf.DUMMYFUNCTION("SPLIT(B1089,"" "")"),"#VALUE!")</f>
        <v>#VALUE!</v>
      </c>
      <c r="E1089" s="2" t="str">
        <f t="shared" si="2"/>
        <v>#VALUE!</v>
      </c>
      <c r="F1089" s="2" t="str">
        <f>IFERROR(__xludf.DUMMYFUNCTION("SPLIT(E1089,"" "")"),"#VALUE!")</f>
        <v>#VALUE!</v>
      </c>
      <c r="I1089" s="2" t="str">
        <f t="shared" si="3"/>
        <v>150609 jnwr.rtr</v>
      </c>
      <c r="J1089" s="2">
        <f>IFERROR(__xludf.DUMMYFUNCTION("SPLIT(I1089,"" "")"),150609.0)</f>
        <v>150609</v>
      </c>
      <c r="K1089" s="2" t="str">
        <f>IFERROR(__xludf.DUMMYFUNCTION("""COMPUTED_VALUE"""),"jnwr.rtr")</f>
        <v>jnwr.rtr</v>
      </c>
      <c r="M1089" s="2" t="b">
        <f t="shared" si="4"/>
        <v>1</v>
      </c>
      <c r="N1089" s="2">
        <f>IFERROR(__xludf.DUMMYFUNCTION("IF(AND(REGEXMATCH($G$4, ""cd""),M1089),N1088+J1089)"),150609.0)</f>
        <v>150609</v>
      </c>
      <c r="O1089" s="2" t="str">
        <f t="shared" si="5"/>
        <v>#N/A</v>
      </c>
    </row>
    <row r="1090">
      <c r="A1090" s="1" t="s">
        <v>601</v>
      </c>
      <c r="B1090" s="2" t="str">
        <f t="shared" si="1"/>
        <v>#VALUE!</v>
      </c>
      <c r="C1090" s="2" t="str">
        <f>IFERROR(__xludf.DUMMYFUNCTION("SPLIT(B1090,"" "")"),"#VALUE!")</f>
        <v>#VALUE!</v>
      </c>
      <c r="E1090" s="2" t="str">
        <f t="shared" si="2"/>
        <v>#VALUE!</v>
      </c>
      <c r="F1090" s="2" t="str">
        <f>IFERROR(__xludf.DUMMYFUNCTION("SPLIT(E1090,"" "")"),"#VALUE!")</f>
        <v>#VALUE!</v>
      </c>
      <c r="I1090" s="2" t="str">
        <f t="shared" si="3"/>
        <v>173402 nftm.nwd</v>
      </c>
      <c r="J1090" s="2">
        <f>IFERROR(__xludf.DUMMYFUNCTION("SPLIT(I1090,"" "")"),173402.0)</f>
        <v>173402</v>
      </c>
      <c r="K1090" s="2" t="str">
        <f>IFERROR(__xludf.DUMMYFUNCTION("""COMPUTED_VALUE"""),"nftm.nwd")</f>
        <v>nftm.nwd</v>
      </c>
      <c r="M1090" s="2" t="b">
        <f t="shared" si="4"/>
        <v>1</v>
      </c>
      <c r="N1090" s="2">
        <f>IFERROR(__xludf.DUMMYFUNCTION("IF(AND(REGEXMATCH($G$4, ""cd""),M1090),N1089+J1090)"),324011.0)</f>
        <v>324011</v>
      </c>
      <c r="O1090" s="2" t="str">
        <f t="shared" si="5"/>
        <v>#N/A</v>
      </c>
    </row>
    <row r="1091">
      <c r="A1091" s="1" t="s">
        <v>602</v>
      </c>
      <c r="B1091" s="2" t="str">
        <f t="shared" si="1"/>
        <v>dir njhjrgmf</v>
      </c>
      <c r="C1091" s="2" t="str">
        <f>IFERROR(__xludf.DUMMYFUNCTION("SPLIT(B1091,"" "")"),"dir")</f>
        <v>dir</v>
      </c>
      <c r="D1091" s="2" t="str">
        <f>IFERROR(__xludf.DUMMYFUNCTION("""COMPUTED_VALUE"""),"njhjrgmf")</f>
        <v>njhjrgmf</v>
      </c>
      <c r="E1091" s="2" t="str">
        <f t="shared" si="2"/>
        <v>#VALUE!</v>
      </c>
      <c r="F1091" s="2" t="str">
        <f>IFERROR(__xludf.DUMMYFUNCTION("SPLIT(E1091,"" "")"),"#VALUE!")</f>
        <v>#VALUE!</v>
      </c>
      <c r="I1091" s="2" t="str">
        <f t="shared" si="3"/>
        <v>#VALUE!</v>
      </c>
      <c r="J1091" s="2" t="str">
        <f>IFERROR(__xludf.DUMMYFUNCTION("SPLIT(I1091,"" "")"),"#VALUE!")</f>
        <v>#VALUE!</v>
      </c>
      <c r="M1091" s="2" t="b">
        <f t="shared" si="4"/>
        <v>0</v>
      </c>
      <c r="N1091" s="2" t="b">
        <f>IFERROR(__xludf.DUMMYFUNCTION("IF(AND(REGEXMATCH($G$4, ""cd""),M1091),N1090+J1091)"),FALSE)</f>
        <v>0</v>
      </c>
      <c r="O1091" s="2" t="str">
        <f t="shared" si="5"/>
        <v>#N/A</v>
      </c>
    </row>
    <row r="1092">
      <c r="A1092" s="1" t="s">
        <v>603</v>
      </c>
      <c r="B1092" s="2" t="str">
        <f t="shared" si="1"/>
        <v>#VALUE!</v>
      </c>
      <c r="C1092" s="2" t="str">
        <f>IFERROR(__xludf.DUMMYFUNCTION("SPLIT(B1092,"" "")"),"#VALUE!")</f>
        <v>#VALUE!</v>
      </c>
      <c r="E1092" s="2" t="str">
        <f t="shared" si="2"/>
        <v>$ cd njhjrgmf</v>
      </c>
      <c r="F1092" s="2" t="str">
        <f>IFERROR(__xludf.DUMMYFUNCTION("SPLIT(E1092,"" "")"),"$")</f>
        <v>$</v>
      </c>
      <c r="G1092" s="2" t="str">
        <f>IFERROR(__xludf.DUMMYFUNCTION("""COMPUTED_VALUE"""),"cd")</f>
        <v>cd</v>
      </c>
      <c r="H1092" s="2" t="str">
        <f>IFERROR(__xludf.DUMMYFUNCTION("""COMPUTED_VALUE"""),"njhjrgmf")</f>
        <v>njhjrgmf</v>
      </c>
      <c r="I1092" s="2" t="str">
        <f t="shared" si="3"/>
        <v>#VALUE!</v>
      </c>
      <c r="J1092" s="2" t="str">
        <f>IFERROR(__xludf.DUMMYFUNCTION("SPLIT(I1092,"" "")"),"#VALUE!")</f>
        <v>#VALUE!</v>
      </c>
      <c r="M1092" s="2" t="b">
        <f t="shared" si="4"/>
        <v>0</v>
      </c>
      <c r="N1092" s="2" t="b">
        <f>IFERROR(__xludf.DUMMYFUNCTION("IF(AND(REGEXMATCH($G$4, ""cd""),M1092),N1091+J1092)"),FALSE)</f>
        <v>0</v>
      </c>
      <c r="O1092" s="2" t="str">
        <f t="shared" si="5"/>
        <v>#N/A</v>
      </c>
    </row>
    <row r="1093">
      <c r="A1093" s="1" t="s">
        <v>2</v>
      </c>
      <c r="B1093" s="2" t="str">
        <f t="shared" si="1"/>
        <v>#VALUE!</v>
      </c>
      <c r="C1093" s="2" t="str">
        <f>IFERROR(__xludf.DUMMYFUNCTION("SPLIT(B1093,"" "")"),"#VALUE!")</f>
        <v>#VALUE!</v>
      </c>
      <c r="E1093" s="2" t="str">
        <f t="shared" si="2"/>
        <v>#VALUE!</v>
      </c>
      <c r="F1093" s="2" t="str">
        <f>IFERROR(__xludf.DUMMYFUNCTION("SPLIT(E1093,"" "")"),"#VALUE!")</f>
        <v>#VALUE!</v>
      </c>
      <c r="I1093" s="2" t="str">
        <f t="shared" si="3"/>
        <v>#VALUE!</v>
      </c>
      <c r="J1093" s="2" t="str">
        <f>IFERROR(__xludf.DUMMYFUNCTION("SPLIT(I1093,"" "")"),"#VALUE!")</f>
        <v>#VALUE!</v>
      </c>
      <c r="M1093" s="2" t="b">
        <f t="shared" si="4"/>
        <v>0</v>
      </c>
      <c r="N1093" s="2" t="b">
        <f>IFERROR(__xludf.DUMMYFUNCTION("IF(AND(REGEXMATCH($G$4, ""cd""),M1093),N1092+J1093)"),FALSE)</f>
        <v>0</v>
      </c>
      <c r="O1093" s="2" t="str">
        <f t="shared" si="5"/>
        <v>#N/A</v>
      </c>
    </row>
    <row r="1094">
      <c r="A1094" s="1" t="s">
        <v>604</v>
      </c>
      <c r="B1094" s="2" t="str">
        <f t="shared" si="1"/>
        <v>#VALUE!</v>
      </c>
      <c r="C1094" s="2" t="str">
        <f>IFERROR(__xludf.DUMMYFUNCTION("SPLIT(B1094,"" "")"),"#VALUE!")</f>
        <v>#VALUE!</v>
      </c>
      <c r="E1094" s="2" t="str">
        <f t="shared" si="2"/>
        <v>#VALUE!</v>
      </c>
      <c r="F1094" s="2" t="str">
        <f>IFERROR(__xludf.DUMMYFUNCTION("SPLIT(E1094,"" "")"),"#VALUE!")</f>
        <v>#VALUE!</v>
      </c>
      <c r="I1094" s="2" t="str">
        <f t="shared" si="3"/>
        <v>295762 nchztlh.lcs</v>
      </c>
      <c r="J1094" s="2">
        <f>IFERROR(__xludf.DUMMYFUNCTION("SPLIT(I1094,"" "")"),295762.0)</f>
        <v>295762</v>
      </c>
      <c r="K1094" s="2" t="str">
        <f>IFERROR(__xludf.DUMMYFUNCTION("""COMPUTED_VALUE"""),"nchztlh.lcs")</f>
        <v>nchztlh.lcs</v>
      </c>
      <c r="M1094" s="2" t="b">
        <f t="shared" si="4"/>
        <v>1</v>
      </c>
      <c r="N1094" s="2">
        <f>IFERROR(__xludf.DUMMYFUNCTION("IF(AND(REGEXMATCH($G$4, ""cd""),M1094),N1093+J1094)"),295762.0)</f>
        <v>295762</v>
      </c>
      <c r="O1094" s="2" t="str">
        <f t="shared" si="5"/>
        <v>#N/A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6.63"/>
    <col customWidth="1" min="5" max="5" width="37.75"/>
  </cols>
  <sheetData>
    <row r="1">
      <c r="A1" s="1"/>
    </row>
    <row r="2">
      <c r="A2" s="1"/>
    </row>
    <row r="3">
      <c r="A3" s="1" t="s">
        <v>605</v>
      </c>
      <c r="B3" s="2" t="str">
        <f>IFERROR(__xludf.DUMMYFUNCTION("SPLIT(A3,"" "")"),"$cd")</f>
        <v>$cd</v>
      </c>
      <c r="C3" s="2" t="str">
        <f>IFERROR(__xludf.DUMMYFUNCTION("""COMPUTED_VALUE"""),"/")</f>
        <v>/</v>
      </c>
      <c r="D3" s="3" t="s">
        <v>606</v>
      </c>
      <c r="E3" s="2" t="str">
        <f>IFERROR(__xludf.DUMMYFUNCTION("UNIQUE(D:D)"),"")</f>
        <v/>
      </c>
      <c r="G3" s="3" t="s">
        <v>607</v>
      </c>
      <c r="I3" s="3" t="s">
        <v>608</v>
      </c>
    </row>
    <row r="4">
      <c r="A4" s="1" t="s">
        <v>609</v>
      </c>
      <c r="B4" s="2" t="str">
        <f>IFERROR(__xludf.DUMMYFUNCTION("SPLIT(A4,"" "")"),"$ls")</f>
        <v>$ls</v>
      </c>
      <c r="D4" s="3" t="s">
        <v>606</v>
      </c>
      <c r="E4" s="2" t="str">
        <f>IFERROR(__xludf.DUMMYFUNCTION("""COMPUTED_VALUE"""),"/")</f>
        <v>/</v>
      </c>
      <c r="F4" s="2">
        <f t="shared" ref="F4:F203" si="1">SUMIF(D:D,CONCATENATE(E2,"*"),B:B)</f>
        <v>46592386</v>
      </c>
      <c r="G4" s="2">
        <f>SUMIF(F:F,"&lt;=100000")</f>
        <v>1642503</v>
      </c>
      <c r="I4" s="2">
        <f>70000000-F4</f>
        <v>23407614</v>
      </c>
      <c r="K4" s="2">
        <f t="array" ref="K4:K1096">SORT(F:F)</f>
        <v>4624</v>
      </c>
    </row>
    <row r="5">
      <c r="A5" s="1" t="s">
        <v>3</v>
      </c>
      <c r="B5" s="2" t="str">
        <f>IFERROR(__xludf.DUMMYFUNCTION("SPLIT(A5,"" "")"),"dir")</f>
        <v>dir</v>
      </c>
      <c r="C5" s="2" t="str">
        <f>IFERROR(__xludf.DUMMYFUNCTION("""COMPUTED_VALUE"""),"fts")</f>
        <v>fts</v>
      </c>
      <c r="D5" s="3" t="s">
        <v>606</v>
      </c>
      <c r="E5" s="2" t="str">
        <f>IFERROR(__xludf.DUMMYFUNCTION("""COMPUTED_VALUE"""),"//fts")</f>
        <v>//fts</v>
      </c>
      <c r="F5" s="2">
        <f t="shared" si="1"/>
        <v>46592386</v>
      </c>
      <c r="I5" s="2">
        <f>30000000-I4</f>
        <v>6592386</v>
      </c>
      <c r="K5" s="2">
        <v>6432.0</v>
      </c>
    </row>
    <row r="6">
      <c r="A6" s="1" t="s">
        <v>4</v>
      </c>
      <c r="B6" s="2" t="str">
        <f>IFERROR(__xludf.DUMMYFUNCTION("SPLIT(A6,"" "")"),"dir")</f>
        <v>dir</v>
      </c>
      <c r="C6" s="2" t="str">
        <f>IFERROR(__xludf.DUMMYFUNCTION("""COMPUTED_VALUE"""),"jnwr")</f>
        <v>jnwr</v>
      </c>
      <c r="D6" s="3" t="s">
        <v>606</v>
      </c>
      <c r="E6" s="2" t="str">
        <f>IFERROR(__xludf.DUMMYFUNCTION("""COMPUTED_VALUE"""),"//fts/dlqtffw")</f>
        <v>//fts/dlqtffw</v>
      </c>
      <c r="F6" s="2">
        <f t="shared" si="1"/>
        <v>46592386</v>
      </c>
      <c r="I6" s="2">
        <f t="array" ref="I6">XLOOKUP(I5,K:K,K:K,"Yea nah",1,2)</f>
        <v>6999588</v>
      </c>
      <c r="K6" s="2">
        <v>8052.0</v>
      </c>
    </row>
    <row r="7">
      <c r="A7" s="1" t="s">
        <v>5</v>
      </c>
      <c r="B7" s="2" t="str">
        <f>IFERROR(__xludf.DUMMYFUNCTION("SPLIT(A7,"" "")"),"dir")</f>
        <v>dir</v>
      </c>
      <c r="C7" s="2" t="str">
        <f>IFERROR(__xludf.DUMMYFUNCTION("""COMPUTED_VALUE"""),"lrvl")</f>
        <v>lrvl</v>
      </c>
      <c r="D7" s="3" t="s">
        <v>606</v>
      </c>
      <c r="E7" s="2" t="str">
        <f>IFERROR(__xludf.DUMMYFUNCTION("""COMPUTED_VALUE"""),"//fts/rbfmmjvd")</f>
        <v>//fts/rbfmmjvd</v>
      </c>
      <c r="F7" s="2">
        <f t="shared" si="1"/>
        <v>618943</v>
      </c>
      <c r="K7" s="2">
        <v>11732.0</v>
      </c>
    </row>
    <row r="8">
      <c r="A8" s="1" t="s">
        <v>6</v>
      </c>
      <c r="B8" s="2" t="str">
        <f>IFERROR(__xludf.DUMMYFUNCTION("SPLIT(A8,"" "")"),"dir")</f>
        <v>dir</v>
      </c>
      <c r="C8" s="2" t="str">
        <f>IFERROR(__xludf.DUMMYFUNCTION("""COMPUTED_VALUE"""),"nzgprvw")</f>
        <v>nzgprvw</v>
      </c>
      <c r="D8" s="3" t="s">
        <v>606</v>
      </c>
      <c r="E8" s="2" t="str">
        <f>IFERROR(__xludf.DUMMYFUNCTION("""COMPUTED_VALUE"""),"//jnwr")</f>
        <v>//jnwr</v>
      </c>
      <c r="F8" s="2">
        <f t="shared" si="1"/>
        <v>73533</v>
      </c>
      <c r="K8" s="2">
        <v>14084.0</v>
      </c>
    </row>
    <row r="9">
      <c r="A9" s="1" t="s">
        <v>7</v>
      </c>
      <c r="B9" s="2" t="str">
        <f>IFERROR(__xludf.DUMMYFUNCTION("SPLIT(A9,"" "")"),"dir")</f>
        <v>dir</v>
      </c>
      <c r="C9" s="2" t="str">
        <f>IFERROR(__xludf.DUMMYFUNCTION("""COMPUTED_VALUE"""),"snwqjgj")</f>
        <v>snwqjgj</v>
      </c>
      <c r="D9" s="3" t="s">
        <v>606</v>
      </c>
      <c r="E9" s="2" t="str">
        <f>IFERROR(__xludf.DUMMYFUNCTION("""COMPUTED_VALUE"""),"//jnwr/wbv")</f>
        <v>//jnwr/wbv</v>
      </c>
      <c r="F9" s="2">
        <f t="shared" si="1"/>
        <v>290697</v>
      </c>
      <c r="K9" s="2">
        <v>15911.0</v>
      </c>
    </row>
    <row r="10">
      <c r="A10" s="1" t="s">
        <v>8</v>
      </c>
      <c r="B10" s="2">
        <f>IFERROR(__xludf.DUMMYFUNCTION("SPLIT(A10,"" "")"),16394.0)</f>
        <v>16394</v>
      </c>
      <c r="C10" s="2" t="str">
        <f>IFERROR(__xludf.DUMMYFUNCTION("""COMPUTED_VALUE"""),"tllvcdr.sjl")</f>
        <v>tllvcdr.sjl</v>
      </c>
      <c r="D10" s="3" t="s">
        <v>606</v>
      </c>
      <c r="E10" s="2" t="str">
        <f>IFERROR(__xludf.DUMMYFUNCTION("""COMPUTED_VALUE"""),"//jnwr/wbv/nmdwbnnr")</f>
        <v>//jnwr/wbv/nmdwbnnr</v>
      </c>
      <c r="F10" s="2">
        <f t="shared" si="1"/>
        <v>851171</v>
      </c>
      <c r="K10" s="2">
        <v>17776.0</v>
      </c>
    </row>
    <row r="11">
      <c r="A11" s="1" t="s">
        <v>9</v>
      </c>
      <c r="B11" s="2">
        <f>IFERROR(__xludf.DUMMYFUNCTION("SPLIT(A11,"" "")"),195891.0)</f>
        <v>195891</v>
      </c>
      <c r="C11" s="2" t="str">
        <f>IFERROR(__xludf.DUMMYFUNCTION("""COMPUTED_VALUE"""),"zbdp.gqb")</f>
        <v>zbdp.gqb</v>
      </c>
      <c r="D11" s="3" t="s">
        <v>606</v>
      </c>
      <c r="E11" s="2" t="str">
        <f>IFERROR(__xludf.DUMMYFUNCTION("""COMPUTED_VALUE"""),"//jnwr/zzbvdcf")</f>
        <v>//jnwr/zzbvdcf</v>
      </c>
      <c r="F11" s="2">
        <f t="shared" si="1"/>
        <v>461954</v>
      </c>
      <c r="K11" s="2">
        <v>20405.0</v>
      </c>
    </row>
    <row r="12">
      <c r="A12" s="1" t="s">
        <v>10</v>
      </c>
      <c r="B12" s="2" t="str">
        <f>IFERROR(__xludf.DUMMYFUNCTION("SPLIT(A12,"" "")"),"dir")</f>
        <v>dir</v>
      </c>
      <c r="C12" s="2" t="str">
        <f>IFERROR(__xludf.DUMMYFUNCTION("""COMPUTED_VALUE"""),"zddrb")</f>
        <v>zddrb</v>
      </c>
      <c r="D12" s="3" t="s">
        <v>606</v>
      </c>
      <c r="E12" s="2" t="str">
        <f>IFERROR(__xludf.DUMMYFUNCTION("""COMPUTED_VALUE"""),"//lrvl")</f>
        <v>//lrvl</v>
      </c>
      <c r="F12" s="2">
        <f t="shared" si="1"/>
        <v>208370</v>
      </c>
      <c r="K12" s="2">
        <v>20405.0</v>
      </c>
    </row>
    <row r="13">
      <c r="A13" s="1" t="s">
        <v>610</v>
      </c>
      <c r="B13" s="2" t="str">
        <f>IFERROR(__xludf.DUMMYFUNCTION("SPLIT(A13,"" "")"),"$cd")</f>
        <v>$cd</v>
      </c>
      <c r="C13" s="2" t="str">
        <f>IFERROR(__xludf.DUMMYFUNCTION("""COMPUTED_VALUE"""),"fts")</f>
        <v>fts</v>
      </c>
      <c r="D13" s="2" t="str">
        <f t="shared" ref="D13:D20" si="2">IF(B13="$cd",CONCATENATE(D12,"/",C13),D12)</f>
        <v>//fts</v>
      </c>
      <c r="E13" s="2" t="str">
        <f>IFERROR(__xludf.DUMMYFUNCTION("""COMPUTED_VALUE"""),"//lrvl/bqqltcg")</f>
        <v>//lrvl/bqqltcg</v>
      </c>
      <c r="F13" s="2">
        <f t="shared" si="1"/>
        <v>8052</v>
      </c>
      <c r="K13" s="2">
        <v>27250.0</v>
      </c>
    </row>
    <row r="14">
      <c r="A14" s="1" t="s">
        <v>609</v>
      </c>
      <c r="B14" s="2" t="str">
        <f>IFERROR(__xludf.DUMMYFUNCTION("SPLIT(A14,"" "")"),"$ls")</f>
        <v>$ls</v>
      </c>
      <c r="D14" s="2" t="str">
        <f t="shared" si="2"/>
        <v>//fts</v>
      </c>
      <c r="E14" s="2" t="str">
        <f>IFERROR(__xludf.DUMMYFUNCTION("""COMPUTED_VALUE"""),"//lrvl/bqqltcg/dlbjblbf")</f>
        <v>//lrvl/bqqltcg/dlbjblbf</v>
      </c>
      <c r="F14" s="2">
        <f t="shared" si="1"/>
        <v>22022022</v>
      </c>
      <c r="K14" s="2">
        <v>28438.0</v>
      </c>
    </row>
    <row r="15">
      <c r="A15" s="1" t="s">
        <v>12</v>
      </c>
      <c r="B15" s="2" t="str">
        <f>IFERROR(__xludf.DUMMYFUNCTION("SPLIT(A15,"" "")"),"dir")</f>
        <v>dir</v>
      </c>
      <c r="C15" s="2" t="str">
        <f>IFERROR(__xludf.DUMMYFUNCTION("""COMPUTED_VALUE"""),"dlqtffw")</f>
        <v>dlqtffw</v>
      </c>
      <c r="D15" s="2" t="str">
        <f t="shared" si="2"/>
        <v>//fts</v>
      </c>
      <c r="E15" s="2" t="str">
        <f>IFERROR(__xludf.DUMMYFUNCTION("""COMPUTED_VALUE"""),"//lrvl/bqqltcg/fdlw")</f>
        <v>//lrvl/bqqltcg/fdlw</v>
      </c>
      <c r="F15" s="2">
        <f t="shared" si="1"/>
        <v>2980003</v>
      </c>
      <c r="K15" s="2">
        <v>31665.0</v>
      </c>
    </row>
    <row r="16">
      <c r="A16" s="1" t="s">
        <v>13</v>
      </c>
      <c r="B16" s="2" t="str">
        <f>IFERROR(__xludf.DUMMYFUNCTION("SPLIT(A16,"" "")"),"dir")</f>
        <v>dir</v>
      </c>
      <c r="C16" s="2" t="str">
        <f>IFERROR(__xludf.DUMMYFUNCTION("""COMPUTED_VALUE"""),"rbfmmjvd")</f>
        <v>rbfmmjvd</v>
      </c>
      <c r="D16" s="2" t="str">
        <f t="shared" si="2"/>
        <v>//fts</v>
      </c>
      <c r="E16" s="2" t="str">
        <f>IFERROR(__xludf.DUMMYFUNCTION("""COMPUTED_VALUE"""),"//lrvl/bqqltcg/fdlw/hlvpfw")</f>
        <v>//lrvl/bqqltcg/fdlw/hlvpfw</v>
      </c>
      <c r="F16" s="2">
        <f t="shared" si="1"/>
        <v>11732</v>
      </c>
      <c r="K16" s="2">
        <v>37106.0</v>
      </c>
    </row>
    <row r="17">
      <c r="A17" s="1" t="s">
        <v>14</v>
      </c>
      <c r="B17" s="2">
        <f>IFERROR(__xludf.DUMMYFUNCTION("SPLIT(A17,"" "")"),254713.0)</f>
        <v>254713</v>
      </c>
      <c r="C17" s="2" t="str">
        <f>IFERROR(__xludf.DUMMYFUNCTION("""COMPUTED_VALUE"""),"wvwhrb.dhh")</f>
        <v>wvwhrb.dhh</v>
      </c>
      <c r="D17" s="2" t="str">
        <f t="shared" si="2"/>
        <v>//fts</v>
      </c>
      <c r="E17" s="2" t="str">
        <f>IFERROR(__xludf.DUMMYFUNCTION("""COMPUTED_VALUE"""),"//lrvl/bqqltcg/fdlw/hlvpfw/dhwq")</f>
        <v>//lrvl/bqqltcg/fdlw/hlvpfw/dhwq</v>
      </c>
      <c r="F17" s="2">
        <f t="shared" si="1"/>
        <v>414205</v>
      </c>
      <c r="K17" s="2">
        <v>37528.0</v>
      </c>
    </row>
    <row r="18">
      <c r="A18" s="1" t="s">
        <v>611</v>
      </c>
      <c r="B18" s="2" t="str">
        <f>IFERROR(__xludf.DUMMYFUNCTION("SPLIT(A18,"" "")"),"$cd")</f>
        <v>$cd</v>
      </c>
      <c r="C18" s="2" t="str">
        <f>IFERROR(__xludf.DUMMYFUNCTION("""COMPUTED_VALUE"""),"dlqtffw")</f>
        <v>dlqtffw</v>
      </c>
      <c r="D18" s="2" t="str">
        <f t="shared" si="2"/>
        <v>//fts/dlqtffw</v>
      </c>
      <c r="E18" s="2" t="str">
        <f>IFERROR(__xludf.DUMMYFUNCTION("""COMPUTED_VALUE"""),"//lrvl/bqqltcg/jnwr")</f>
        <v>//lrvl/bqqltcg/jnwr</v>
      </c>
      <c r="F18" s="2">
        <f t="shared" si="1"/>
        <v>185769</v>
      </c>
      <c r="K18" s="2">
        <v>44434.0</v>
      </c>
    </row>
    <row r="19">
      <c r="A19" s="1" t="s">
        <v>609</v>
      </c>
      <c r="B19" s="2" t="str">
        <f>IFERROR(__xludf.DUMMYFUNCTION("SPLIT(A19,"" "")"),"$ls")</f>
        <v>$ls</v>
      </c>
      <c r="D19" s="2" t="str">
        <f t="shared" si="2"/>
        <v>//fts/dlqtffw</v>
      </c>
      <c r="E19" s="2" t="str">
        <f>IFERROR(__xludf.DUMMYFUNCTION("""COMPUTED_VALUE"""),"//lrvl/bqqltcg/slzdbm")</f>
        <v>//lrvl/bqqltcg/slzdbm</v>
      </c>
      <c r="F19" s="2">
        <f t="shared" si="1"/>
        <v>185769</v>
      </c>
      <c r="K19" s="2">
        <v>44509.0</v>
      </c>
    </row>
    <row r="20">
      <c r="A20" s="1" t="s">
        <v>16</v>
      </c>
      <c r="B20" s="2">
        <f>IFERROR(__xludf.DUMMYFUNCTION("SPLIT(A20,"" "")"),73533.0)</f>
        <v>73533</v>
      </c>
      <c r="C20" s="2" t="str">
        <f>IFERROR(__xludf.DUMMYFUNCTION("""COMPUTED_VALUE"""),"nqbvg.fgd")</f>
        <v>nqbvg.fgd</v>
      </c>
      <c r="D20" s="2" t="str">
        <f t="shared" si="2"/>
        <v>//fts/dlqtffw</v>
      </c>
      <c r="E20" s="2" t="str">
        <f>IFERROR(__xludf.DUMMYFUNCTION("""COMPUTED_VALUE"""),"//lrvl/bqqltcg/zcgrgff")</f>
        <v>//lrvl/bqqltcg/zcgrgff</v>
      </c>
      <c r="F20" s="2">
        <f t="shared" si="1"/>
        <v>521337</v>
      </c>
      <c r="K20" s="2">
        <v>46435.0</v>
      </c>
    </row>
    <row r="21">
      <c r="A21" s="1" t="s">
        <v>612</v>
      </c>
      <c r="B21" s="2" t="str">
        <f>IFERROR(__xludf.DUMMYFUNCTION("SPLIT(A21,"" "")"),"$cd")</f>
        <v>$cd</v>
      </c>
      <c r="C21" s="2" t="str">
        <f>IFERROR(__xludf.DUMMYFUNCTION("""COMPUTED_VALUE"""),"..")</f>
        <v>..</v>
      </c>
      <c r="D21" s="2" t="str">
        <f>IFERROR(__xludf.DUMMYFUNCTION("IF(AND(B21=""$cd"",C21&lt;&gt;""..""),CONCATENATE(D20,""/"",C21),IF(C21="".."",MID(D20,1,LEN(D20)-LEN(REGEXEXTRACT(D20,""(/\w*)$"")))))"),"//fts")</f>
        <v>//fts</v>
      </c>
      <c r="E21" s="2" t="str">
        <f>IFERROR(__xludf.DUMMYFUNCTION("""COMPUTED_VALUE"""),"//lrvl/bqqltcg/zcgrgff/ztrslh")</f>
        <v>//lrvl/bqqltcg/zcgrgff/ztrslh</v>
      </c>
      <c r="F21" s="2">
        <f t="shared" si="1"/>
        <v>161906</v>
      </c>
      <c r="K21" s="2">
        <v>46435.0</v>
      </c>
    </row>
    <row r="22">
      <c r="A22" s="1" t="s">
        <v>613</v>
      </c>
      <c r="B22" s="2" t="str">
        <f>IFERROR(__xludf.DUMMYFUNCTION("SPLIT(A22,"" "")"),"$cd")</f>
        <v>$cd</v>
      </c>
      <c r="C22" s="2" t="str">
        <f>IFERROR(__xludf.DUMMYFUNCTION("""COMPUTED_VALUE"""),"rbfmmjvd")</f>
        <v>rbfmmjvd</v>
      </c>
      <c r="D22" s="2" t="str">
        <f>IFERROR(__xludf.DUMMYFUNCTION("IF(AND(B22=""$cd"",C22&lt;&gt;""..""),CONCATENATE(D21,""/"",C22),IF(C22="".."",MID(D21,1,LEN(D21)-LEN(REGEXEXTRACT(D21,""(/\w*)$""))),D21))"),"//fts/rbfmmjvd")</f>
        <v>//fts/rbfmmjvd</v>
      </c>
      <c r="E22" s="2" t="str">
        <f>IFERROR(__xludf.DUMMYFUNCTION("""COMPUTED_VALUE"""),"//lrvl/bqqltcg/zcgrgff/ztrslh/bhzn")</f>
        <v>//lrvl/bqqltcg/zcgrgff/ztrslh/bhzn</v>
      </c>
      <c r="F22" s="2">
        <f t="shared" si="1"/>
        <v>1870823</v>
      </c>
      <c r="K22" s="2">
        <v>47133.0</v>
      </c>
    </row>
    <row r="23">
      <c r="A23" s="1" t="s">
        <v>609</v>
      </c>
      <c r="B23" s="2" t="str">
        <f>IFERROR(__xludf.DUMMYFUNCTION("SPLIT(A23,"" "")"),"$ls")</f>
        <v>$ls</v>
      </c>
      <c r="D23" s="2" t="str">
        <f>IFERROR(__xludf.DUMMYFUNCTION("IF(AND(B23=""$cd"",C23&lt;&gt;""..""),CONCATENATE(D22,""/"",C23),IF(C23="".."",MID(D22,1,LEN(D22)-LEN(REGEXEXTRACT(D22,""(/\w*)$""))),D22))"),"//fts/rbfmmjvd")</f>
        <v>//fts/rbfmmjvd</v>
      </c>
      <c r="E23" s="2" t="str">
        <f>IFERROR(__xludf.DUMMYFUNCTION("""COMPUTED_VALUE"""),"//lrvl/bqqltcg/zcgrgff/ztrslh/slzdbm")</f>
        <v>//lrvl/bqqltcg/zcgrgff/ztrslh/slzdbm</v>
      </c>
      <c r="F23" s="2">
        <f t="shared" si="1"/>
        <v>1584583</v>
      </c>
      <c r="K23" s="2">
        <v>47204.0</v>
      </c>
    </row>
    <row r="24">
      <c r="A24" s="1" t="s">
        <v>19</v>
      </c>
      <c r="B24" s="2">
        <f>IFERROR(__xludf.DUMMYFUNCTION("SPLIT(A24,"" "")"),290697.0)</f>
        <v>290697</v>
      </c>
      <c r="C24" s="2" t="str">
        <f>IFERROR(__xludf.DUMMYFUNCTION("""COMPUTED_VALUE"""),"zcgrgff.fnf")</f>
        <v>zcgrgff.fnf</v>
      </c>
      <c r="D24" s="2" t="str">
        <f>IFERROR(__xludf.DUMMYFUNCTION("IF(AND(B24=""$cd"",C24&lt;&gt;""..""),CONCATENATE(D23,""/"",C24),IF(C24="".."",MID(D23,1,LEN(D23)-LEN(REGEXEXTRACT(D23,""(/\w*)$""))),D23))"),"//fts/rbfmmjvd")</f>
        <v>//fts/rbfmmjvd</v>
      </c>
      <c r="E24" s="2" t="str">
        <f>IFERROR(__xludf.DUMMYFUNCTION("""COMPUTED_VALUE"""),"//lrvl/bqqltcg/zcgrgff/ztrslh/szrth")</f>
        <v>//lrvl/bqqltcg/zcgrgff/ztrslh/szrth</v>
      </c>
      <c r="F24" s="2">
        <f t="shared" si="1"/>
        <v>221254</v>
      </c>
      <c r="K24" s="2">
        <v>49186.0</v>
      </c>
    </row>
    <row r="25">
      <c r="A25" s="1" t="s">
        <v>612</v>
      </c>
      <c r="B25" s="2" t="str">
        <f>IFERROR(__xludf.DUMMYFUNCTION("SPLIT(A25,"" "")"),"$cd")</f>
        <v>$cd</v>
      </c>
      <c r="C25" s="2" t="str">
        <f>IFERROR(__xludf.DUMMYFUNCTION("""COMPUTED_VALUE"""),"..")</f>
        <v>..</v>
      </c>
      <c r="D25" s="2" t="str">
        <f>IFERROR(__xludf.DUMMYFUNCTION("IF(AND(B25=""$cd"",C25&lt;&gt;""..""),CONCATENATE(D24,""/"",C25),IF(C25="".."",MID(D24,1,LEN(D24)-LEN(REGEXEXTRACT(D24,""(/\w*)$""))),D24))"),"//fts")</f>
        <v>//fts</v>
      </c>
      <c r="E25" s="2" t="str">
        <f>IFERROR(__xludf.DUMMYFUNCTION("""COMPUTED_VALUE"""),"//lrvl/bqqltcg/zcgrgff/ztrslh/szrth/hpbbsq")</f>
        <v>//lrvl/bqqltcg/zcgrgff/ztrslh/szrth/hpbbsq</v>
      </c>
      <c r="F25" s="2">
        <f t="shared" si="1"/>
        <v>124928</v>
      </c>
      <c r="K25" s="2">
        <v>49287.0</v>
      </c>
    </row>
    <row r="26">
      <c r="A26" s="1" t="s">
        <v>612</v>
      </c>
      <c r="B26" s="2" t="str">
        <f>IFERROR(__xludf.DUMMYFUNCTION("SPLIT(A26,"" "")"),"$cd")</f>
        <v>$cd</v>
      </c>
      <c r="C26" s="2" t="str">
        <f>IFERROR(__xludf.DUMMYFUNCTION("""COMPUTED_VALUE"""),"..")</f>
        <v>..</v>
      </c>
      <c r="D26" s="2" t="str">
        <f>IFERROR(__xludf.DUMMYFUNCTION("IF(AND(B26=""$cd"",C26&lt;&gt;""..""),CONCATENATE(D25,""/"",C26),IF(C26="".."",MID(D25,1,LEN(D25)-LEN(REGEXEXTRACT(D25,""(/\w*)$""))),D25))"),"/")</f>
        <v>/</v>
      </c>
      <c r="E26" s="2" t="str">
        <f>IFERROR(__xludf.DUMMYFUNCTION("""COMPUTED_VALUE"""),"//lrvl/bqqltcg/zcgrgff/ztrslh/szrth/vlwlsdjp")</f>
        <v>//lrvl/bqqltcg/zcgrgff/ztrslh/szrth/vlwlsdjp</v>
      </c>
      <c r="F26" s="2">
        <f t="shared" si="1"/>
        <v>691294</v>
      </c>
      <c r="K26" s="2">
        <v>51223.0</v>
      </c>
    </row>
    <row r="27">
      <c r="A27" s="1" t="s">
        <v>614</v>
      </c>
      <c r="B27" s="2" t="str">
        <f>IFERROR(__xludf.DUMMYFUNCTION("SPLIT(A27,"" "")"),"$cd")</f>
        <v>$cd</v>
      </c>
      <c r="C27" s="2" t="str">
        <f>IFERROR(__xludf.DUMMYFUNCTION("""COMPUTED_VALUE"""),"jnwr")</f>
        <v>jnwr</v>
      </c>
      <c r="D27" s="2" t="str">
        <f>IFERROR(__xludf.DUMMYFUNCTION("IF(AND(B27=""$cd"",C27&lt;&gt;""..""),CONCATENATE(D26,""/"",C27),IF(C27="".."",MID(D26,1,LEN(D26)-LEN(REGEXEXTRACT(D26,""(/\w*)$""))),D26))"),"//jnwr")</f>
        <v>//jnwr</v>
      </c>
      <c r="E27" s="2" t="str">
        <f>IFERROR(__xludf.DUMMYFUNCTION("""COMPUTED_VALUE"""),"//lrvl/bqqltcg/zcgrgff/ztrslh/szrth/zcgrgff")</f>
        <v>//lrvl/bqqltcg/zcgrgff/ztrslh/szrth/zcgrgff</v>
      </c>
      <c r="F27" s="2">
        <f t="shared" si="1"/>
        <v>151717</v>
      </c>
      <c r="K27" s="2">
        <v>58981.0</v>
      </c>
    </row>
    <row r="28">
      <c r="A28" s="1" t="s">
        <v>609</v>
      </c>
      <c r="B28" s="2" t="str">
        <f>IFERROR(__xludf.DUMMYFUNCTION("SPLIT(A28,"" "")"),"$ls")</f>
        <v>$ls</v>
      </c>
      <c r="D28" s="2" t="str">
        <f>IFERROR(__xludf.DUMMYFUNCTION("IF(AND(B28=""$cd"",C28&lt;&gt;""..""),CONCATENATE(D27,""/"",C28),IF(C28="".."",MID(D27,1,LEN(D27)-LEN(REGEXEXTRACT(D27,""(/\w*)$""))),D27))"),"//jnwr")</f>
        <v>//jnwr</v>
      </c>
      <c r="E28" s="2" t="str">
        <f>IFERROR(__xludf.DUMMYFUNCTION("""COMPUTED_VALUE"""),"//lrvl/bqqltcg/zcgrgff/ztrslh/szrth/zcgrgff/zcgrgff")</f>
        <v>//lrvl/bqqltcg/zcgrgff/ztrslh/szrth/zcgrgff/zcgrgff</v>
      </c>
      <c r="F28" s="2">
        <f t="shared" si="1"/>
        <v>349982</v>
      </c>
      <c r="K28" s="2">
        <v>60750.0</v>
      </c>
    </row>
    <row r="29">
      <c r="A29" s="1" t="s">
        <v>21</v>
      </c>
      <c r="B29" s="2">
        <f>IFERROR(__xludf.DUMMYFUNCTION("SPLIT(A29,"" "")"),323577.0)</f>
        <v>323577</v>
      </c>
      <c r="C29" s="2" t="str">
        <f>IFERROR(__xludf.DUMMYFUNCTION("""COMPUTED_VALUE"""),"ghmtnzr")</f>
        <v>ghmtnzr</v>
      </c>
      <c r="D29" s="2" t="str">
        <f>IFERROR(__xludf.DUMMYFUNCTION("IF(AND(B29=""$cd"",C29&lt;&gt;""..""),CONCATENATE(D28,""/"",C29),IF(C29="".."",MID(D28,1,LEN(D28)-LEN(REGEXEXTRACT(D28,""(/\w*)$""))),D28))"),"//jnwr")</f>
        <v>//jnwr</v>
      </c>
      <c r="E29" s="2" t="str">
        <f>IFERROR(__xludf.DUMMYFUNCTION("""COMPUTED_VALUE"""),"//lrvl/bqqltcg/zcgrgff/ztrslh/zcp")</f>
        <v>//lrvl/bqqltcg/zcgrgff/ztrslh/zcp</v>
      </c>
      <c r="F29" s="2">
        <f t="shared" si="1"/>
        <v>189595</v>
      </c>
      <c r="K29" s="2">
        <v>63205.0</v>
      </c>
    </row>
    <row r="30">
      <c r="A30" s="1" t="s">
        <v>22</v>
      </c>
      <c r="B30" s="2">
        <f>IFERROR(__xludf.DUMMYFUNCTION("SPLIT(A30,"" "")"),57588.0)</f>
        <v>57588</v>
      </c>
      <c r="C30" s="2" t="str">
        <f>IFERROR(__xludf.DUMMYFUNCTION("""COMPUTED_VALUE"""),"tdcbdpnr")</f>
        <v>tdcbdpnr</v>
      </c>
      <c r="D30" s="2" t="str">
        <f>IFERROR(__xludf.DUMMYFUNCTION("IF(AND(B30=""$cd"",C30&lt;&gt;""..""),CONCATENATE(D29,""/"",C30),IF(C30="".."",MID(D29,1,LEN(D29)-LEN(REGEXEXTRACT(D29,""(/\w*)$""))),D29))"),"//jnwr")</f>
        <v>//jnwr</v>
      </c>
      <c r="E30" s="2" t="str">
        <f>IFERROR(__xludf.DUMMYFUNCTION("""COMPUTED_VALUE"""),"//lrvl/bqqltcg/zcgrgff/ztrslh/zcp/qdjtmwrr")</f>
        <v>//lrvl/bqqltcg/zcgrgff/ztrslh/zcp/qdjtmwrr</v>
      </c>
      <c r="F30" s="2">
        <f t="shared" si="1"/>
        <v>115955</v>
      </c>
      <c r="K30" s="2">
        <v>64408.0</v>
      </c>
    </row>
    <row r="31">
      <c r="A31" s="1" t="s">
        <v>23</v>
      </c>
      <c r="B31" s="2" t="str">
        <f>IFERROR(__xludf.DUMMYFUNCTION("SPLIT(A31,"" "")"),"dir")</f>
        <v>dir</v>
      </c>
      <c r="C31" s="2" t="str">
        <f>IFERROR(__xludf.DUMMYFUNCTION("""COMPUTED_VALUE"""),"wbv")</f>
        <v>wbv</v>
      </c>
      <c r="D31" s="2" t="str">
        <f>IFERROR(__xludf.DUMMYFUNCTION("IF(AND(B31=""$cd"",C31&lt;&gt;""..""),CONCATENATE(D30,""/"",C31),IF(C31="".."",MID(D30,1,LEN(D30)-LEN(REGEXEXTRACT(D30,""(/\w*)$""))),D30))"),"//jnwr")</f>
        <v>//jnwr</v>
      </c>
      <c r="E31" s="2" t="str">
        <f>IFERROR(__xludf.DUMMYFUNCTION("""COMPUTED_VALUE"""),"//lrvl/bqqltcg/zcgrgff/ztrslh/zcp/wpdjttm")</f>
        <v>//lrvl/bqqltcg/zcgrgff/ztrslh/zcp/wpdjttm</v>
      </c>
      <c r="F31" s="2">
        <f t="shared" si="1"/>
        <v>345940</v>
      </c>
      <c r="K31" s="2">
        <v>68393.0</v>
      </c>
    </row>
    <row r="32">
      <c r="A32" s="1" t="s">
        <v>24</v>
      </c>
      <c r="B32" s="2" t="str">
        <f>IFERROR(__xludf.DUMMYFUNCTION("SPLIT(A32,"" "")"),"dir")</f>
        <v>dir</v>
      </c>
      <c r="C32" s="2" t="str">
        <f>IFERROR(__xludf.DUMMYFUNCTION("""COMPUTED_VALUE"""),"zzbvdcf")</f>
        <v>zzbvdcf</v>
      </c>
      <c r="D32" s="2" t="str">
        <f>IFERROR(__xludf.DUMMYFUNCTION("IF(AND(B32=""$cd"",C32&lt;&gt;""..""),CONCATENATE(D31,""/"",C32),IF(C32="".."",MID(D31,1,LEN(D31)-LEN(REGEXEXTRACT(D31,""(/\w*)$""))),D31))"),"//jnwr")</f>
        <v>//jnwr</v>
      </c>
      <c r="E32" s="2" t="str">
        <f>IFERROR(__xludf.DUMMYFUNCTION("""COMPUTED_VALUE"""),"//lrvl/pwc")</f>
        <v>//lrvl/pwc</v>
      </c>
      <c r="F32" s="2">
        <f t="shared" si="1"/>
        <v>138185</v>
      </c>
      <c r="K32" s="2">
        <v>69149.0</v>
      </c>
    </row>
    <row r="33">
      <c r="A33" s="1" t="s">
        <v>615</v>
      </c>
      <c r="B33" s="2" t="str">
        <f>IFERROR(__xludf.DUMMYFUNCTION("SPLIT(A33,"" "")"),"$cd")</f>
        <v>$cd</v>
      </c>
      <c r="C33" s="2" t="str">
        <f>IFERROR(__xludf.DUMMYFUNCTION("""COMPUTED_VALUE"""),"wbv")</f>
        <v>wbv</v>
      </c>
      <c r="D33" s="2" t="str">
        <f>IFERROR(__xludf.DUMMYFUNCTION("IF(AND(B33=""$cd"",C33&lt;&gt;""..""),CONCATENATE(D32,""/"",C33),IF(C33="".."",MID(D32,1,LEN(D32)-LEN(REGEXEXTRACT(D32,""(/\w*)$""))),D32))"),"//jnwr/wbv")</f>
        <v>//jnwr/wbv</v>
      </c>
      <c r="E33" s="2" t="str">
        <f>IFERROR(__xludf.DUMMYFUNCTION("""COMPUTED_VALUE"""),"//lrvl/rjl")</f>
        <v>//lrvl/rjl</v>
      </c>
      <c r="F33" s="2">
        <f t="shared" si="1"/>
        <v>207755</v>
      </c>
      <c r="K33" s="2">
        <v>71403.0</v>
      </c>
    </row>
    <row r="34">
      <c r="A34" s="1" t="s">
        <v>609</v>
      </c>
      <c r="B34" s="2" t="str">
        <f>IFERROR(__xludf.DUMMYFUNCTION("SPLIT(A34,"" "")"),"$ls")</f>
        <v>$ls</v>
      </c>
      <c r="D34" s="2" t="str">
        <f>IFERROR(__xludf.DUMMYFUNCTION("IF(AND(B34=""$cd"",C34&lt;&gt;""..""),CONCATENATE(D33,""/"",C34),IF(C34="".."",MID(D33,1,LEN(D33)-LEN(REGEXEXTRACT(D33,""(/\w*)$""))),D33))"),"//jnwr/wbv")</f>
        <v>//jnwr/wbv</v>
      </c>
      <c r="E34" s="2" t="str">
        <f>IFERROR(__xludf.DUMMYFUNCTION("""COMPUTED_VALUE"""),"//lrvl/rzvqvv")</f>
        <v>//lrvl/rzvqvv</v>
      </c>
      <c r="F34" s="2">
        <f t="shared" si="1"/>
        <v>15911</v>
      </c>
      <c r="K34" s="2">
        <v>71772.0</v>
      </c>
    </row>
    <row r="35">
      <c r="A35" s="1" t="s">
        <v>26</v>
      </c>
      <c r="B35" s="2" t="str">
        <f>IFERROR(__xludf.DUMMYFUNCTION("SPLIT(A35,"" "")"),"dir")</f>
        <v>dir</v>
      </c>
      <c r="C35" s="2" t="str">
        <f>IFERROR(__xludf.DUMMYFUNCTION("""COMPUTED_VALUE"""),"nmdwbnnr")</f>
        <v>nmdwbnnr</v>
      </c>
      <c r="D35" s="2" t="str">
        <f>IFERROR(__xludf.DUMMYFUNCTION("IF(AND(B35=""$cd"",C35&lt;&gt;""..""),CONCATENATE(D34,""/"",C35),IF(C35="".."",MID(D34,1,LEN(D34)-LEN(REGEXEXTRACT(D34,""(/\w*)$""))),D34))"),"//jnwr/wbv")</f>
        <v>//jnwr/wbv</v>
      </c>
      <c r="E35" s="2" t="str">
        <f>IFERROR(__xludf.DUMMYFUNCTION("""COMPUTED_VALUE"""),"//lrvl/slzdbm")</f>
        <v>//lrvl/slzdbm</v>
      </c>
      <c r="F35" s="2">
        <f t="shared" si="1"/>
        <v>119274</v>
      </c>
      <c r="K35" s="2">
        <v>71772.0</v>
      </c>
    </row>
    <row r="36">
      <c r="A36" s="1" t="s">
        <v>27</v>
      </c>
      <c r="B36" s="2">
        <f>IFERROR(__xludf.DUMMYFUNCTION("SPLIT(A36,"" "")"),253584.0)</f>
        <v>253584</v>
      </c>
      <c r="C36" s="2" t="str">
        <f>IFERROR(__xludf.DUMMYFUNCTION("""COMPUTED_VALUE"""),"slzdbm.ncn")</f>
        <v>slzdbm.ncn</v>
      </c>
      <c r="D36" s="2" t="str">
        <f>IFERROR(__xludf.DUMMYFUNCTION("IF(AND(B36=""$cd"",C36&lt;&gt;""..""),CONCATENATE(D35,""/"",C36),IF(C36="".."",MID(D35,1,LEN(D35)-LEN(REGEXEXTRACT(D35,""(/\w*)$""))),D35))"),"//jnwr/wbv")</f>
        <v>//jnwr/wbv</v>
      </c>
      <c r="E36" s="2" t="str">
        <f>IFERROR(__xludf.DUMMYFUNCTION("""COMPUTED_VALUE"""),"//lrvl/slzdbm/hlvpfw")</f>
        <v>//lrvl/slzdbm/hlvpfw</v>
      </c>
      <c r="F36" s="2">
        <f t="shared" si="1"/>
        <v>273935</v>
      </c>
      <c r="K36" s="2">
        <v>73533.0</v>
      </c>
    </row>
    <row r="37">
      <c r="A37" s="1" t="s">
        <v>616</v>
      </c>
      <c r="B37" s="2" t="str">
        <f>IFERROR(__xludf.DUMMYFUNCTION("SPLIT(A37,"" "")"),"$cd")</f>
        <v>$cd</v>
      </c>
      <c r="C37" s="2" t="str">
        <f>IFERROR(__xludf.DUMMYFUNCTION("""COMPUTED_VALUE"""),"nmdwbnnr")</f>
        <v>nmdwbnnr</v>
      </c>
      <c r="D37" s="2" t="str">
        <f>IFERROR(__xludf.DUMMYFUNCTION("IF(AND(B37=""$cd"",C37&lt;&gt;""..""),CONCATENATE(D36,""/"",C37),IF(C37="".."",MID(D36,1,LEN(D36)-LEN(REGEXEXTRACT(D36,""(/\w*)$""))),D36))"),"//jnwr/wbv/nmdwbnnr")</f>
        <v>//jnwr/wbv/nmdwbnnr</v>
      </c>
      <c r="E37" s="2" t="str">
        <f>IFERROR(__xludf.DUMMYFUNCTION("""COMPUTED_VALUE"""),"//lrvl/slzdbm/hlvpfw/mhvmszgh")</f>
        <v>//lrvl/slzdbm/hlvpfw/mhvmszgh</v>
      </c>
      <c r="F37" s="2">
        <f t="shared" si="1"/>
        <v>928180</v>
      </c>
      <c r="K37" s="2">
        <v>75020.0</v>
      </c>
    </row>
    <row r="38">
      <c r="A38" s="1" t="s">
        <v>609</v>
      </c>
      <c r="B38" s="2" t="str">
        <f>IFERROR(__xludf.DUMMYFUNCTION("SPLIT(A38,"" "")"),"$ls")</f>
        <v>$ls</v>
      </c>
      <c r="D38" s="2" t="str">
        <f>IFERROR(__xludf.DUMMYFUNCTION("IF(AND(B38=""$cd"",C38&lt;&gt;""..""),CONCATENATE(D37,""/"",C38),IF(C38="".."",MID(D37,1,LEN(D37)-LEN(REGEXEXTRACT(D37,""(/\w*)$""))),D37))"),"//jnwr/wbv/nmdwbnnr")</f>
        <v>//jnwr/wbv/nmdwbnnr</v>
      </c>
      <c r="E38" s="2" t="str">
        <f>IFERROR(__xludf.DUMMYFUNCTION("""COMPUTED_VALUE"""),"//lrvl/slzdbm/hlvpfw/mhvmszgh/tftstdp")</f>
        <v>//lrvl/slzdbm/hlvpfw/mhvmszgh/tftstdp</v>
      </c>
      <c r="F38" s="2">
        <f t="shared" si="1"/>
        <v>283798</v>
      </c>
      <c r="K38" s="2">
        <v>90357.0</v>
      </c>
    </row>
    <row r="39">
      <c r="A39" s="1" t="s">
        <v>29</v>
      </c>
      <c r="B39" s="2">
        <f>IFERROR(__xludf.DUMMYFUNCTION("SPLIT(A39,"" "")"),208370.0)</f>
        <v>208370</v>
      </c>
      <c r="C39" s="2" t="str">
        <f>IFERROR(__xludf.DUMMYFUNCTION("""COMPUTED_VALUE"""),"scbcsb.pjg")</f>
        <v>scbcsb.pjg</v>
      </c>
      <c r="D39" s="2" t="str">
        <f>IFERROR(__xludf.DUMMYFUNCTION("IF(AND(B39=""$cd"",C39&lt;&gt;""..""),CONCATENATE(D38,""/"",C39),IF(C39="".."",MID(D38,1,LEN(D38)-LEN(REGEXEXTRACT(D38,""(/\w*)$""))),D38))"),"//jnwr/wbv/nmdwbnnr")</f>
        <v>//jnwr/wbv/nmdwbnnr</v>
      </c>
      <c r="E39" s="2" t="str">
        <f>IFERROR(__xludf.DUMMYFUNCTION("""COMPUTED_VALUE"""),"//lrvl/slzdbm/ljpmphn")</f>
        <v>//lrvl/slzdbm/ljpmphn</v>
      </c>
      <c r="F39" s="2">
        <f t="shared" si="1"/>
        <v>176794</v>
      </c>
      <c r="K39" s="2">
        <v>96506.0</v>
      </c>
    </row>
    <row r="40">
      <c r="A40" s="1" t="s">
        <v>612</v>
      </c>
      <c r="B40" s="2" t="str">
        <f>IFERROR(__xludf.DUMMYFUNCTION("SPLIT(A40,"" "")"),"$cd")</f>
        <v>$cd</v>
      </c>
      <c r="C40" s="2" t="str">
        <f>IFERROR(__xludf.DUMMYFUNCTION("""COMPUTED_VALUE"""),"..")</f>
        <v>..</v>
      </c>
      <c r="D40" s="2" t="str">
        <f>IFERROR(__xludf.DUMMYFUNCTION("IF(AND(B40=""$cd"",C40&lt;&gt;""..""),CONCATENATE(D39,""/"",C40),IF(C40="".."",MID(D39,1,LEN(D39)-LEN(REGEXEXTRACT(D39,""(/\w*)$""))),D39))"),"//jnwr/wbv")</f>
        <v>//jnwr/wbv</v>
      </c>
      <c r="E40" s="2" t="str">
        <f>IFERROR(__xludf.DUMMYFUNCTION("""COMPUTED_VALUE"""),"//lrvl/tcbjmq")</f>
        <v>//lrvl/tcbjmq</v>
      </c>
      <c r="F40" s="2">
        <f t="shared" si="1"/>
        <v>176794</v>
      </c>
      <c r="K40" s="2">
        <v>101738.0</v>
      </c>
    </row>
    <row r="41">
      <c r="A41" s="1" t="s">
        <v>612</v>
      </c>
      <c r="B41" s="2" t="str">
        <f>IFERROR(__xludf.DUMMYFUNCTION("SPLIT(A41,"" "")"),"$cd")</f>
        <v>$cd</v>
      </c>
      <c r="C41" s="2" t="str">
        <f>IFERROR(__xludf.DUMMYFUNCTION("""COMPUTED_VALUE"""),"..")</f>
        <v>..</v>
      </c>
      <c r="D41" s="2" t="str">
        <f>IFERROR(__xludf.DUMMYFUNCTION("IF(AND(B41=""$cd"",C41&lt;&gt;""..""),CONCATENATE(D40,""/"",C41),IF(C41="".."",MID(D40,1,LEN(D40)-LEN(REGEXEXTRACT(D40,""(/\w*)$""))),D40))"),"//jnwr")</f>
        <v>//jnwr</v>
      </c>
      <c r="E41" s="2" t="str">
        <f>IFERROR(__xludf.DUMMYFUNCTION("""COMPUTED_VALUE"""),"//lrvl/zhbpqlnd")</f>
        <v>//lrvl/zhbpqlnd</v>
      </c>
      <c r="F41" s="2">
        <f t="shared" si="1"/>
        <v>37528</v>
      </c>
      <c r="K41" s="2">
        <v>101738.0</v>
      </c>
    </row>
    <row r="42">
      <c r="A42" s="1" t="s">
        <v>617</v>
      </c>
      <c r="B42" s="2" t="str">
        <f>IFERROR(__xludf.DUMMYFUNCTION("SPLIT(A42,"" "")"),"$cd")</f>
        <v>$cd</v>
      </c>
      <c r="C42" s="2" t="str">
        <f>IFERROR(__xludf.DUMMYFUNCTION("""COMPUTED_VALUE"""),"zzbvdcf")</f>
        <v>zzbvdcf</v>
      </c>
      <c r="D42" s="2" t="str">
        <f>IFERROR(__xludf.DUMMYFUNCTION("IF(AND(B42=""$cd"",C42&lt;&gt;""..""),CONCATENATE(D41,""/"",C42),IF(C42="".."",MID(D41,1,LEN(D41)-LEN(REGEXEXTRACT(D41,""(/\w*)$""))),D41))"),"//jnwr/zzbvdcf")</f>
        <v>//jnwr/zzbvdcf</v>
      </c>
      <c r="E42" s="2" t="str">
        <f>IFERROR(__xludf.DUMMYFUNCTION("""COMPUTED_VALUE"""),"//lrvl/zhbpqlnd/clnqtjz")</f>
        <v>//lrvl/zhbpqlnd/clnqtjz</v>
      </c>
      <c r="F42" s="2">
        <f t="shared" si="1"/>
        <v>96506</v>
      </c>
      <c r="K42" s="2">
        <v>101738.0</v>
      </c>
    </row>
    <row r="43">
      <c r="A43" s="1" t="s">
        <v>609</v>
      </c>
      <c r="B43" s="2" t="str">
        <f>IFERROR(__xludf.DUMMYFUNCTION("SPLIT(A43,"" "")"),"$ls")</f>
        <v>$ls</v>
      </c>
      <c r="D43" s="2" t="str">
        <f>IFERROR(__xludf.DUMMYFUNCTION("IF(AND(B43=""$cd"",C43&lt;&gt;""..""),CONCATENATE(D42,""/"",C43),IF(C43="".."",MID(D42,1,LEN(D42)-LEN(REGEXEXTRACT(D42,""(/\w*)$""))),D42))"),"//jnwr/zzbvdcf")</f>
        <v>//jnwr/zzbvdcf</v>
      </c>
      <c r="E43" s="2" t="str">
        <f>IFERROR(__xludf.DUMMYFUNCTION("""COMPUTED_VALUE"""),"//lrvl/zhbpqlnd/clnqtjz/mzsfcvgv")</f>
        <v>//lrvl/zhbpqlnd/clnqtjz/mzsfcvgv</v>
      </c>
      <c r="F43" s="2">
        <f t="shared" si="1"/>
        <v>17187447</v>
      </c>
      <c r="K43" s="2">
        <v>105380.0</v>
      </c>
    </row>
    <row r="44">
      <c r="A44" s="1" t="s">
        <v>31</v>
      </c>
      <c r="B44" s="2">
        <f>IFERROR(__xludf.DUMMYFUNCTION("SPLIT(A44,"" "")"),8052.0)</f>
        <v>8052</v>
      </c>
      <c r="C44" s="2" t="str">
        <f>IFERROR(__xludf.DUMMYFUNCTION("""COMPUTED_VALUE"""),"ssssrhwz")</f>
        <v>ssssrhwz</v>
      </c>
      <c r="D44" s="2" t="str">
        <f>IFERROR(__xludf.DUMMYFUNCTION("IF(AND(B44=""$cd"",C44&lt;&gt;""..""),CONCATENATE(D43,""/"",C44),IF(C44="".."",MID(D43,1,LEN(D43)-LEN(REGEXEXTRACT(D43,""(/\w*)$""))),D43))"),"//jnwr/zzbvdcf")</f>
        <v>//jnwr/zzbvdcf</v>
      </c>
      <c r="E44" s="2" t="str">
        <f>IFERROR(__xludf.DUMMYFUNCTION("""COMPUTED_VALUE"""),"//lrvl/zhbpqlnd/clnqtjz/mzsfcvgv/vnwqstw")</f>
        <v>//lrvl/zhbpqlnd/clnqtjz/mzsfcvgv/vnwqstw</v>
      </c>
      <c r="F44" s="2">
        <f t="shared" si="1"/>
        <v>9893050</v>
      </c>
      <c r="K44" s="2">
        <v>105747.0</v>
      </c>
    </row>
    <row r="45">
      <c r="A45" s="1" t="s">
        <v>612</v>
      </c>
      <c r="B45" s="2" t="str">
        <f>IFERROR(__xludf.DUMMYFUNCTION("SPLIT(A45,"" "")"),"$cd")</f>
        <v>$cd</v>
      </c>
      <c r="C45" s="2" t="str">
        <f>IFERROR(__xludf.DUMMYFUNCTION("""COMPUTED_VALUE"""),"..")</f>
        <v>..</v>
      </c>
      <c r="D45" s="2" t="str">
        <f>IFERROR(__xludf.DUMMYFUNCTION("IF(AND(B45=""$cd"",C45&lt;&gt;""..""),CONCATENATE(D44,""/"",C45),IF(C45="".."",MID(D44,1,LEN(D44)-LEN(REGEXEXTRACT(D44,""(/\w*)$""))),D44))"),"//jnwr")</f>
        <v>//jnwr</v>
      </c>
      <c r="E45" s="2" t="str">
        <f>IFERROR(__xludf.DUMMYFUNCTION("""COMPUTED_VALUE"""),"//lrvl/zhbpqlnd/clnqtjz/rrn")</f>
        <v>//lrvl/zhbpqlnd/clnqtjz/rrn</v>
      </c>
      <c r="F45" s="2">
        <f t="shared" si="1"/>
        <v>336414</v>
      </c>
      <c r="K45" s="2">
        <v>109187.0</v>
      </c>
    </row>
    <row r="46">
      <c r="A46" s="1" t="s">
        <v>612</v>
      </c>
      <c r="B46" s="2" t="str">
        <f>IFERROR(__xludf.DUMMYFUNCTION("SPLIT(A46,"" "")"),"$cd")</f>
        <v>$cd</v>
      </c>
      <c r="C46" s="2" t="str">
        <f>IFERROR(__xludf.DUMMYFUNCTION("""COMPUTED_VALUE"""),"..")</f>
        <v>..</v>
      </c>
      <c r="D46" s="2" t="str">
        <f>IFERROR(__xludf.DUMMYFUNCTION("IF(AND(B46=""$cd"",C46&lt;&gt;""..""),CONCATENATE(D45,""/"",C46),IF(C46="".."",MID(D45,1,LEN(D45)-LEN(REGEXEXTRACT(D45,""(/\w*)$""))),D45))"),"/")</f>
        <v>/</v>
      </c>
      <c r="E46" s="2" t="str">
        <f>IFERROR(__xludf.DUMMYFUNCTION("""COMPUTED_VALUE"""),"//lrvl/zhbpqlnd/clnqtjz/rrn/hnr")</f>
        <v>//lrvl/zhbpqlnd/clnqtjz/rrn/hnr</v>
      </c>
      <c r="F46" s="2">
        <f t="shared" si="1"/>
        <v>335058</v>
      </c>
      <c r="K46" s="2">
        <v>115955.0</v>
      </c>
    </row>
    <row r="47">
      <c r="A47" s="1" t="s">
        <v>618</v>
      </c>
      <c r="B47" s="2" t="str">
        <f>IFERROR(__xludf.DUMMYFUNCTION("SPLIT(A47,"" "")"),"$cd")</f>
        <v>$cd</v>
      </c>
      <c r="C47" s="2" t="str">
        <f>IFERROR(__xludf.DUMMYFUNCTION("""COMPUTED_VALUE"""),"lrvl")</f>
        <v>lrvl</v>
      </c>
      <c r="D47" s="2" t="str">
        <f>IFERROR(__xludf.DUMMYFUNCTION("IF(AND(B47=""$cd"",C47&lt;&gt;""..""),CONCATENATE(D46,""/"",C47),IF(C47="".."",MID(D46,1,LEN(D46)-LEN(REGEXEXTRACT(D46,""(/\w*)$""))),D46))"),"//lrvl")</f>
        <v>//lrvl</v>
      </c>
      <c r="E47" s="2" t="str">
        <f>IFERROR(__xludf.DUMMYFUNCTION("""COMPUTED_VALUE"""),"//lrvl/zhbpqlnd/clnqtjz/rrn/hnr/gljrlhjm")</f>
        <v>//lrvl/zhbpqlnd/clnqtjz/rrn/hnr/gljrlhjm</v>
      </c>
      <c r="F47" s="2">
        <f t="shared" si="1"/>
        <v>8877344</v>
      </c>
      <c r="K47" s="2">
        <v>119274.0</v>
      </c>
    </row>
    <row r="48">
      <c r="A48" s="1" t="s">
        <v>609</v>
      </c>
      <c r="B48" s="2" t="str">
        <f>IFERROR(__xludf.DUMMYFUNCTION("SPLIT(A48,"" "")"),"$ls")</f>
        <v>$ls</v>
      </c>
      <c r="D48" s="2" t="str">
        <f>IFERROR(__xludf.DUMMYFUNCTION("IF(AND(B48=""$cd"",C48&lt;&gt;""..""),CONCATENATE(D47,""/"",C48),IF(C48="".."",MID(D47,1,LEN(D47)-LEN(REGEXEXTRACT(D47,""(/\w*)$""))),D47))"),"//lrvl")</f>
        <v>//lrvl</v>
      </c>
      <c r="E48" s="2" t="str">
        <f>IFERROR(__xludf.DUMMYFUNCTION("""COMPUTED_VALUE"""),"//lrvl/zhbpqlnd/clnqtjz/rrn/hnr/gljrlhjm/wjwqrnj")</f>
        <v>//lrvl/zhbpqlnd/clnqtjz/rrn/hnr/gljrlhjm/wjwqrnj</v>
      </c>
      <c r="F48" s="2">
        <f t="shared" si="1"/>
        <v>436056</v>
      </c>
      <c r="K48" s="2">
        <v>121723.0</v>
      </c>
    </row>
    <row r="49">
      <c r="A49" s="1" t="s">
        <v>33</v>
      </c>
      <c r="B49" s="2" t="str">
        <f>IFERROR(__xludf.DUMMYFUNCTION("SPLIT(A49,"" "")"),"dir")</f>
        <v>dir</v>
      </c>
      <c r="C49" s="2" t="str">
        <f>IFERROR(__xludf.DUMMYFUNCTION("""COMPUTED_VALUE"""),"bqqltcg")</f>
        <v>bqqltcg</v>
      </c>
      <c r="D49" s="2" t="str">
        <f>IFERROR(__xludf.DUMMYFUNCTION("IF(AND(B49=""$cd"",C49&lt;&gt;""..""),CONCATENATE(D48,""/"",C49),IF(C49="".."",MID(D48,1,LEN(D48)-LEN(REGEXEXTRACT(D48,""(/\w*)$""))),D48))"),"//lrvl")</f>
        <v>//lrvl</v>
      </c>
      <c r="E49" s="2" t="str">
        <f>IFERROR(__xludf.DUMMYFUNCTION("""COMPUTED_VALUE"""),"//lrvl/zhbpqlnd/clnqtjz/rrn/rdmgtf")</f>
        <v>//lrvl/zhbpqlnd/clnqtjz/rrn/rdmgtf</v>
      </c>
      <c r="F49" s="2">
        <f t="shared" si="1"/>
        <v>142366</v>
      </c>
      <c r="K49" s="2">
        <v>124604.0</v>
      </c>
    </row>
    <row r="50">
      <c r="A50" s="1" t="s">
        <v>34</v>
      </c>
      <c r="B50" s="2">
        <f>IFERROR(__xludf.DUMMYFUNCTION("SPLIT(A50,"" "")"),189288.0)</f>
        <v>189288</v>
      </c>
      <c r="C50" s="2" t="str">
        <f>IFERROR(__xludf.DUMMYFUNCTION("""COMPUTED_VALUE"""),"cwpwh")</f>
        <v>cwpwh</v>
      </c>
      <c r="D50" s="2" t="str">
        <f>IFERROR(__xludf.DUMMYFUNCTION("IF(AND(B50=""$cd"",C50&lt;&gt;""..""),CONCATENATE(D49,""/"",C50),IF(C50="".."",MID(D49,1,LEN(D49)-LEN(REGEXEXTRACT(D49,""(/\w*)$""))),D49))"),"//lrvl")</f>
        <v>//lrvl</v>
      </c>
      <c r="E50" s="2" t="str">
        <f>IFERROR(__xludf.DUMMYFUNCTION("""COMPUTED_VALUE"""),"//lrvl/zhbpqlnd/clnqtjz/rrn/rdmgtf/lzfntb")</f>
        <v>//lrvl/zhbpqlnd/clnqtjz/rrn/rdmgtf/lzfntb</v>
      </c>
      <c r="F50" s="2">
        <f t="shared" si="1"/>
        <v>142366</v>
      </c>
      <c r="K50" s="2">
        <v>124928.0</v>
      </c>
    </row>
    <row r="51">
      <c r="A51" s="1" t="s">
        <v>35</v>
      </c>
      <c r="B51" s="2">
        <f>IFERROR(__xludf.DUMMYFUNCTION("SPLIT(A51,"" "")"),90813.0)</f>
        <v>90813</v>
      </c>
      <c r="C51" s="2" t="str">
        <f>IFERROR(__xludf.DUMMYFUNCTION("""COMPUTED_VALUE"""),"jhnddzml.lww")</f>
        <v>jhnddzml.lww</v>
      </c>
      <c r="D51" s="2" t="str">
        <f>IFERROR(__xludf.DUMMYFUNCTION("IF(AND(B51=""$cd"",C51&lt;&gt;""..""),CONCATENATE(D50,""/"",C51),IF(C51="".."",MID(D50,1,LEN(D50)-LEN(REGEXEXTRACT(D50,""(/\w*)$""))),D50))"),"//lrvl")</f>
        <v>//lrvl</v>
      </c>
      <c r="E51" s="2" t="str">
        <f>IFERROR(__xludf.DUMMYFUNCTION("""COMPUTED_VALUE"""),"//lrvl/zhbpqlnd/clnqtjz/rrn/rdmgtf/lzfntb/gwnpsvw")</f>
        <v>//lrvl/zhbpqlnd/clnqtjz/rrn/rdmgtf/lzfntb/gwnpsvw</v>
      </c>
      <c r="F51" s="2">
        <f t="shared" si="1"/>
        <v>1706657</v>
      </c>
      <c r="K51" s="2">
        <v>127216.0</v>
      </c>
    </row>
    <row r="52">
      <c r="A52" s="1" t="s">
        <v>36</v>
      </c>
      <c r="B52" s="2" t="str">
        <f>IFERROR(__xludf.DUMMYFUNCTION("SPLIT(A52,"" "")"),"dir")</f>
        <v>dir</v>
      </c>
      <c r="C52" s="2" t="str">
        <f>IFERROR(__xludf.DUMMYFUNCTION("""COMPUTED_VALUE"""),"pwc")</f>
        <v>pwc</v>
      </c>
      <c r="D52" s="2" t="str">
        <f>IFERROR(__xludf.DUMMYFUNCTION("IF(AND(B52=""$cd"",C52&lt;&gt;""..""),CONCATENATE(D51,""/"",C52),IF(C52="".."",MID(D51,1,LEN(D51)-LEN(REGEXEXTRACT(D51,""(/\w*)$""))),D51))"),"//lrvl")</f>
        <v>//lrvl</v>
      </c>
      <c r="E52" s="2" t="str">
        <f>IFERROR(__xludf.DUMMYFUNCTION("""COMPUTED_VALUE"""),"//lrvl/zhbpqlnd/clnqtjz/rrn/rdmgtf/lzfntb/gwnpsvw/lqnz")</f>
        <v>//lrvl/zhbpqlnd/clnqtjz/rrn/rdmgtf/lzfntb/gwnpsvw/lqnz</v>
      </c>
      <c r="F52" s="2">
        <f t="shared" si="1"/>
        <v>259109</v>
      </c>
      <c r="K52" s="2">
        <v>138185.0</v>
      </c>
    </row>
    <row r="53">
      <c r="A53" s="1" t="s">
        <v>37</v>
      </c>
      <c r="B53" s="2" t="str">
        <f>IFERROR(__xludf.DUMMYFUNCTION("SPLIT(A53,"" "")"),"dir")</f>
        <v>dir</v>
      </c>
      <c r="C53" s="2" t="str">
        <f>IFERROR(__xludf.DUMMYFUNCTION("""COMPUTED_VALUE"""),"rjl")</f>
        <v>rjl</v>
      </c>
      <c r="D53" s="2" t="str">
        <f>IFERROR(__xludf.DUMMYFUNCTION("IF(AND(B53=""$cd"",C53&lt;&gt;""..""),CONCATENATE(D52,""/"",C53),IF(C53="".."",MID(D52,1,LEN(D52)-LEN(REGEXEXTRACT(D52,""(/\w*)$""))),D52))"),"//lrvl")</f>
        <v>//lrvl</v>
      </c>
      <c r="E53" s="2" t="str">
        <f>IFERROR(__xludf.DUMMYFUNCTION("""COMPUTED_VALUE"""),"//lrvl/zhbpqlnd/clnqtjz/rrn/rdmgtf/lzfntb/rsgwzhp")</f>
        <v>//lrvl/zhbpqlnd/clnqtjz/rrn/rdmgtf/lzfntb/rsgwzhp</v>
      </c>
      <c r="F53" s="2">
        <f t="shared" si="1"/>
        <v>109187</v>
      </c>
      <c r="K53" s="2">
        <v>140610.0</v>
      </c>
    </row>
    <row r="54">
      <c r="A54" s="1" t="s">
        <v>38</v>
      </c>
      <c r="B54" s="2" t="str">
        <f>IFERROR(__xludf.DUMMYFUNCTION("SPLIT(A54,"" "")"),"dir")</f>
        <v>dir</v>
      </c>
      <c r="C54" s="2" t="str">
        <f>IFERROR(__xludf.DUMMYFUNCTION("""COMPUTED_VALUE"""),"rzvqvv")</f>
        <v>rzvqvv</v>
      </c>
      <c r="D54" s="2" t="str">
        <f>IFERROR(__xludf.DUMMYFUNCTION("IF(AND(B54=""$cd"",C54&lt;&gt;""..""),CONCATENATE(D53,""/"",C54),IF(C54="".."",MID(D53,1,LEN(D53)-LEN(REGEXEXTRACT(D53,""(/\w*)$""))),D53))"),"//lrvl")</f>
        <v>//lrvl</v>
      </c>
      <c r="E54" s="2" t="str">
        <f>IFERROR(__xludf.DUMMYFUNCTION("""COMPUTED_VALUE"""),"//lrvl/zhbpqlnd/clnqtjz/rrn/rdmgtf/lzfntb/rsgwzhp/hhz")</f>
        <v>//lrvl/zhbpqlnd/clnqtjz/rrn/rdmgtf/lzfntb/rsgwzhp/hhz</v>
      </c>
      <c r="F54" s="2">
        <f t="shared" si="1"/>
        <v>27250</v>
      </c>
      <c r="K54" s="2">
        <v>142366.0</v>
      </c>
    </row>
    <row r="55">
      <c r="A55" s="1" t="s">
        <v>39</v>
      </c>
      <c r="B55" s="2" t="str">
        <f>IFERROR(__xludf.DUMMYFUNCTION("SPLIT(A55,"" "")"),"dir")</f>
        <v>dir</v>
      </c>
      <c r="C55" s="2" t="str">
        <f>IFERROR(__xludf.DUMMYFUNCTION("""COMPUTED_VALUE"""),"slzdbm")</f>
        <v>slzdbm</v>
      </c>
      <c r="D55" s="2" t="str">
        <f>IFERROR(__xludf.DUMMYFUNCTION("IF(AND(B55=""$cd"",C55&lt;&gt;""..""),CONCATENATE(D54,""/"",C55),IF(C55="".."",MID(D54,1,LEN(D54)-LEN(REGEXEXTRACT(D54,""(/\w*)$""))),D54))"),"//lrvl")</f>
        <v>//lrvl</v>
      </c>
      <c r="E55" s="2" t="str">
        <f>IFERROR(__xludf.DUMMYFUNCTION("""COMPUTED_VALUE"""),"//lrvl/zhbpqlnd/clnqtjz/rrn/rdmgtf/mjfwsmgd")</f>
        <v>//lrvl/zhbpqlnd/clnqtjz/rrn/rdmgtf/mjfwsmgd</v>
      </c>
      <c r="F55" s="2">
        <f t="shared" si="1"/>
        <v>46435</v>
      </c>
      <c r="K55" s="2">
        <v>142366.0</v>
      </c>
    </row>
    <row r="56">
      <c r="A56" s="1" t="s">
        <v>40</v>
      </c>
      <c r="B56" s="2" t="str">
        <f>IFERROR(__xludf.DUMMYFUNCTION("SPLIT(A56,"" "")"),"dir")</f>
        <v>dir</v>
      </c>
      <c r="C56" s="2" t="str">
        <f>IFERROR(__xludf.DUMMYFUNCTION("""COMPUTED_VALUE"""),"tcbjmq")</f>
        <v>tcbjmq</v>
      </c>
      <c r="D56" s="2" t="str">
        <f>IFERROR(__xludf.DUMMYFUNCTION("IF(AND(B56=""$cd"",C56&lt;&gt;""..""),CONCATENATE(D55,""/"",C56),IF(C56="".."",MID(D55,1,LEN(D55)-LEN(REGEXEXTRACT(D55,""(/\w*)$""))),D55))"),"//lrvl")</f>
        <v>//lrvl</v>
      </c>
      <c r="E56" s="2" t="str">
        <f>IFERROR(__xludf.DUMMYFUNCTION("""COMPUTED_VALUE"""),"//lrvl/zhbpqlnd/clnqtjz/rrn/rdmgtf/tqh")</f>
        <v>//lrvl/zhbpqlnd/clnqtjz/rrn/rdmgtf/tqh</v>
      </c>
      <c r="F56" s="2">
        <f t="shared" si="1"/>
        <v>46435</v>
      </c>
      <c r="K56" s="2">
        <v>146536.0</v>
      </c>
    </row>
    <row r="57">
      <c r="A57" s="1" t="s">
        <v>41</v>
      </c>
      <c r="B57" s="2">
        <f>IFERROR(__xludf.DUMMYFUNCTION("SPLIT(A57,"" "")"),140665.0)</f>
        <v>140665</v>
      </c>
      <c r="C57" s="2" t="str">
        <f>IFERROR(__xludf.DUMMYFUNCTION("""COMPUTED_VALUE"""),"zbdp.gqb")</f>
        <v>zbdp.gqb</v>
      </c>
      <c r="D57" s="2" t="str">
        <f>IFERROR(__xludf.DUMMYFUNCTION("IF(AND(B57=""$cd"",C57&lt;&gt;""..""),CONCATENATE(D56,""/"",C57),IF(C57="".."",MID(D56,1,LEN(D56)-LEN(REGEXEXTRACT(D56,""(/\w*)$""))),D56))"),"//lrvl")</f>
        <v>//lrvl</v>
      </c>
      <c r="E57" s="2" t="str">
        <f>IFERROR(__xludf.DUMMYFUNCTION("""COMPUTED_VALUE"""),"//lrvl/zhbpqlnd/clnqtjz/rrn/rdmgtf/tqh/lpdcdr")</f>
        <v>//lrvl/zhbpqlnd/clnqtjz/rrn/rdmgtf/tqh/lpdcdr</v>
      </c>
      <c r="F57" s="2">
        <f t="shared" si="1"/>
        <v>195811</v>
      </c>
      <c r="K57" s="2">
        <v>150157.0</v>
      </c>
    </row>
    <row r="58">
      <c r="A58" s="1" t="s">
        <v>42</v>
      </c>
      <c r="B58" s="2" t="str">
        <f>IFERROR(__xludf.DUMMYFUNCTION("SPLIT(A58,"" "")"),"dir")</f>
        <v>dir</v>
      </c>
      <c r="C58" s="2" t="str">
        <f>IFERROR(__xludf.DUMMYFUNCTION("""COMPUTED_VALUE"""),"zhbpqlnd")</f>
        <v>zhbpqlnd</v>
      </c>
      <c r="D58" s="2" t="str">
        <f>IFERROR(__xludf.DUMMYFUNCTION("IF(AND(B58=""$cd"",C58&lt;&gt;""..""),CONCATENATE(D57,""/"",C58),IF(C58="".."",MID(D57,1,LEN(D57)-LEN(REGEXEXTRACT(D57,""(/\w*)$""))),D57))"),"//lrvl")</f>
        <v>//lrvl</v>
      </c>
      <c r="E58" s="2" t="str">
        <f>IFERROR(__xludf.DUMMYFUNCTION("""COMPUTED_VALUE"""),"//lrvl/zhbpqlnd/clnqtjz/rrn/rdmgtf/tqh/vhfr")</f>
        <v>//lrvl/zhbpqlnd/clnqtjz/rrn/rdmgtf/tqh/vhfr</v>
      </c>
      <c r="F58" s="2">
        <f t="shared" si="1"/>
        <v>725633</v>
      </c>
      <c r="K58" s="2">
        <v>151717.0</v>
      </c>
    </row>
    <row r="59">
      <c r="A59" s="1" t="s">
        <v>619</v>
      </c>
      <c r="B59" s="2" t="str">
        <f>IFERROR(__xludf.DUMMYFUNCTION("SPLIT(A59,"" "")"),"$cd")</f>
        <v>$cd</v>
      </c>
      <c r="C59" s="2" t="str">
        <f>IFERROR(__xludf.DUMMYFUNCTION("""COMPUTED_VALUE"""),"bqqltcg")</f>
        <v>bqqltcg</v>
      </c>
      <c r="D59" s="2" t="str">
        <f>IFERROR(__xludf.DUMMYFUNCTION("IF(AND(B59=""$cd"",C59&lt;&gt;""..""),CONCATENATE(D58,""/"",C59),IF(C59="".."",MID(D58,1,LEN(D58)-LEN(REGEXEXTRACT(D58,""(/\w*)$""))),D58))"),"//lrvl/bqqltcg")</f>
        <v>//lrvl/bqqltcg</v>
      </c>
      <c r="E59" s="2" t="str">
        <f>IFERROR(__xludf.DUMMYFUNCTION("""COMPUTED_VALUE"""),"//lrvl/zhbpqlnd/clnqtjz/rrn/rdmgtf/tqh/vhfr/stmvj")</f>
        <v>//lrvl/zhbpqlnd/clnqtjz/rrn/rdmgtf/tqh/vhfr/stmvj</v>
      </c>
      <c r="F59" s="2">
        <f t="shared" si="1"/>
        <v>203902</v>
      </c>
      <c r="K59" s="2">
        <v>152381.0</v>
      </c>
    </row>
    <row r="60">
      <c r="A60" s="1" t="s">
        <v>609</v>
      </c>
      <c r="B60" s="2" t="str">
        <f>IFERROR(__xludf.DUMMYFUNCTION("SPLIT(A60,"" "")"),"$ls")</f>
        <v>$ls</v>
      </c>
      <c r="D60" s="2" t="str">
        <f>IFERROR(__xludf.DUMMYFUNCTION("IF(AND(B60=""$cd"",C60&lt;&gt;""..""),CONCATENATE(D59,""/"",C60),IF(C60="".."",MID(D59,1,LEN(D59)-LEN(REGEXEXTRACT(D59,""(/\w*)$""))),D59))"),"//lrvl/bqqltcg")</f>
        <v>//lrvl/bqqltcg</v>
      </c>
      <c r="E60" s="2" t="str">
        <f>IFERROR(__xludf.DUMMYFUNCTION("""COMPUTED_VALUE"""),"//lrvl/zhbpqlnd/clnqtjz/rrn/rgrwp")</f>
        <v>//lrvl/zhbpqlnd/clnqtjz/rrn/rgrwp</v>
      </c>
      <c r="F60" s="2">
        <f t="shared" si="1"/>
        <v>407244</v>
      </c>
      <c r="K60" s="2">
        <v>159354.0</v>
      </c>
    </row>
    <row r="61">
      <c r="A61" s="1" t="s">
        <v>44</v>
      </c>
      <c r="B61" s="2" t="str">
        <f>IFERROR(__xludf.DUMMYFUNCTION("SPLIT(A61,"" "")"),"dir")</f>
        <v>dir</v>
      </c>
      <c r="C61" s="2" t="str">
        <f>IFERROR(__xludf.DUMMYFUNCTION("""COMPUTED_VALUE"""),"dlbjblbf")</f>
        <v>dlbjblbf</v>
      </c>
      <c r="D61" s="2" t="str">
        <f>IFERROR(__xludf.DUMMYFUNCTION("IF(AND(B61=""$cd"",C61&lt;&gt;""..""),CONCATENATE(D60,""/"",C61),IF(C61="".."",MID(D60,1,LEN(D60)-LEN(REGEXEXTRACT(D60,""(/\w*)$""))),D60))"),"//lrvl/bqqltcg")</f>
        <v>//lrvl/bqqltcg</v>
      </c>
      <c r="E61" s="2" t="str">
        <f>IFERROR(__xludf.DUMMYFUNCTION("""COMPUTED_VALUE"""),"//lrvl/zhbpqlnd/clnqtjz/rrn/rgrwp/dhwtfld")</f>
        <v>//lrvl/zhbpqlnd/clnqtjz/rrn/rgrwp/dhwtfld</v>
      </c>
      <c r="F61" s="2">
        <f t="shared" si="1"/>
        <v>315660</v>
      </c>
      <c r="K61" s="2">
        <v>161906.0</v>
      </c>
    </row>
    <row r="62">
      <c r="A62" s="1" t="s">
        <v>45</v>
      </c>
      <c r="B62" s="2" t="str">
        <f>IFERROR(__xludf.DUMMYFUNCTION("SPLIT(A62,"" "")"),"dir")</f>
        <v>dir</v>
      </c>
      <c r="C62" s="2" t="str">
        <f>IFERROR(__xludf.DUMMYFUNCTION("""COMPUTED_VALUE"""),"fdlw")</f>
        <v>fdlw</v>
      </c>
      <c r="D62" s="2" t="str">
        <f>IFERROR(__xludf.DUMMYFUNCTION("IF(AND(B62=""$cd"",C62&lt;&gt;""..""),CONCATENATE(D61,""/"",C62),IF(C62="".."",MID(D61,1,LEN(D61)-LEN(REGEXEXTRACT(D61,""(/\w*)$""))),D61))"),"//lrvl/bqqltcg")</f>
        <v>//lrvl/bqqltcg</v>
      </c>
      <c r="E62" s="2" t="str">
        <f>IFERROR(__xludf.DUMMYFUNCTION("""COMPUTED_VALUE"""),"//lrvl/zhbpqlnd/clnqtjz/rrn/rgrwp/jnwr")</f>
        <v>//lrvl/zhbpqlnd/clnqtjz/rrn/rgrwp/jnwr</v>
      </c>
      <c r="F62" s="2">
        <f t="shared" si="1"/>
        <v>5916357</v>
      </c>
      <c r="K62" s="2">
        <v>176794.0</v>
      </c>
    </row>
    <row r="63">
      <c r="A63" s="1" t="s">
        <v>4</v>
      </c>
      <c r="B63" s="2" t="str">
        <f>IFERROR(__xludf.DUMMYFUNCTION("SPLIT(A63,"" "")"),"dir")</f>
        <v>dir</v>
      </c>
      <c r="C63" s="2" t="str">
        <f>IFERROR(__xludf.DUMMYFUNCTION("""COMPUTED_VALUE"""),"jnwr")</f>
        <v>jnwr</v>
      </c>
      <c r="D63" s="2" t="str">
        <f>IFERROR(__xludf.DUMMYFUNCTION("IF(AND(B63=""$cd"",C63&lt;&gt;""..""),CONCATENATE(D62,""/"",C63),IF(C63="".."",MID(D62,1,LEN(D62)-LEN(REGEXEXTRACT(D62,""(/\w*)$""))),D62))"),"//lrvl/bqqltcg")</f>
        <v>//lrvl/bqqltcg</v>
      </c>
      <c r="E63" s="2" t="str">
        <f>IFERROR(__xludf.DUMMYFUNCTION("""COMPUTED_VALUE"""),"//lrvl/zhbpqlnd/clnqtjz/rrn/rgrwp/npr")</f>
        <v>//lrvl/zhbpqlnd/clnqtjz/rrn/rgrwp/npr</v>
      </c>
      <c r="F63" s="2">
        <f t="shared" si="1"/>
        <v>152381</v>
      </c>
      <c r="K63" s="2">
        <v>176794.0</v>
      </c>
    </row>
    <row r="64">
      <c r="A64" s="1" t="s">
        <v>39</v>
      </c>
      <c r="B64" s="2" t="str">
        <f>IFERROR(__xludf.DUMMYFUNCTION("SPLIT(A64,"" "")"),"dir")</f>
        <v>dir</v>
      </c>
      <c r="C64" s="2" t="str">
        <f>IFERROR(__xludf.DUMMYFUNCTION("""COMPUTED_VALUE"""),"slzdbm")</f>
        <v>slzdbm</v>
      </c>
      <c r="D64" s="2" t="str">
        <f>IFERROR(__xludf.DUMMYFUNCTION("IF(AND(B64=""$cd"",C64&lt;&gt;""..""),CONCATENATE(D63,""/"",C64),IF(C64="".."",MID(D63,1,LEN(D63)-LEN(REGEXEXTRACT(D63,""(/\w*)$""))),D63))"),"//lrvl/bqqltcg")</f>
        <v>//lrvl/bqqltcg</v>
      </c>
      <c r="E64" s="2" t="str">
        <f>IFERROR(__xludf.DUMMYFUNCTION("""COMPUTED_VALUE"""),"//lrvl/zhbpqlnd/clnqtjz/rrn/rgrwp/npr/nrbjzvgq")</f>
        <v>//lrvl/zhbpqlnd/clnqtjz/rrn/rgrwp/npr/nrbjzvgq</v>
      </c>
      <c r="F64" s="2">
        <f t="shared" si="1"/>
        <v>492253</v>
      </c>
      <c r="K64" s="2">
        <v>178036.0</v>
      </c>
    </row>
    <row r="65">
      <c r="A65" s="1" t="s">
        <v>46</v>
      </c>
      <c r="B65" s="2" t="str">
        <f>IFERROR(__xludf.DUMMYFUNCTION("SPLIT(A65,"" "")"),"dir")</f>
        <v>dir</v>
      </c>
      <c r="C65" s="2" t="str">
        <f>IFERROR(__xludf.DUMMYFUNCTION("""COMPUTED_VALUE"""),"zcgrgff")</f>
        <v>zcgrgff</v>
      </c>
      <c r="D65" s="2" t="str">
        <f>IFERROR(__xludf.DUMMYFUNCTION("IF(AND(B65=""$cd"",C65&lt;&gt;""..""),CONCATENATE(D64,""/"",C65),IF(C65="".."",MID(D64,1,LEN(D64)-LEN(REGEXEXTRACT(D64,""(/\w*)$""))),D64))"),"//lrvl/bqqltcg")</f>
        <v>//lrvl/bqqltcg</v>
      </c>
      <c r="E65" s="2" t="str">
        <f>IFERROR(__xludf.DUMMYFUNCTION("""COMPUTED_VALUE"""),"//lrvl/zhbpqlnd/clnqtjz/rrn/rgrwp/npr/nrbjzvgq/zcgrgff")</f>
        <v>//lrvl/zhbpqlnd/clnqtjz/rrn/rgrwp/npr/nrbjzvgq/zcgrgff</v>
      </c>
      <c r="F65" s="2">
        <f t="shared" si="1"/>
        <v>1496660</v>
      </c>
      <c r="K65" s="2">
        <v>178036.0</v>
      </c>
    </row>
    <row r="66">
      <c r="A66" s="1" t="s">
        <v>620</v>
      </c>
      <c r="B66" s="2" t="str">
        <f>IFERROR(__xludf.DUMMYFUNCTION("SPLIT(A66,"" "")"),"$cd")</f>
        <v>$cd</v>
      </c>
      <c r="C66" s="2" t="str">
        <f>IFERROR(__xludf.DUMMYFUNCTION("""COMPUTED_VALUE"""),"dlbjblbf")</f>
        <v>dlbjblbf</v>
      </c>
      <c r="D66" s="2" t="str">
        <f>IFERROR(__xludf.DUMMYFUNCTION("IF(AND(B66=""$cd"",C66&lt;&gt;""..""),CONCATENATE(D65,""/"",C66),IF(C66="".."",MID(D65,1,LEN(D65)-LEN(REGEXEXTRACT(D65,""(/\w*)$""))),D65))"),"//lrvl/bqqltcg/dlbjblbf")</f>
        <v>//lrvl/bqqltcg/dlbjblbf</v>
      </c>
      <c r="E66" s="2" t="str">
        <f>IFERROR(__xludf.DUMMYFUNCTION("""COMPUTED_VALUE"""),"//lrvl/zhbpqlnd/clnqtjz/rrn/rgrwp/npr/znbwnh")</f>
        <v>//lrvl/zhbpqlnd/clnqtjz/rrn/rgrwp/npr/znbwnh</v>
      </c>
      <c r="F66" s="2">
        <f t="shared" si="1"/>
        <v>704840</v>
      </c>
      <c r="K66" s="2">
        <v>181282.0</v>
      </c>
    </row>
    <row r="67">
      <c r="A67" s="1" t="s">
        <v>609</v>
      </c>
      <c r="B67" s="2" t="str">
        <f>IFERROR(__xludf.DUMMYFUNCTION("SPLIT(A67,"" "")"),"$ls")</f>
        <v>$ls</v>
      </c>
      <c r="D67" s="2" t="str">
        <f>IFERROR(__xludf.DUMMYFUNCTION("IF(AND(B67=""$cd"",C67&lt;&gt;""..""),CONCATENATE(D66,""/"",C67),IF(C67="".."",MID(D66,1,LEN(D66)-LEN(REGEXEXTRACT(D66,""(/\w*)$""))),D66))"),"//lrvl/bqqltcg/dlbjblbf")</f>
        <v>//lrvl/bqqltcg/dlbjblbf</v>
      </c>
      <c r="E67" s="2" t="str">
        <f>IFERROR(__xludf.DUMMYFUNCTION("""COMPUTED_VALUE"""),"//lrvl/zhbpqlnd/clnqtjz/rrn/rgrwp/sdsppq")</f>
        <v>//lrvl/zhbpqlnd/clnqtjz/rrn/rgrwp/sdsppq</v>
      </c>
      <c r="F67" s="2">
        <f t="shared" si="1"/>
        <v>124604</v>
      </c>
      <c r="K67" s="2">
        <v>183686.0</v>
      </c>
    </row>
    <row r="68">
      <c r="A68" s="1" t="s">
        <v>48</v>
      </c>
      <c r="B68" s="2">
        <f>IFERROR(__xludf.DUMMYFUNCTION("SPLIT(A68,"" "")"),11732.0)</f>
        <v>11732</v>
      </c>
      <c r="C68" s="2" t="str">
        <f>IFERROR(__xludf.DUMMYFUNCTION("""COMPUTED_VALUE"""),"rnsrrf.rtv")</f>
        <v>rnsrrf.rtv</v>
      </c>
      <c r="D68" s="2" t="str">
        <f>IFERROR(__xludf.DUMMYFUNCTION("IF(AND(B68=""$cd"",C68&lt;&gt;""..""),CONCATENATE(D67,""/"",C68),IF(C68="".."",MID(D67,1,LEN(D67)-LEN(REGEXEXTRACT(D67,""(/\w*)$""))),D67))"),"//lrvl/bqqltcg/dlbjblbf")</f>
        <v>//lrvl/bqqltcg/dlbjblbf</v>
      </c>
      <c r="E68" s="2" t="str">
        <f>IFERROR(__xludf.DUMMYFUNCTION("""COMPUTED_VALUE"""),"//lrvl/zhbpqlnd/clnqtjz/rrn/rgrwp/sdsppq/jnwr")</f>
        <v>//lrvl/zhbpqlnd/clnqtjz/rrn/rgrwp/sdsppq/jnwr</v>
      </c>
      <c r="F68" s="2">
        <f t="shared" si="1"/>
        <v>228293</v>
      </c>
      <c r="K68" s="2">
        <v>184707.0</v>
      </c>
    </row>
    <row r="69">
      <c r="A69" s="1" t="s">
        <v>612</v>
      </c>
      <c r="B69" s="2" t="str">
        <f>IFERROR(__xludf.DUMMYFUNCTION("SPLIT(A69,"" "")"),"$cd")</f>
        <v>$cd</v>
      </c>
      <c r="C69" s="2" t="str">
        <f>IFERROR(__xludf.DUMMYFUNCTION("""COMPUTED_VALUE"""),"..")</f>
        <v>..</v>
      </c>
      <c r="D69" s="2" t="str">
        <f>IFERROR(__xludf.DUMMYFUNCTION("IF(AND(B69=""$cd"",C69&lt;&gt;""..""),CONCATENATE(D68,""/"",C69),IF(C69="".."",MID(D68,1,LEN(D68)-LEN(REGEXEXTRACT(D68,""(/\w*)$""))),D68))"),"//lrvl/bqqltcg")</f>
        <v>//lrvl/bqqltcg</v>
      </c>
      <c r="E69" s="2" t="str">
        <f>IFERROR(__xludf.DUMMYFUNCTION("""COMPUTED_VALUE"""),"//lrvl/zhbpqlnd/clnqtjz/rrn/rgrwp/sdsppq/jnwr/gjt")</f>
        <v>//lrvl/zhbpqlnd/clnqtjz/rrn/rgrwp/sdsppq/jnwr/gjt</v>
      </c>
      <c r="F69" s="2">
        <f t="shared" si="1"/>
        <v>2898091</v>
      </c>
      <c r="K69" s="2">
        <v>185769.0</v>
      </c>
    </row>
    <row r="70">
      <c r="A70" s="1" t="s">
        <v>621</v>
      </c>
      <c r="B70" s="2" t="str">
        <f>IFERROR(__xludf.DUMMYFUNCTION("SPLIT(A70,"" "")"),"$cd")</f>
        <v>$cd</v>
      </c>
      <c r="C70" s="2" t="str">
        <f>IFERROR(__xludf.DUMMYFUNCTION("""COMPUTED_VALUE"""),"fdlw")</f>
        <v>fdlw</v>
      </c>
      <c r="D70" s="2" t="str">
        <f>IFERROR(__xludf.DUMMYFUNCTION("IF(AND(B70=""$cd"",C70&lt;&gt;""..""),CONCATENATE(D69,""/"",C70),IF(C70="".."",MID(D69,1,LEN(D69)-LEN(REGEXEXTRACT(D69,""(/\w*)$""))),D69))"),"//lrvl/bqqltcg/fdlw")</f>
        <v>//lrvl/bqqltcg/fdlw</v>
      </c>
      <c r="E70" s="2" t="str">
        <f>IFERROR(__xludf.DUMMYFUNCTION("""COMPUTED_VALUE"""),"//lrvl/zhbpqlnd/clnqtjz/rrn/rgrwp/sdsppq/jnwr/hlvpfw")</f>
        <v>//lrvl/zhbpqlnd/clnqtjz/rrn/rgrwp/sdsppq/jnwr/hlvpfw</v>
      </c>
      <c r="F70" s="2">
        <f t="shared" si="1"/>
        <v>1581051</v>
      </c>
      <c r="K70" s="2">
        <v>185769.0</v>
      </c>
    </row>
    <row r="71">
      <c r="A71" s="1" t="s">
        <v>609</v>
      </c>
      <c r="B71" s="2" t="str">
        <f>IFERROR(__xludf.DUMMYFUNCTION("SPLIT(A71,"" "")"),"$ls")</f>
        <v>$ls</v>
      </c>
      <c r="D71" s="2" t="str">
        <f>IFERROR(__xludf.DUMMYFUNCTION("IF(AND(B71=""$cd"",C71&lt;&gt;""..""),CONCATENATE(D70,""/"",C71),IF(C71="".."",MID(D70,1,LEN(D70)-LEN(REGEXEXTRACT(D70,""(/\w*)$""))),D70))"),"//lrvl/bqqltcg/fdlw")</f>
        <v>//lrvl/bqqltcg/fdlw</v>
      </c>
      <c r="E71" s="2" t="str">
        <f>IFERROR(__xludf.DUMMYFUNCTION("""COMPUTED_VALUE"""),"//lrvl/zhbpqlnd/clnqtjz/rrn/rgrwp/sdsppq/jnwr/nbsdvpnj")</f>
        <v>//lrvl/zhbpqlnd/clnqtjz/rrn/rgrwp/sdsppq/jnwr/nbsdvpnj</v>
      </c>
      <c r="F71" s="2">
        <f t="shared" si="1"/>
        <v>184707</v>
      </c>
      <c r="K71" s="2">
        <v>186613.0</v>
      </c>
    </row>
    <row r="72">
      <c r="A72" s="1" t="s">
        <v>50</v>
      </c>
      <c r="B72" s="2" t="str">
        <f>IFERROR(__xludf.DUMMYFUNCTION("SPLIT(A72,"" "")"),"dir")</f>
        <v>dir</v>
      </c>
      <c r="C72" s="2" t="str">
        <f>IFERROR(__xludf.DUMMYFUNCTION("""COMPUTED_VALUE"""),"hlvpfw")</f>
        <v>hlvpfw</v>
      </c>
      <c r="D72" s="2" t="str">
        <f>IFERROR(__xludf.DUMMYFUNCTION("IF(AND(B72=""$cd"",C72&lt;&gt;""..""),CONCATENATE(D71,""/"",C72),IF(C72="".."",MID(D71,1,LEN(D71)-LEN(REGEXEXTRACT(D71,""(/\w*)$""))),D71))"),"//lrvl/bqqltcg/fdlw")</f>
        <v>//lrvl/bqqltcg/fdlw</v>
      </c>
      <c r="E72" s="2" t="str">
        <f>IFERROR(__xludf.DUMMYFUNCTION("""COMPUTED_VALUE"""),"//lrvl/zhbpqlnd/clnqtjz/rrn/rgrwp/sdsppq/jnwr/zcgrgff")</f>
        <v>//lrvl/zhbpqlnd/clnqtjz/rrn/rgrwp/sdsppq/jnwr/zcgrgff</v>
      </c>
      <c r="F72" s="2">
        <f t="shared" si="1"/>
        <v>242810</v>
      </c>
      <c r="K72" s="2">
        <v>188389.0</v>
      </c>
    </row>
    <row r="73">
      <c r="A73" s="1" t="s">
        <v>51</v>
      </c>
      <c r="B73" s="2">
        <f>IFERROR(__xludf.DUMMYFUNCTION("SPLIT(A73,"" "")"),228436.0)</f>
        <v>228436</v>
      </c>
      <c r="C73" s="2" t="str">
        <f>IFERROR(__xludf.DUMMYFUNCTION("""COMPUTED_VALUE"""),"mzsfcvgv.pqw")</f>
        <v>mzsfcvgv.pqw</v>
      </c>
      <c r="D73" s="2" t="str">
        <f>IFERROR(__xludf.DUMMYFUNCTION("IF(AND(B73=""$cd"",C73&lt;&gt;""..""),CONCATENATE(D72,""/"",C73),IF(C73="".."",MID(D72,1,LEN(D72)-LEN(REGEXEXTRACT(D72,""(/\w*)$""))),D72))"),"//lrvl/bqqltcg/fdlw")</f>
        <v>//lrvl/bqqltcg/fdlw</v>
      </c>
      <c r="E73" s="2" t="str">
        <f>IFERROR(__xludf.DUMMYFUNCTION("""COMPUTED_VALUE"""),"//lrvl/zhbpqlnd/clnqtjz/rrn/rgrwp/sdsppq/njtrhrfm")</f>
        <v>//lrvl/zhbpqlnd/clnqtjz/rrn/rgrwp/sdsppq/njtrhrfm</v>
      </c>
      <c r="F73" s="2">
        <f t="shared" si="1"/>
        <v>691179</v>
      </c>
      <c r="K73" s="2">
        <v>188814.0</v>
      </c>
    </row>
    <row r="74">
      <c r="A74" s="1" t="s">
        <v>622</v>
      </c>
      <c r="B74" s="2" t="str">
        <f>IFERROR(__xludf.DUMMYFUNCTION("SPLIT(A74,"" "")"),"$cd")</f>
        <v>$cd</v>
      </c>
      <c r="C74" s="2" t="str">
        <f>IFERROR(__xludf.DUMMYFUNCTION("""COMPUTED_VALUE"""),"hlvpfw")</f>
        <v>hlvpfw</v>
      </c>
      <c r="D74" s="2" t="str">
        <f>IFERROR(__xludf.DUMMYFUNCTION("IF(AND(B74=""$cd"",C74&lt;&gt;""..""),CONCATENATE(D73,""/"",C74),IF(C74="".."",MID(D73,1,LEN(D73)-LEN(REGEXEXTRACT(D73,""(/\w*)$""))),D73))"),"//lrvl/bqqltcg/fdlw/hlvpfw")</f>
        <v>//lrvl/bqqltcg/fdlw/hlvpfw</v>
      </c>
      <c r="E74" s="2" t="str">
        <f>IFERROR(__xludf.DUMMYFUNCTION("""COMPUTED_VALUE"""),"//lrvl/zhbpqlnd/clnqtjz/rrn/rgrwp/sdsppq/njtrhrfm/dqpjdztt")</f>
        <v>//lrvl/zhbpqlnd/clnqtjz/rrn/rgrwp/sdsppq/njtrhrfm/dqpjdztt</v>
      </c>
      <c r="F74" s="2">
        <f t="shared" si="1"/>
        <v>188814</v>
      </c>
      <c r="K74" s="2">
        <v>189595.0</v>
      </c>
    </row>
    <row r="75">
      <c r="A75" s="1" t="s">
        <v>609</v>
      </c>
      <c r="B75" s="2" t="str">
        <f>IFERROR(__xludf.DUMMYFUNCTION("SPLIT(A75,"" "")"),"$ls")</f>
        <v>$ls</v>
      </c>
      <c r="D75" s="2" t="str">
        <f>IFERROR(__xludf.DUMMYFUNCTION("IF(AND(B75=""$cd"",C75&lt;&gt;""..""),CONCATENATE(D74,""/"",C75),IF(C75="".."",MID(D74,1,LEN(D74)-LEN(REGEXEXTRACT(D74,""(/\w*)$""))),D74))"),"//lrvl/bqqltcg/fdlw/hlvpfw")</f>
        <v>//lrvl/bqqltcg/fdlw/hlvpfw</v>
      </c>
      <c r="E75" s="2" t="str">
        <f>IFERROR(__xludf.DUMMYFUNCTION("""COMPUTED_VALUE"""),"//lrvl/zhbpqlnd/clnqtjz/rrn/rgrwp/sdsppq/tvq")</f>
        <v>//lrvl/zhbpqlnd/clnqtjz/rrn/rgrwp/sdsppq/tvq</v>
      </c>
      <c r="F75" s="2">
        <f t="shared" si="1"/>
        <v>178036</v>
      </c>
      <c r="K75" s="2">
        <v>195811.0</v>
      </c>
    </row>
    <row r="76">
      <c r="A76" s="1" t="s">
        <v>53</v>
      </c>
      <c r="B76" s="2" t="str">
        <f>IFERROR(__xludf.DUMMYFUNCTION("SPLIT(A76,"" "")"),"dir")</f>
        <v>dir</v>
      </c>
      <c r="C76" s="2" t="str">
        <f>IFERROR(__xludf.DUMMYFUNCTION("""COMPUTED_VALUE"""),"dhwq")</f>
        <v>dhwq</v>
      </c>
      <c r="D76" s="2" t="str">
        <f>IFERROR(__xludf.DUMMYFUNCTION("IF(AND(B76=""$cd"",C76&lt;&gt;""..""),CONCATENATE(D75,""/"",C76),IF(C76="".."",MID(D75,1,LEN(D75)-LEN(REGEXEXTRACT(D75,""(/\w*)$""))),D75))"),"//lrvl/bqqltcg/fdlw/hlvpfw")</f>
        <v>//lrvl/bqqltcg/fdlw/hlvpfw</v>
      </c>
      <c r="E76" s="2" t="str">
        <f>IFERROR(__xludf.DUMMYFUNCTION("""COMPUTED_VALUE"""),"//lrvl/zhbpqlnd/clnqtjz/rrn/rgrwp/sdsppq/wshgn")</f>
        <v>//lrvl/zhbpqlnd/clnqtjz/rrn/rgrwp/sdsppq/wshgn</v>
      </c>
      <c r="F76" s="2">
        <f t="shared" si="1"/>
        <v>178036</v>
      </c>
      <c r="K76" s="2">
        <v>196732.0</v>
      </c>
    </row>
    <row r="77">
      <c r="A77" s="1" t="s">
        <v>623</v>
      </c>
      <c r="B77" s="2" t="str">
        <f>IFERROR(__xludf.DUMMYFUNCTION("SPLIT(A77,"" "")"),"$cd")</f>
        <v>$cd</v>
      </c>
      <c r="C77" s="2" t="str">
        <f>IFERROR(__xludf.DUMMYFUNCTION("""COMPUTED_VALUE"""),"dhwq")</f>
        <v>dhwq</v>
      </c>
      <c r="D77" s="2" t="str">
        <f>IFERROR(__xludf.DUMMYFUNCTION("IF(AND(B77=""$cd"",C77&lt;&gt;""..""),CONCATENATE(D76,""/"",C77),IF(C77="".."",MID(D76,1,LEN(D76)-LEN(REGEXEXTRACT(D76,""(/\w*)$""))),D76))"),"//lrvl/bqqltcg/fdlw/hlvpfw/dhwq")</f>
        <v>//lrvl/bqqltcg/fdlw/hlvpfw/dhwq</v>
      </c>
      <c r="E77" s="2" t="str">
        <f>IFERROR(__xludf.DUMMYFUNCTION("""COMPUTED_VALUE"""),"//lrvl/zhbpqlnd/clnqtjz/rrn/rgrwp/sdsppq/wshgn/ntrlll")</f>
        <v>//lrvl/zhbpqlnd/clnqtjz/rrn/rgrwp/sdsppq/wshgn/ntrlll</v>
      </c>
      <c r="F77" s="2">
        <f t="shared" si="1"/>
        <v>448698</v>
      </c>
      <c r="K77" s="2">
        <v>198197.0</v>
      </c>
    </row>
    <row r="78">
      <c r="A78" s="1" t="s">
        <v>609</v>
      </c>
      <c r="B78" s="2" t="str">
        <f>IFERROR(__xludf.DUMMYFUNCTION("SPLIT(A78,"" "")"),"$ls")</f>
        <v>$ls</v>
      </c>
      <c r="D78" s="2" t="str">
        <f>IFERROR(__xludf.DUMMYFUNCTION("IF(AND(B78=""$cd"",C78&lt;&gt;""..""),CONCATENATE(D77,""/"",C78),IF(C78="".."",MID(D77,1,LEN(D77)-LEN(REGEXEXTRACT(D77,""(/\w*)$""))),D77))"),"//lrvl/bqqltcg/fdlw/hlvpfw/dhwq")</f>
        <v>//lrvl/bqqltcg/fdlw/hlvpfw/dhwq</v>
      </c>
      <c r="E78" s="2" t="str">
        <f>IFERROR(__xludf.DUMMYFUNCTION("""COMPUTED_VALUE"""),"//lrvl/zhbpqlnd/fdsqmnn")</f>
        <v>//lrvl/zhbpqlnd/fdsqmnn</v>
      </c>
      <c r="F78" s="2">
        <f t="shared" si="1"/>
        <v>454565</v>
      </c>
      <c r="K78" s="2">
        <v>203902.0</v>
      </c>
    </row>
    <row r="79">
      <c r="A79" s="1" t="s">
        <v>55</v>
      </c>
      <c r="B79" s="2">
        <f>IFERROR(__xludf.DUMMYFUNCTION("SPLIT(A79,"" "")"),127459.0)</f>
        <v>127459</v>
      </c>
      <c r="C79" s="2" t="str">
        <f>IFERROR(__xludf.DUMMYFUNCTION("""COMPUTED_VALUE"""),"cgdpqh.tct")</f>
        <v>cgdpqh.tct</v>
      </c>
      <c r="D79" s="2" t="str">
        <f>IFERROR(__xludf.DUMMYFUNCTION("IF(AND(B79=""$cd"",C79&lt;&gt;""..""),CONCATENATE(D78,""/"",C79),IF(C79="".."",MID(D78,1,LEN(D78)-LEN(REGEXEXTRACT(D78,""(/\w*)$""))),D78))"),"//lrvl/bqqltcg/fdlw/hlvpfw/dhwq")</f>
        <v>//lrvl/bqqltcg/fdlw/hlvpfw/dhwq</v>
      </c>
      <c r="E79" s="2" t="str">
        <f>IFERROR(__xludf.DUMMYFUNCTION("""COMPUTED_VALUE"""),"//lrvl/zhbpqlnd/fdsqmnn/dfl")</f>
        <v>//lrvl/zhbpqlnd/fdsqmnn/dfl</v>
      </c>
      <c r="F79" s="2">
        <f t="shared" si="1"/>
        <v>245558</v>
      </c>
      <c r="K79" s="2">
        <v>205684.0</v>
      </c>
    </row>
    <row r="80">
      <c r="A80" s="1" t="s">
        <v>56</v>
      </c>
      <c r="B80" s="2">
        <f>IFERROR(__xludf.DUMMYFUNCTION("SPLIT(A80,"" "")"),58310.0)</f>
        <v>58310</v>
      </c>
      <c r="C80" s="2" t="str">
        <f>IFERROR(__xludf.DUMMYFUNCTION("""COMPUTED_VALUE"""),"jnwr.nqt")</f>
        <v>jnwr.nqt</v>
      </c>
      <c r="D80" s="2" t="str">
        <f>IFERROR(__xludf.DUMMYFUNCTION("IF(AND(B80=""$cd"",C80&lt;&gt;""..""),CONCATENATE(D79,""/"",C80),IF(C80="".."",MID(D79,1,LEN(D79)-LEN(REGEXEXTRACT(D79,""(/\w*)$""))),D79))"),"//lrvl/bqqltcg/fdlw/hlvpfw/dhwq")</f>
        <v>//lrvl/bqqltcg/fdlw/hlvpfw/dhwq</v>
      </c>
      <c r="E80" s="2" t="str">
        <f>IFERROR(__xludf.DUMMYFUNCTION("""COMPUTED_VALUE"""),"//lrvl/zhbpqlnd/fdsqmnn/hqffnmq")</f>
        <v>//lrvl/zhbpqlnd/fdsqmnn/hqffnmq</v>
      </c>
      <c r="F80" s="2">
        <f t="shared" si="1"/>
        <v>868116</v>
      </c>
      <c r="K80" s="2">
        <v>207755.0</v>
      </c>
    </row>
    <row r="81">
      <c r="A81" s="1" t="s">
        <v>612</v>
      </c>
      <c r="B81" s="2" t="str">
        <f>IFERROR(__xludf.DUMMYFUNCTION("SPLIT(A81,"" "")"),"$cd")</f>
        <v>$cd</v>
      </c>
      <c r="C81" s="2" t="str">
        <f>IFERROR(__xludf.DUMMYFUNCTION("""COMPUTED_VALUE"""),"..")</f>
        <v>..</v>
      </c>
      <c r="D81" s="2" t="str">
        <f>IFERROR(__xludf.DUMMYFUNCTION("IF(AND(B81=""$cd"",C81&lt;&gt;""..""),CONCATENATE(D80,""/"",C81),IF(C81="".."",MID(D80,1,LEN(D80)-LEN(REGEXEXTRACT(D80,""(/\w*)$""))),D80))"),"//lrvl/bqqltcg/fdlw/hlvpfw")</f>
        <v>//lrvl/bqqltcg/fdlw/hlvpfw</v>
      </c>
      <c r="E81" s="2" t="str">
        <f>IFERROR(__xludf.DUMMYFUNCTION("""COMPUTED_VALUE"""),"//lrvl/zhbpqlnd/fdsqmnn/ztc")</f>
        <v>//lrvl/zhbpqlnd/fdsqmnn/ztc</v>
      </c>
      <c r="F81" s="2">
        <f t="shared" si="1"/>
        <v>324132</v>
      </c>
      <c r="K81" s="2">
        <v>208370.0</v>
      </c>
    </row>
    <row r="82">
      <c r="A82" s="1" t="s">
        <v>612</v>
      </c>
      <c r="B82" s="2" t="str">
        <f>IFERROR(__xludf.DUMMYFUNCTION("SPLIT(A82,"" "")"),"$cd")</f>
        <v>$cd</v>
      </c>
      <c r="C82" s="2" t="str">
        <f>IFERROR(__xludf.DUMMYFUNCTION("""COMPUTED_VALUE"""),"..")</f>
        <v>..</v>
      </c>
      <c r="D82" s="2" t="str">
        <f>IFERROR(__xludf.DUMMYFUNCTION("IF(AND(B82=""$cd"",C82&lt;&gt;""..""),CONCATENATE(D81,""/"",C82),IF(C82="".."",MID(D81,1,LEN(D81)-LEN(REGEXEXTRACT(D81,""(/\w*)$""))),D81))"),"//lrvl/bqqltcg/fdlw")</f>
        <v>//lrvl/bqqltcg/fdlw</v>
      </c>
      <c r="E82" s="2" t="str">
        <f>IFERROR(__xludf.DUMMYFUNCTION("""COMPUTED_VALUE"""),"//lrvl/zhbpqlnd/fwdt")</f>
        <v>//lrvl/zhbpqlnd/fwdt</v>
      </c>
      <c r="F82" s="2">
        <f t="shared" si="1"/>
        <v>28438</v>
      </c>
      <c r="K82" s="2">
        <v>213872.0</v>
      </c>
    </row>
    <row r="83">
      <c r="A83" s="1" t="s">
        <v>612</v>
      </c>
      <c r="B83" s="2" t="str">
        <f>IFERROR(__xludf.DUMMYFUNCTION("SPLIT(A83,"" "")"),"$cd")</f>
        <v>$cd</v>
      </c>
      <c r="C83" s="2" t="str">
        <f>IFERROR(__xludf.DUMMYFUNCTION("""COMPUTED_VALUE"""),"..")</f>
        <v>..</v>
      </c>
      <c r="D83" s="2" t="str">
        <f>IFERROR(__xludf.DUMMYFUNCTION("IF(AND(B83=""$cd"",C83&lt;&gt;""..""),CONCATENATE(D82,""/"",C83),IF(C83="".."",MID(D82,1,LEN(D82)-LEN(REGEXEXTRACT(D82,""(/\w*)$""))),D82))"),"//lrvl/bqqltcg")</f>
        <v>//lrvl/bqqltcg</v>
      </c>
      <c r="E83" s="2" t="str">
        <f>IFERROR(__xludf.DUMMYFUNCTION("""COMPUTED_VALUE"""),"//lrvl/zhbpqlnd/fwdt/cdcc")</f>
        <v>//lrvl/zhbpqlnd/fwdt/cdcc</v>
      </c>
      <c r="F83" s="2">
        <f t="shared" si="1"/>
        <v>247470</v>
      </c>
      <c r="K83" s="2">
        <v>221254.0</v>
      </c>
    </row>
    <row r="84">
      <c r="A84" s="1" t="s">
        <v>614</v>
      </c>
      <c r="B84" s="2" t="str">
        <f>IFERROR(__xludf.DUMMYFUNCTION("SPLIT(A84,"" "")"),"$cd")</f>
        <v>$cd</v>
      </c>
      <c r="C84" s="2" t="str">
        <f>IFERROR(__xludf.DUMMYFUNCTION("""COMPUTED_VALUE"""),"jnwr")</f>
        <v>jnwr</v>
      </c>
      <c r="D84" s="2" t="str">
        <f>IFERROR(__xludf.DUMMYFUNCTION("IF(AND(B84=""$cd"",C84&lt;&gt;""..""),CONCATENATE(D83,""/"",C84),IF(C84="".."",MID(D83,1,LEN(D83)-LEN(REGEXEXTRACT(D83,""(/\w*)$""))),D83))"),"//lrvl/bqqltcg/jnwr")</f>
        <v>//lrvl/bqqltcg/jnwr</v>
      </c>
      <c r="E84" s="2" t="str">
        <f>IFERROR(__xludf.DUMMYFUNCTION("""COMPUTED_VALUE"""),"//lrvl/zhbpqlnd/fwdt/cdcc/cwpfczr")</f>
        <v>//lrvl/zhbpqlnd/fwdt/cdcc/cwpfczr</v>
      </c>
      <c r="F84" s="2">
        <f t="shared" si="1"/>
        <v>1941889</v>
      </c>
      <c r="K84" s="2">
        <v>228293.0</v>
      </c>
    </row>
    <row r="85">
      <c r="A85" s="1" t="s">
        <v>609</v>
      </c>
      <c r="B85" s="2" t="str">
        <f>IFERROR(__xludf.DUMMYFUNCTION("SPLIT(A85,"" "")"),"$ls")</f>
        <v>$ls</v>
      </c>
      <c r="D85" s="2" t="str">
        <f>IFERROR(__xludf.DUMMYFUNCTION("IF(AND(B85=""$cd"",C85&lt;&gt;""..""),CONCATENATE(D84,""/"",C85),IF(C85="".."",MID(D84,1,LEN(D84)-LEN(REGEXEXTRACT(D84,""(/\w*)$""))),D84))"),"//lrvl/bqqltcg/jnwr")</f>
        <v>//lrvl/bqqltcg/jnwr</v>
      </c>
      <c r="E85" s="2" t="str">
        <f>IFERROR(__xludf.DUMMYFUNCTION("""COMPUTED_VALUE"""),"//lrvl/zhbpqlnd/fwdt/cdcc/lsrgfml")</f>
        <v>//lrvl/zhbpqlnd/fwdt/cdcc/lsrgfml</v>
      </c>
      <c r="F85" s="2">
        <f t="shared" si="1"/>
        <v>367058</v>
      </c>
      <c r="K85" s="2">
        <v>240747.0</v>
      </c>
    </row>
    <row r="86">
      <c r="A86" s="1" t="s">
        <v>57</v>
      </c>
      <c r="B86" s="2">
        <f>IFERROR(__xludf.DUMMYFUNCTION("SPLIT(A86,"" "")"),305998.0)</f>
        <v>305998</v>
      </c>
      <c r="C86" s="2" t="str">
        <f>IFERROR(__xludf.DUMMYFUNCTION("""COMPUTED_VALUE"""),"ssssrhwz")</f>
        <v>ssssrhwz</v>
      </c>
      <c r="D86" s="2" t="str">
        <f>IFERROR(__xludf.DUMMYFUNCTION("IF(AND(B86=""$cd"",C86&lt;&gt;""..""),CONCATENATE(D85,""/"",C86),IF(C86="".."",MID(D85,1,LEN(D85)-LEN(REGEXEXTRACT(D85,""(/\w*)$""))),D85))"),"//lrvl/bqqltcg/jnwr")</f>
        <v>//lrvl/bqqltcg/jnwr</v>
      </c>
      <c r="E86" s="2" t="str">
        <f>IFERROR(__xludf.DUMMYFUNCTION("""COMPUTED_VALUE"""),"//lrvl/zhbpqlnd/fwdt/jldlzttm")</f>
        <v>//lrvl/zhbpqlnd/fwdt/jldlzttm</v>
      </c>
      <c r="F86" s="2">
        <f t="shared" si="1"/>
        <v>303853</v>
      </c>
      <c r="K86" s="2">
        <v>241851.0</v>
      </c>
    </row>
    <row r="87">
      <c r="A87" s="1" t="s">
        <v>58</v>
      </c>
      <c r="B87" s="2">
        <f>IFERROR(__xludf.DUMMYFUNCTION("SPLIT(A87,"" "")"),129135.0)</f>
        <v>129135</v>
      </c>
      <c r="C87" s="2" t="str">
        <f>IFERROR(__xludf.DUMMYFUNCTION("""COMPUTED_VALUE"""),"vrt.qdt")</f>
        <v>vrt.qdt</v>
      </c>
      <c r="D87" s="2" t="str">
        <f>IFERROR(__xludf.DUMMYFUNCTION("IF(AND(B87=""$cd"",C87&lt;&gt;""..""),CONCATENATE(D86,""/"",C87),IF(C87="".."",MID(D86,1,LEN(D86)-LEN(REGEXEXTRACT(D86,""(/\w*)$""))),D86))"),"//lrvl/bqqltcg/jnwr")</f>
        <v>//lrvl/bqqltcg/jnwr</v>
      </c>
      <c r="E87" s="2" t="str">
        <f>IFERROR(__xludf.DUMMYFUNCTION("""COMPUTED_VALUE"""),"//lrvl/zhbpqlnd/fwdt/sws")</f>
        <v>//lrvl/zhbpqlnd/fwdt/sws</v>
      </c>
      <c r="F87" s="2">
        <f t="shared" si="1"/>
        <v>63205</v>
      </c>
      <c r="K87" s="2">
        <v>242810.0</v>
      </c>
    </row>
    <row r="88">
      <c r="A88" s="1" t="s">
        <v>59</v>
      </c>
      <c r="B88" s="2">
        <f>IFERROR(__xludf.DUMMYFUNCTION("SPLIT(A88,"" "")"),86204.0)</f>
        <v>86204</v>
      </c>
      <c r="C88" s="2" t="str">
        <f>IFERROR(__xludf.DUMMYFUNCTION("""COMPUTED_VALUE"""),"wnvm.bld")</f>
        <v>wnvm.bld</v>
      </c>
      <c r="D88" s="2" t="str">
        <f>IFERROR(__xludf.DUMMYFUNCTION("IF(AND(B88=""$cd"",C88&lt;&gt;""..""),CONCATENATE(D87,""/"",C88),IF(C88="".."",MID(D87,1,LEN(D87)-LEN(REGEXEXTRACT(D87,""(/\w*)$""))),D87))"),"//lrvl/bqqltcg/jnwr")</f>
        <v>//lrvl/bqqltcg/jnwr</v>
      </c>
      <c r="E88" s="2" t="str">
        <f>IFERROR(__xludf.DUMMYFUNCTION("""COMPUTED_VALUE"""),"//lrvl/zhbpqlnd/fwdt/sws/hlvpfw")</f>
        <v>//lrvl/zhbpqlnd/fwdt/sws/hlvpfw</v>
      </c>
      <c r="F88" s="2">
        <f t="shared" si="1"/>
        <v>720197</v>
      </c>
      <c r="K88" s="2">
        <v>244001.0</v>
      </c>
    </row>
    <row r="89">
      <c r="A89" s="1" t="s">
        <v>612</v>
      </c>
      <c r="B89" s="2" t="str">
        <f>IFERROR(__xludf.DUMMYFUNCTION("SPLIT(A89,"" "")"),"$cd")</f>
        <v>$cd</v>
      </c>
      <c r="C89" s="2" t="str">
        <f>IFERROR(__xludf.DUMMYFUNCTION("""COMPUTED_VALUE"""),"..")</f>
        <v>..</v>
      </c>
      <c r="D89" s="2" t="str">
        <f>IFERROR(__xludf.DUMMYFUNCTION("IF(AND(B89=""$cd"",C89&lt;&gt;""..""),CONCATENATE(D88,""/"",C89),IF(C89="".."",MID(D88,1,LEN(D88)-LEN(REGEXEXTRACT(D88,""(/\w*)$""))),D88))"),"//lrvl/bqqltcg")</f>
        <v>//lrvl/bqqltcg</v>
      </c>
      <c r="E89" s="2" t="str">
        <f>IFERROR(__xludf.DUMMYFUNCTION("""COMPUTED_VALUE"""),"//lrvl/zhbpqlnd/nljb")</f>
        <v>//lrvl/zhbpqlnd/nljb</v>
      </c>
      <c r="F89" s="2">
        <f t="shared" si="1"/>
        <v>146536</v>
      </c>
      <c r="K89" s="2">
        <v>245558.0</v>
      </c>
    </row>
    <row r="90">
      <c r="A90" s="1" t="s">
        <v>624</v>
      </c>
      <c r="B90" s="2" t="str">
        <f>IFERROR(__xludf.DUMMYFUNCTION("SPLIT(A90,"" "")"),"$cd")</f>
        <v>$cd</v>
      </c>
      <c r="C90" s="2" t="str">
        <f>IFERROR(__xludf.DUMMYFUNCTION("""COMPUTED_VALUE"""),"slzdbm")</f>
        <v>slzdbm</v>
      </c>
      <c r="D90" s="2" t="str">
        <f>IFERROR(__xludf.DUMMYFUNCTION("IF(AND(B90=""$cd"",C90&lt;&gt;""..""),CONCATENATE(D89,""/"",C90),IF(C90="".."",MID(D89,1,LEN(D89)-LEN(REGEXEXTRACT(D89,""(/\w*)$""))),D89))"),"//lrvl/bqqltcg/slzdbm")</f>
        <v>//lrvl/bqqltcg/slzdbm</v>
      </c>
      <c r="E90" s="2" t="str">
        <f>IFERROR(__xludf.DUMMYFUNCTION("""COMPUTED_VALUE"""),"//lrvl/zhbpqlnd/npmsdrgp")</f>
        <v>//lrvl/zhbpqlnd/npmsdrgp</v>
      </c>
      <c r="F90" s="2">
        <f t="shared" si="1"/>
        <v>71403</v>
      </c>
      <c r="K90" s="2">
        <v>247470.0</v>
      </c>
    </row>
    <row r="91">
      <c r="A91" s="1" t="s">
        <v>609</v>
      </c>
      <c r="B91" s="2" t="str">
        <f>IFERROR(__xludf.DUMMYFUNCTION("SPLIT(A91,"" "")"),"$ls")</f>
        <v>$ls</v>
      </c>
      <c r="D91" s="2" t="str">
        <f>IFERROR(__xludf.DUMMYFUNCTION("IF(AND(B91=""$cd"",C91&lt;&gt;""..""),CONCATENATE(D90,""/"",C91),IF(C91="".."",MID(D90,1,LEN(D90)-LEN(REGEXEXTRACT(D90,""(/\w*)$""))),D90))"),"//lrvl/bqqltcg/slzdbm")</f>
        <v>//lrvl/bqqltcg/slzdbm</v>
      </c>
      <c r="E91" s="2" t="str">
        <f>IFERROR(__xludf.DUMMYFUNCTION("""COMPUTED_VALUE"""),"//lrvl/zhbpqlnd/npmsdrgp/dgdl")</f>
        <v>//lrvl/zhbpqlnd/npmsdrgp/dgdl</v>
      </c>
      <c r="F91" s="2">
        <f t="shared" si="1"/>
        <v>105380</v>
      </c>
      <c r="K91" s="2">
        <v>259109.0</v>
      </c>
    </row>
    <row r="92">
      <c r="A92" s="1" t="s">
        <v>61</v>
      </c>
      <c r="B92" s="2">
        <f>IFERROR(__xludf.DUMMYFUNCTION("SPLIT(A92,"" "")"),40915.0)</f>
        <v>40915</v>
      </c>
      <c r="C92" s="2" t="str">
        <f>IFERROR(__xludf.DUMMYFUNCTION("""COMPUTED_VALUE"""),"zbdp.gqb")</f>
        <v>zbdp.gqb</v>
      </c>
      <c r="D92" s="2" t="str">
        <f>IFERROR(__xludf.DUMMYFUNCTION("IF(AND(B92=""$cd"",C92&lt;&gt;""..""),CONCATENATE(D91,""/"",C92),IF(C92="".."",MID(D91,1,LEN(D91)-LEN(REGEXEXTRACT(D91,""(/\w*)$""))),D91))"),"//lrvl/bqqltcg/slzdbm")</f>
        <v>//lrvl/bqqltcg/slzdbm</v>
      </c>
      <c r="E92" s="2" t="str">
        <f>IFERROR(__xludf.DUMMYFUNCTION("""COMPUTED_VALUE"""),"//lrvl/zhbpqlnd/npmsdrgp/jnwr")</f>
        <v>//lrvl/zhbpqlnd/npmsdrgp/jnwr</v>
      </c>
      <c r="F92" s="2">
        <f t="shared" si="1"/>
        <v>1863430</v>
      </c>
      <c r="K92" s="2">
        <v>270309.0</v>
      </c>
    </row>
    <row r="93">
      <c r="A93" s="1" t="s">
        <v>62</v>
      </c>
      <c r="B93" s="2">
        <f>IFERROR(__xludf.DUMMYFUNCTION("SPLIT(A93,"" "")"),120991.0)</f>
        <v>120991</v>
      </c>
      <c r="C93" s="2" t="str">
        <f>IFERROR(__xludf.DUMMYFUNCTION("""COMPUTED_VALUE"""),"zsvffwlt.rbp")</f>
        <v>zsvffwlt.rbp</v>
      </c>
      <c r="D93" s="2" t="str">
        <f>IFERROR(__xludf.DUMMYFUNCTION("IF(AND(B93=""$cd"",C93&lt;&gt;""..""),CONCATENATE(D92,""/"",C93),IF(C93="".."",MID(D92,1,LEN(D92)-LEN(REGEXEXTRACT(D92,""(/\w*)$""))),D92))"),"//lrvl/bqqltcg/slzdbm")</f>
        <v>//lrvl/bqqltcg/slzdbm</v>
      </c>
      <c r="E93" s="2" t="str">
        <f>IFERROR(__xludf.DUMMYFUNCTION("""COMPUTED_VALUE"""),"//lrvl/zhbpqlnd/npmsdrgp/jnwr/cvw")</f>
        <v>//lrvl/zhbpqlnd/npmsdrgp/jnwr/cvw</v>
      </c>
      <c r="F93" s="2">
        <f t="shared" si="1"/>
        <v>4624</v>
      </c>
      <c r="K93" s="2">
        <v>273935.0</v>
      </c>
    </row>
    <row r="94">
      <c r="A94" s="1" t="s">
        <v>612</v>
      </c>
      <c r="B94" s="2" t="str">
        <f>IFERROR(__xludf.DUMMYFUNCTION("SPLIT(A94,"" "")"),"$cd")</f>
        <v>$cd</v>
      </c>
      <c r="C94" s="2" t="str">
        <f>IFERROR(__xludf.DUMMYFUNCTION("""COMPUTED_VALUE"""),"..")</f>
        <v>..</v>
      </c>
      <c r="D94" s="2" t="str">
        <f>IFERROR(__xludf.DUMMYFUNCTION("IF(AND(B94=""$cd"",C94&lt;&gt;""..""),CONCATENATE(D93,""/"",C94),IF(C94="".."",MID(D93,1,LEN(D93)-LEN(REGEXEXTRACT(D93,""(/\w*)$""))),D93))"),"//lrvl/bqqltcg")</f>
        <v>//lrvl/bqqltcg</v>
      </c>
      <c r="E94" s="2" t="str">
        <f>IFERROR(__xludf.DUMMYFUNCTION("""COMPUTED_VALUE"""),"//lrvl/zhbpqlnd/npmsdrgp/jnwr/ncqflwrb")</f>
        <v>//lrvl/zhbpqlnd/npmsdrgp/jnwr/ncqflwrb</v>
      </c>
      <c r="F94" s="2">
        <f t="shared" si="1"/>
        <v>1374035</v>
      </c>
      <c r="K94" s="2">
        <v>277366.0</v>
      </c>
    </row>
    <row r="95">
      <c r="A95" s="1" t="s">
        <v>625</v>
      </c>
      <c r="B95" s="2" t="str">
        <f>IFERROR(__xludf.DUMMYFUNCTION("SPLIT(A95,"" "")"),"$cd")</f>
        <v>$cd</v>
      </c>
      <c r="C95" s="2" t="str">
        <f>IFERROR(__xludf.DUMMYFUNCTION("""COMPUTED_VALUE"""),"zcgrgff")</f>
        <v>zcgrgff</v>
      </c>
      <c r="D95" s="2" t="str">
        <f>IFERROR(__xludf.DUMMYFUNCTION("IF(AND(B95=""$cd"",C95&lt;&gt;""..""),CONCATENATE(D94,""/"",C95),IF(C95="".."",MID(D94,1,LEN(D94)-LEN(REGEXEXTRACT(D94,""(/\w*)$""))),D94))"),"//lrvl/bqqltcg/zcgrgff")</f>
        <v>//lrvl/bqqltcg/zcgrgff</v>
      </c>
      <c r="E95" s="2" t="str">
        <f>IFERROR(__xludf.DUMMYFUNCTION("""COMPUTED_VALUE"""),"//lrvl/zhbpqlnd/npmsdrgp/jnwr/wclwg")</f>
        <v>//lrvl/zhbpqlnd/npmsdrgp/jnwr/wclwg</v>
      </c>
      <c r="F95" s="2">
        <f t="shared" si="1"/>
        <v>58981</v>
      </c>
      <c r="K95" s="2">
        <v>277366.0</v>
      </c>
    </row>
    <row r="96">
      <c r="A96" s="1" t="s">
        <v>609</v>
      </c>
      <c r="B96" s="2" t="str">
        <f>IFERROR(__xludf.DUMMYFUNCTION("SPLIT(A96,"" "")"),"$ls")</f>
        <v>$ls</v>
      </c>
      <c r="D96" s="2" t="str">
        <f>IFERROR(__xludf.DUMMYFUNCTION("IF(AND(B96=""$cd"",C96&lt;&gt;""..""),CONCATENATE(D95,""/"",C96),IF(C96="".."",MID(D95,1,LEN(D95)-LEN(REGEXEXTRACT(D95,""(/\w*)$""))),D95))"),"//lrvl/bqqltcg/zcgrgff")</f>
        <v>//lrvl/bqqltcg/zcgrgff</v>
      </c>
      <c r="E96" s="2" t="str">
        <f>IFERROR(__xludf.DUMMYFUNCTION("""COMPUTED_VALUE"""),"//lrvl/zhbpqlnd/npmsdrgp/jnwr/wtcfswt")</f>
        <v>//lrvl/zhbpqlnd/npmsdrgp/jnwr/wtcfswt</v>
      </c>
      <c r="F96" s="2">
        <f t="shared" si="1"/>
        <v>105747</v>
      </c>
      <c r="K96" s="2">
        <v>278273.0</v>
      </c>
    </row>
    <row r="97">
      <c r="A97" s="1" t="s">
        <v>64</v>
      </c>
      <c r="B97" s="2">
        <f>IFERROR(__xludf.DUMMYFUNCTION("SPLIT(A97,"" "")"),94614.0)</f>
        <v>94614</v>
      </c>
      <c r="C97" s="2" t="str">
        <f>IFERROR(__xludf.DUMMYFUNCTION("""COMPUTED_VALUE"""),"jnwr.mqm")</f>
        <v>jnwr.mqm</v>
      </c>
      <c r="D97" s="2" t="str">
        <f>IFERROR(__xludf.DUMMYFUNCTION("IF(AND(B97=""$cd"",C97&lt;&gt;""..""),CONCATENATE(D96,""/"",C97),IF(C97="".."",MID(D96,1,LEN(D96)-LEN(REGEXEXTRACT(D96,""(/\w*)$""))),D96))"),"//lrvl/bqqltcg/zcgrgff")</f>
        <v>//lrvl/bqqltcg/zcgrgff</v>
      </c>
      <c r="E97" s="2" t="str">
        <f>IFERROR(__xludf.DUMMYFUNCTION("""COMPUTED_VALUE"""),"//lrvl/zhbpqlnd/zggqfj")</f>
        <v>//lrvl/zhbpqlnd/zggqfj</v>
      </c>
      <c r="F97" s="2">
        <f t="shared" si="1"/>
        <v>75020</v>
      </c>
      <c r="K97" s="2">
        <v>283798.0</v>
      </c>
    </row>
    <row r="98">
      <c r="A98" s="1" t="s">
        <v>65</v>
      </c>
      <c r="B98" s="2">
        <f>IFERROR(__xludf.DUMMYFUNCTION("SPLIT(A98,"" "")"),191626.0)</f>
        <v>191626</v>
      </c>
      <c r="C98" s="2" t="str">
        <f>IFERROR(__xludf.DUMMYFUNCTION("""COMPUTED_VALUE"""),"zbdp.gqb")</f>
        <v>zbdp.gqb</v>
      </c>
      <c r="D98" s="2" t="str">
        <f>IFERROR(__xludf.DUMMYFUNCTION("IF(AND(B98=""$cd"",C98&lt;&gt;""..""),CONCATENATE(D97,""/"",C98),IF(C98="".."",MID(D97,1,LEN(D97)-LEN(REGEXEXTRACT(D97,""(/\w*)$""))),D97))"),"//lrvl/bqqltcg/zcgrgff")</f>
        <v>//lrvl/bqqltcg/zcgrgff</v>
      </c>
      <c r="E98" s="2" t="str">
        <f>IFERROR(__xludf.DUMMYFUNCTION("""COMPUTED_VALUE"""),"//lrvl/zhbpqlnd/zggqfj/gpnfpv")</f>
        <v>//lrvl/zhbpqlnd/zggqfj/gpnfpv</v>
      </c>
      <c r="F98" s="2">
        <f t="shared" si="1"/>
        <v>438736</v>
      </c>
      <c r="K98" s="2">
        <v>284951.0</v>
      </c>
    </row>
    <row r="99">
      <c r="A99" s="1" t="s">
        <v>66</v>
      </c>
      <c r="B99" s="2" t="str">
        <f>IFERROR(__xludf.DUMMYFUNCTION("SPLIT(A99,"" "")"),"dir")</f>
        <v>dir</v>
      </c>
      <c r="C99" s="2" t="str">
        <f>IFERROR(__xludf.DUMMYFUNCTION("""COMPUTED_VALUE"""),"ztrslh")</f>
        <v>ztrslh</v>
      </c>
      <c r="D99" s="2" t="str">
        <f>IFERROR(__xludf.DUMMYFUNCTION("IF(AND(B99=""$cd"",C99&lt;&gt;""..""),CONCATENATE(D98,""/"",C99),IF(C99="".."",MID(D98,1,LEN(D98)-LEN(REGEXEXTRACT(D98,""(/\w*)$""))),D98))"),"//lrvl/bqqltcg/zcgrgff")</f>
        <v>//lrvl/bqqltcg/zcgrgff</v>
      </c>
      <c r="E99" s="2" t="str">
        <f>IFERROR(__xludf.DUMMYFUNCTION("""COMPUTED_VALUE"""),"//lrvl/zhbpqlnd/zggqfj/gpnfpv/hlvpfw")</f>
        <v>//lrvl/zhbpqlnd/zggqfj/gpnfpv/hlvpfw</v>
      </c>
      <c r="F99" s="2">
        <f t="shared" si="1"/>
        <v>2018419</v>
      </c>
      <c r="K99" s="2">
        <v>284951.0</v>
      </c>
    </row>
    <row r="100">
      <c r="A100" s="1" t="s">
        <v>626</v>
      </c>
      <c r="B100" s="2" t="str">
        <f>IFERROR(__xludf.DUMMYFUNCTION("SPLIT(A100,"" "")"),"$cd")</f>
        <v>$cd</v>
      </c>
      <c r="C100" s="2" t="str">
        <f>IFERROR(__xludf.DUMMYFUNCTION("""COMPUTED_VALUE"""),"ztrslh")</f>
        <v>ztrslh</v>
      </c>
      <c r="D100" s="2" t="str">
        <f>IFERROR(__xludf.DUMMYFUNCTION("IF(AND(B100=""$cd"",C100&lt;&gt;""..""),CONCATENATE(D99,""/"",C100),IF(C100="".."",MID(D99,1,LEN(D99)-LEN(REGEXEXTRACT(D99,""(/\w*)$""))),D99))"),"//lrvl/bqqltcg/zcgrgff/ztrslh")</f>
        <v>//lrvl/bqqltcg/zcgrgff/ztrslh</v>
      </c>
      <c r="E100" s="2" t="str">
        <f>IFERROR(__xludf.DUMMYFUNCTION("""COMPUTED_VALUE"""),"//lrvl/zhbpqlnd/zggqfj/gzfsnbv")</f>
        <v>//lrvl/zhbpqlnd/zggqfj/gzfsnbv</v>
      </c>
      <c r="F100" s="2">
        <f t="shared" si="1"/>
        <v>521137</v>
      </c>
      <c r="K100" s="2">
        <v>290697.0</v>
      </c>
    </row>
    <row r="101">
      <c r="A101" s="1" t="s">
        <v>609</v>
      </c>
      <c r="B101" s="2" t="str">
        <f>IFERROR(__xludf.DUMMYFUNCTION("SPLIT(A101,"" "")"),"$ls")</f>
        <v>$ls</v>
      </c>
      <c r="D101" s="2" t="str">
        <f>IFERROR(__xludf.DUMMYFUNCTION("IF(AND(B101=""$cd"",C101&lt;&gt;""..""),CONCATENATE(D100,""/"",C101),IF(C101="".."",MID(D100,1,LEN(D100)-LEN(REGEXEXTRACT(D100,""(/\w*)$""))),D100))"),"//lrvl/bqqltcg/zcgrgff/ztrslh")</f>
        <v>//lrvl/bqqltcg/zcgrgff/ztrslh</v>
      </c>
      <c r="E101" s="2" t="str">
        <f>IFERROR(__xludf.DUMMYFUNCTION("""COMPUTED_VALUE"""),"//lrvl/zhbpqlnd/zggqfj/gzfsnbv/sdgwjtf")</f>
        <v>//lrvl/zhbpqlnd/zggqfj/gzfsnbv/sdgwjtf</v>
      </c>
      <c r="F101" s="2">
        <f t="shared" si="1"/>
        <v>521137</v>
      </c>
      <c r="K101" s="2">
        <v>292874.0</v>
      </c>
    </row>
    <row r="102">
      <c r="A102" s="1" t="s">
        <v>68</v>
      </c>
      <c r="B102" s="2" t="str">
        <f>IFERROR(__xludf.DUMMYFUNCTION("SPLIT(A102,"" "")"),"dir")</f>
        <v>dir</v>
      </c>
      <c r="C102" s="2" t="str">
        <f>IFERROR(__xludf.DUMMYFUNCTION("""COMPUTED_VALUE"""),"bhzn")</f>
        <v>bhzn</v>
      </c>
      <c r="D102" s="2" t="str">
        <f>IFERROR(__xludf.DUMMYFUNCTION("IF(AND(B102=""$cd"",C102&lt;&gt;""..""),CONCATENATE(D101,""/"",C102),IF(C102="".."",MID(D101,1,LEN(D101)-LEN(REGEXEXTRACT(D101,""(/\w*)$""))),D101))"),"//lrvl/bqqltcg/zcgrgff/ztrslh")</f>
        <v>//lrvl/bqqltcg/zcgrgff/ztrslh</v>
      </c>
      <c r="E102" s="2" t="str">
        <f>IFERROR(__xludf.DUMMYFUNCTION("""COMPUTED_VALUE"""),"//lrvl/zhbpqlnd/zggqfj/msrz")</f>
        <v>//lrvl/zhbpqlnd/zggqfj/msrz</v>
      </c>
      <c r="F102" s="2">
        <f t="shared" si="1"/>
        <v>449012</v>
      </c>
      <c r="K102" s="2">
        <v>293633.0</v>
      </c>
    </row>
    <row r="103">
      <c r="A103" s="1" t="s">
        <v>69</v>
      </c>
      <c r="B103" s="2">
        <f>IFERROR(__xludf.DUMMYFUNCTION("SPLIT(A103,"" "")"),201167.0)</f>
        <v>201167</v>
      </c>
      <c r="C103" s="2" t="str">
        <f>IFERROR(__xludf.DUMMYFUNCTION("""COMPUTED_VALUE"""),"dvcjtzvs.rvd")</f>
        <v>dvcjtzvs.rvd</v>
      </c>
      <c r="D103" s="2" t="str">
        <f>IFERROR(__xludf.DUMMYFUNCTION("IF(AND(B103=""$cd"",C103&lt;&gt;""..""),CONCATENATE(D102,""/"",C103),IF(C103="".."",MID(D102,1,LEN(D102)-LEN(REGEXEXTRACT(D102,""(/\w*)$""))),D102))"),"//lrvl/bqqltcg/zcgrgff/ztrslh")</f>
        <v>//lrvl/bqqltcg/zcgrgff/ztrslh</v>
      </c>
      <c r="E103" s="2" t="str">
        <f>IFERROR(__xludf.DUMMYFUNCTION("""COMPUTED_VALUE"""),"//lrvl/zhbpqlnd/zggqfj/msrz/fzl")</f>
        <v>//lrvl/zhbpqlnd/zggqfj/msrz/fzl</v>
      </c>
      <c r="F103" s="2">
        <f t="shared" si="1"/>
        <v>127216</v>
      </c>
      <c r="K103" s="2">
        <v>303853.0</v>
      </c>
    </row>
    <row r="104">
      <c r="A104" s="1" t="s">
        <v>39</v>
      </c>
      <c r="B104" s="2" t="str">
        <f>IFERROR(__xludf.DUMMYFUNCTION("SPLIT(A104,"" "")"),"dir")</f>
        <v>dir</v>
      </c>
      <c r="C104" s="2" t="str">
        <f>IFERROR(__xludf.DUMMYFUNCTION("""COMPUTED_VALUE"""),"slzdbm")</f>
        <v>slzdbm</v>
      </c>
      <c r="D104" s="2" t="str">
        <f>IFERROR(__xludf.DUMMYFUNCTION("IF(AND(B104=""$cd"",C104&lt;&gt;""..""),CONCATENATE(D103,""/"",C104),IF(C104="".."",MID(D103,1,LEN(D103)-LEN(REGEXEXTRACT(D103,""(/\w*)$""))),D103))"),"//lrvl/bqqltcg/zcgrgff/ztrslh")</f>
        <v>//lrvl/bqqltcg/zcgrgff/ztrslh</v>
      </c>
      <c r="E104" s="2" t="str">
        <f>IFERROR(__xludf.DUMMYFUNCTION("""COMPUTED_VALUE"""),"//nzgprvw")</f>
        <v>//nzgprvw</v>
      </c>
      <c r="F104" s="2">
        <f t="shared" si="1"/>
        <v>861586</v>
      </c>
      <c r="K104" s="2">
        <v>306743.0</v>
      </c>
    </row>
    <row r="105">
      <c r="A105" s="1" t="s">
        <v>70</v>
      </c>
      <c r="B105" s="2" t="str">
        <f>IFERROR(__xludf.DUMMYFUNCTION("SPLIT(A105,"" "")"),"dir")</f>
        <v>dir</v>
      </c>
      <c r="C105" s="2" t="str">
        <f>IFERROR(__xludf.DUMMYFUNCTION("""COMPUTED_VALUE"""),"szrth")</f>
        <v>szrth</v>
      </c>
      <c r="D105" s="2" t="str">
        <f>IFERROR(__xludf.DUMMYFUNCTION("IF(AND(B105=""$cd"",C105&lt;&gt;""..""),CONCATENATE(D104,""/"",C105),IF(C105="".."",MID(D104,1,LEN(D104)-LEN(REGEXEXTRACT(D104,""(/\w*)$""))),D104))"),"//lrvl/bqqltcg/zcgrgff/ztrslh")</f>
        <v>//lrvl/bqqltcg/zcgrgff/ztrslh</v>
      </c>
      <c r="E105" s="2" t="str">
        <f>IFERROR(__xludf.DUMMYFUNCTION("""COMPUTED_VALUE"""),"//nzgprvw/hgfdbf")</f>
        <v>//nzgprvw/hgfdbf</v>
      </c>
      <c r="F105" s="2">
        <f t="shared" si="1"/>
        <v>140610</v>
      </c>
      <c r="K105" s="2">
        <v>314621.0</v>
      </c>
    </row>
    <row r="106">
      <c r="A106" s="1" t="s">
        <v>71</v>
      </c>
      <c r="B106" s="2" t="str">
        <f>IFERROR(__xludf.DUMMYFUNCTION("SPLIT(A106,"" "")"),"dir")</f>
        <v>dir</v>
      </c>
      <c r="C106" s="2" t="str">
        <f>IFERROR(__xludf.DUMMYFUNCTION("""COMPUTED_VALUE"""),"zcp")</f>
        <v>zcp</v>
      </c>
      <c r="D106" s="2" t="str">
        <f>IFERROR(__xludf.DUMMYFUNCTION("IF(AND(B106=""$cd"",C106&lt;&gt;""..""),CONCATENATE(D105,""/"",C106),IF(C106="".."",MID(D105,1,LEN(D105)-LEN(REGEXEXTRACT(D105,""(/\w*)$""))),D105))"),"//lrvl/bqqltcg/zcgrgff/ztrslh")</f>
        <v>//lrvl/bqqltcg/zcgrgff/ztrslh</v>
      </c>
      <c r="E106" s="2" t="str">
        <f>IFERROR(__xludf.DUMMYFUNCTION("""COMPUTED_VALUE"""),"//nzgprvw/vfztvnjm")</f>
        <v>//nzgprvw/vfztvnjm</v>
      </c>
      <c r="F106" s="2">
        <f t="shared" si="1"/>
        <v>1738868</v>
      </c>
      <c r="K106" s="2">
        <v>315660.0</v>
      </c>
    </row>
    <row r="107">
      <c r="A107" s="1" t="s">
        <v>627</v>
      </c>
      <c r="B107" s="2" t="str">
        <f>IFERROR(__xludf.DUMMYFUNCTION("SPLIT(A107,"" "")"),"$cd")</f>
        <v>$cd</v>
      </c>
      <c r="C107" s="2" t="str">
        <f>IFERROR(__xludf.DUMMYFUNCTION("""COMPUTED_VALUE"""),"bhzn")</f>
        <v>bhzn</v>
      </c>
      <c r="D107" s="2" t="str">
        <f>IFERROR(__xludf.DUMMYFUNCTION("IF(AND(B107=""$cd"",C107&lt;&gt;""..""),CONCATENATE(D106,""/"",C107),IF(C107="".."",MID(D106,1,LEN(D106)-LEN(REGEXEXTRACT(D106,""(/\w*)$""))),D106))"),"//lrvl/bqqltcg/zcgrgff/ztrslh/bhzn")</f>
        <v>//lrvl/bqqltcg/zcgrgff/ztrslh/bhzn</v>
      </c>
      <c r="E107" s="2" t="str">
        <f>IFERROR(__xludf.DUMMYFUNCTION("""COMPUTED_VALUE"""),"//nzgprvw/zgdsgh")</f>
        <v>//nzgprvw/zgdsgh</v>
      </c>
      <c r="F107" s="2">
        <f t="shared" si="1"/>
        <v>426097</v>
      </c>
      <c r="K107" s="2">
        <v>316131.0</v>
      </c>
    </row>
    <row r="108">
      <c r="A108" s="1" t="s">
        <v>609</v>
      </c>
      <c r="B108" s="2" t="str">
        <f>IFERROR(__xludf.DUMMYFUNCTION("SPLIT(A108,"" "")"),"$ls")</f>
        <v>$ls</v>
      </c>
      <c r="D108" s="2" t="str">
        <f>IFERROR(__xludf.DUMMYFUNCTION("IF(AND(B108=""$cd"",C108&lt;&gt;""..""),CONCATENATE(D107,""/"",C108),IF(C108="".."",MID(D107,1,LEN(D107)-LEN(REGEXEXTRACT(D107,""(/\w*)$""))),D107))"),"//lrvl/bqqltcg/zcgrgff/ztrslh/bhzn")</f>
        <v>//lrvl/bqqltcg/zcgrgff/ztrslh/bhzn</v>
      </c>
      <c r="E108" s="2" t="str">
        <f>IFERROR(__xludf.DUMMYFUNCTION("""COMPUTED_VALUE"""),"//nzgprvw/zgdsgh/hlvpfw")</f>
        <v>//nzgprvw/zgdsgh/hlvpfw</v>
      </c>
      <c r="F108" s="2">
        <f t="shared" si="1"/>
        <v>278273</v>
      </c>
      <c r="K108" s="2">
        <v>324132.0</v>
      </c>
    </row>
    <row r="109">
      <c r="A109" s="1" t="s">
        <v>73</v>
      </c>
      <c r="B109" s="2">
        <f>IFERROR(__xludf.DUMMYFUNCTION("SPLIT(A109,"" "")"),119164.0)</f>
        <v>119164</v>
      </c>
      <c r="C109" s="2" t="str">
        <f>IFERROR(__xludf.DUMMYFUNCTION("""COMPUTED_VALUE"""),"qbgmrqw")</f>
        <v>qbgmrqw</v>
      </c>
      <c r="D109" s="2" t="str">
        <f>IFERROR(__xludf.DUMMYFUNCTION("IF(AND(B109=""$cd"",C109&lt;&gt;""..""),CONCATENATE(D108,""/"",C109),IF(C109="".."",MID(D108,1,LEN(D108)-LEN(REGEXEXTRACT(D108,""(/\w*)$""))),D108))"),"//lrvl/bqqltcg/zcgrgff/ztrslh/bhzn")</f>
        <v>//lrvl/bqqltcg/zcgrgff/ztrslh/bhzn</v>
      </c>
      <c r="E109" s="2" t="str">
        <f>IFERROR(__xludf.DUMMYFUNCTION("""COMPUTED_VALUE"""),"//nzgprvw/zgdsgh/sdllphqd")</f>
        <v>//nzgprvw/zgdsgh/sdllphqd</v>
      </c>
      <c r="F109" s="2">
        <f t="shared" si="1"/>
        <v>473075</v>
      </c>
      <c r="K109" s="2">
        <v>324522.0</v>
      </c>
    </row>
    <row r="110">
      <c r="A110" s="1" t="s">
        <v>74</v>
      </c>
      <c r="B110" s="2">
        <f>IFERROR(__xludf.DUMMYFUNCTION("SPLIT(A110,"" "")"),102090.0)</f>
        <v>102090</v>
      </c>
      <c r="C110" s="2" t="str">
        <f>IFERROR(__xludf.DUMMYFUNCTION("""COMPUTED_VALUE"""),"zbdp.gqb")</f>
        <v>zbdp.gqb</v>
      </c>
      <c r="D110" s="2" t="str">
        <f>IFERROR(__xludf.DUMMYFUNCTION("IF(AND(B110=""$cd"",C110&lt;&gt;""..""),CONCATENATE(D109,""/"",C110),IF(C110="".."",MID(D109,1,LEN(D109)-LEN(REGEXEXTRACT(D109,""(/\w*)$""))),D109))"),"//lrvl/bqqltcg/zcgrgff/ztrslh/bhzn")</f>
        <v>//lrvl/bqqltcg/zcgrgff/ztrslh/bhzn</v>
      </c>
      <c r="E110" s="2" t="str">
        <f>IFERROR(__xludf.DUMMYFUNCTION("""COMPUTED_VALUE"""),"//nzgprvw/zgdsgh/zcgrgff")</f>
        <v>//nzgprvw/zgdsgh/zcgrgff</v>
      </c>
      <c r="F110" s="2">
        <f t="shared" si="1"/>
        <v>44509</v>
      </c>
      <c r="K110" s="2">
        <v>324522.0</v>
      </c>
    </row>
    <row r="111">
      <c r="A111" s="1" t="s">
        <v>612</v>
      </c>
      <c r="B111" s="2" t="str">
        <f>IFERROR(__xludf.DUMMYFUNCTION("SPLIT(A111,"" "")"),"$cd")</f>
        <v>$cd</v>
      </c>
      <c r="C111" s="2" t="str">
        <f>IFERROR(__xludf.DUMMYFUNCTION("""COMPUTED_VALUE"""),"..")</f>
        <v>..</v>
      </c>
      <c r="D111" s="2" t="str">
        <f>IFERROR(__xludf.DUMMYFUNCTION("IF(AND(B111=""$cd"",C111&lt;&gt;""..""),CONCATENATE(D110,""/"",C111),IF(C111="".."",MID(D110,1,LEN(D110)-LEN(REGEXEXTRACT(D110,""(/\w*)$""))),D110))"),"//lrvl/bqqltcg/zcgrgff/ztrslh")</f>
        <v>//lrvl/bqqltcg/zcgrgff/ztrslh</v>
      </c>
      <c r="E111" s="2" t="str">
        <f>IFERROR(__xludf.DUMMYFUNCTION("""COMPUTED_VALUE"""),"//snwqjgj")</f>
        <v>//snwqjgj</v>
      </c>
      <c r="F111" s="2">
        <f t="shared" si="1"/>
        <v>47133</v>
      </c>
      <c r="K111" s="2">
        <v>335058.0</v>
      </c>
    </row>
    <row r="112">
      <c r="A112" s="1" t="s">
        <v>624</v>
      </c>
      <c r="B112" s="2" t="str">
        <f>IFERROR(__xludf.DUMMYFUNCTION("SPLIT(A112,"" "")"),"$cd")</f>
        <v>$cd</v>
      </c>
      <c r="C112" s="2" t="str">
        <f>IFERROR(__xludf.DUMMYFUNCTION("""COMPUTED_VALUE"""),"slzdbm")</f>
        <v>slzdbm</v>
      </c>
      <c r="D112" s="2" t="str">
        <f>IFERROR(__xludf.DUMMYFUNCTION("IF(AND(B112=""$cd"",C112&lt;&gt;""..""),CONCATENATE(D111,""/"",C112),IF(C112="".."",MID(D111,1,LEN(D111)-LEN(REGEXEXTRACT(D111,""(/\w*)$""))),D111))"),"//lrvl/bqqltcg/zcgrgff/ztrslh/slzdbm")</f>
        <v>//lrvl/bqqltcg/zcgrgff/ztrslh/slzdbm</v>
      </c>
      <c r="E112" s="2" t="str">
        <f>IFERROR(__xludf.DUMMYFUNCTION("""COMPUTED_VALUE"""),"//snwqjgj/slzdbm")</f>
        <v>//snwqjgj/slzdbm</v>
      </c>
      <c r="F112" s="2">
        <f t="shared" si="1"/>
        <v>186613</v>
      </c>
      <c r="K112" s="2">
        <v>336414.0</v>
      </c>
    </row>
    <row r="113">
      <c r="A113" s="1" t="s">
        <v>609</v>
      </c>
      <c r="B113" s="2" t="str">
        <f>IFERROR(__xludf.DUMMYFUNCTION("SPLIT(A113,"" "")"),"$ls")</f>
        <v>$ls</v>
      </c>
      <c r="D113" s="2" t="str">
        <f>IFERROR(__xludf.DUMMYFUNCTION("IF(AND(B113=""$cd"",C113&lt;&gt;""..""),CONCATENATE(D112,""/"",C113),IF(C113="".."",MID(D112,1,LEN(D112)-LEN(REGEXEXTRACT(D112,""(/\w*)$""))),D112))"),"//lrvl/bqqltcg/zcgrgff/ztrslh/slzdbm")</f>
        <v>//lrvl/bqqltcg/zcgrgff/ztrslh/slzdbm</v>
      </c>
      <c r="E113" s="2" t="str">
        <f>IFERROR(__xludf.DUMMYFUNCTION("""COMPUTED_VALUE"""),"//snwqjgj/zcgrgff")</f>
        <v>//snwqjgj/zcgrgff</v>
      </c>
      <c r="F113" s="2">
        <f t="shared" si="1"/>
        <v>3078860</v>
      </c>
      <c r="K113" s="2">
        <v>345940.0</v>
      </c>
    </row>
    <row r="114">
      <c r="A114" s="1" t="s">
        <v>75</v>
      </c>
      <c r="B114" s="2">
        <f>IFERROR(__xludf.DUMMYFUNCTION("SPLIT(A114,"" "")"),124928.0)</f>
        <v>124928</v>
      </c>
      <c r="C114" s="2" t="str">
        <f>IFERROR(__xludf.DUMMYFUNCTION("""COMPUTED_VALUE"""),"gtdq")</f>
        <v>gtdq</v>
      </c>
      <c r="D114" s="2" t="str">
        <f>IFERROR(__xludf.DUMMYFUNCTION("IF(AND(B114=""$cd"",C114&lt;&gt;""..""),CONCATENATE(D113,""/"",C114),IF(C114="".."",MID(D113,1,LEN(D113)-LEN(REGEXEXTRACT(D113,""(/\w*)$""))),D113))"),"//lrvl/bqqltcg/zcgrgff/ztrslh/slzdbm")</f>
        <v>//lrvl/bqqltcg/zcgrgff/ztrslh/slzdbm</v>
      </c>
      <c r="E114" s="2" t="str">
        <f>IFERROR(__xludf.DUMMYFUNCTION("""COMPUTED_VALUE"""),"//snwqjgj/zcgrgff/rrfhvjf")</f>
        <v>//snwqjgj/zcgrgff/rrfhvjf</v>
      </c>
      <c r="F114" s="2">
        <f t="shared" si="1"/>
        <v>196732</v>
      </c>
      <c r="K114" s="2">
        <v>349919.0</v>
      </c>
    </row>
    <row r="115">
      <c r="A115" s="1" t="s">
        <v>612</v>
      </c>
      <c r="B115" s="2" t="str">
        <f>IFERROR(__xludf.DUMMYFUNCTION("SPLIT(A115,"" "")"),"$cd")</f>
        <v>$cd</v>
      </c>
      <c r="C115" s="2" t="str">
        <f>IFERROR(__xludf.DUMMYFUNCTION("""COMPUTED_VALUE"""),"..")</f>
        <v>..</v>
      </c>
      <c r="D115" s="2" t="str">
        <f>IFERROR(__xludf.DUMMYFUNCTION("IF(AND(B115=""$cd"",C115&lt;&gt;""..""),CONCATENATE(D114,""/"",C115),IF(C115="".."",MID(D114,1,LEN(D114)-LEN(REGEXEXTRACT(D114,""(/\w*)$""))),D114))"),"//lrvl/bqqltcg/zcgrgff/ztrslh")</f>
        <v>//lrvl/bqqltcg/zcgrgff/ztrslh</v>
      </c>
      <c r="E115" s="2" t="str">
        <f>IFERROR(__xludf.DUMMYFUNCTION("""COMPUTED_VALUE"""),"//snwqjgj/zcgrgff/zcgrgff")</f>
        <v>//snwqjgj/zcgrgff/zcgrgff</v>
      </c>
      <c r="F115" s="2">
        <f t="shared" si="1"/>
        <v>621970</v>
      </c>
      <c r="K115" s="2">
        <v>349982.0</v>
      </c>
    </row>
    <row r="116">
      <c r="A116" s="1" t="s">
        <v>628</v>
      </c>
      <c r="B116" s="2" t="str">
        <f>IFERROR(__xludf.DUMMYFUNCTION("SPLIT(A116,"" "")"),"$cd")</f>
        <v>$cd</v>
      </c>
      <c r="C116" s="2" t="str">
        <f>IFERROR(__xludf.DUMMYFUNCTION("""COMPUTED_VALUE"""),"szrth")</f>
        <v>szrth</v>
      </c>
      <c r="D116" s="2" t="str">
        <f>IFERROR(__xludf.DUMMYFUNCTION("IF(AND(B116=""$cd"",C116&lt;&gt;""..""),CONCATENATE(D115,""/"",C116),IF(C116="".."",MID(D115,1,LEN(D115)-LEN(REGEXEXTRACT(D115,""(/\w*)$""))),D115))"),"//lrvl/bqqltcg/zcgrgff/ztrslh/szrth")</f>
        <v>//lrvl/bqqltcg/zcgrgff/ztrslh/szrth</v>
      </c>
      <c r="E116" s="2" t="str">
        <f>IFERROR(__xludf.DUMMYFUNCTION("""COMPUTED_VALUE"""),"//snwqjgj/zcgrgff/zcgrgff/zcgrgff")</f>
        <v>//snwqjgj/zcgrgff/zcgrgff/zcgrgff</v>
      </c>
      <c r="F116" s="2">
        <f t="shared" si="1"/>
        <v>69149</v>
      </c>
      <c r="K116" s="2">
        <v>358208.0</v>
      </c>
    </row>
    <row r="117">
      <c r="A117" s="1" t="s">
        <v>609</v>
      </c>
      <c r="B117" s="2" t="str">
        <f>IFERROR(__xludf.DUMMYFUNCTION("SPLIT(A117,"" "")"),"$ls")</f>
        <v>$ls</v>
      </c>
      <c r="D117" s="2" t="str">
        <f>IFERROR(__xludf.DUMMYFUNCTION("IF(AND(B117=""$cd"",C117&lt;&gt;""..""),CONCATENATE(D116,""/"",C117),IF(C117="".."",MID(D116,1,LEN(D116)-LEN(REGEXEXTRACT(D116,""(/\w*)$""))),D116))"),"//lrvl/bqqltcg/zcgrgff/ztrslh/szrth")</f>
        <v>//lrvl/bqqltcg/zcgrgff/ztrslh/szrth</v>
      </c>
      <c r="E117" s="2" t="str">
        <f>IFERROR(__xludf.DUMMYFUNCTION("""COMPUTED_VALUE"""),"//snwqjgj/zldscsc")</f>
        <v>//snwqjgj/zldscsc</v>
      </c>
      <c r="F117" s="2">
        <f t="shared" si="1"/>
        <v>277366</v>
      </c>
      <c r="K117" s="2">
        <v>367058.0</v>
      </c>
    </row>
    <row r="118">
      <c r="A118" s="1" t="s">
        <v>77</v>
      </c>
      <c r="B118" s="2" t="str">
        <f>IFERROR(__xludf.DUMMYFUNCTION("SPLIT(A118,"" "")"),"dir")</f>
        <v>dir</v>
      </c>
      <c r="C118" s="2" t="str">
        <f>IFERROR(__xludf.DUMMYFUNCTION("""COMPUTED_VALUE"""),"hpbbsq")</f>
        <v>hpbbsq</v>
      </c>
      <c r="D118" s="2" t="str">
        <f>IFERROR(__xludf.DUMMYFUNCTION("IF(AND(B118=""$cd"",C118&lt;&gt;""..""),CONCATENATE(D117,""/"",C118),IF(C118="".."",MID(D117,1,LEN(D117)-LEN(REGEXEXTRACT(D117,""(/\w*)$""))),D117))"),"//lrvl/bqqltcg/zcgrgff/ztrslh/szrth")</f>
        <v>//lrvl/bqqltcg/zcgrgff/ztrslh/szrth</v>
      </c>
      <c r="E118" s="2" t="str">
        <f>IFERROR(__xludf.DUMMYFUNCTION("""COMPUTED_VALUE"""),"//snwqjgj/zldscsc/fmzvccvg")</f>
        <v>//snwqjgj/zldscsc/fmzvccvg</v>
      </c>
      <c r="F118" s="2">
        <f t="shared" si="1"/>
        <v>277366</v>
      </c>
      <c r="K118" s="2">
        <v>388084.0</v>
      </c>
    </row>
    <row r="119">
      <c r="A119" s="1" t="s">
        <v>78</v>
      </c>
      <c r="B119" s="2" t="str">
        <f>IFERROR(__xludf.DUMMYFUNCTION("SPLIT(A119,"" "")"),"dir")</f>
        <v>dir</v>
      </c>
      <c r="C119" s="2" t="str">
        <f>IFERROR(__xludf.DUMMYFUNCTION("""COMPUTED_VALUE"""),"vlwlsdjp")</f>
        <v>vlwlsdjp</v>
      </c>
      <c r="D119" s="2" t="str">
        <f>IFERROR(__xludf.DUMMYFUNCTION("IF(AND(B119=""$cd"",C119&lt;&gt;""..""),CONCATENATE(D118,""/"",C119),IF(C119="".."",MID(D118,1,LEN(D118)-LEN(REGEXEXTRACT(D118,""(/\w*)$""))),D118))"),"//lrvl/bqqltcg/zcgrgff/ztrslh/szrth")</f>
        <v>//lrvl/bqqltcg/zcgrgff/ztrslh/szrth</v>
      </c>
      <c r="E119" s="2" t="str">
        <f>IFERROR(__xludf.DUMMYFUNCTION("""COMPUTED_VALUE"""),"//snwqjgj/zldscsc/fmzvccvg/brrlg")</f>
        <v>//snwqjgj/zldscsc/fmzvccvg/brrlg</v>
      </c>
      <c r="F119" s="2">
        <f t="shared" si="1"/>
        <v>2260158</v>
      </c>
      <c r="K119" s="2">
        <v>397589.0</v>
      </c>
    </row>
    <row r="120">
      <c r="A120" s="1" t="s">
        <v>46</v>
      </c>
      <c r="B120" s="2" t="str">
        <f>IFERROR(__xludf.DUMMYFUNCTION("SPLIT(A120,"" "")"),"dir")</f>
        <v>dir</v>
      </c>
      <c r="C120" s="2" t="str">
        <f>IFERROR(__xludf.DUMMYFUNCTION("""COMPUTED_VALUE"""),"zcgrgff")</f>
        <v>zcgrgff</v>
      </c>
      <c r="D120" s="2" t="str">
        <f>IFERROR(__xludf.DUMMYFUNCTION("IF(AND(B120=""$cd"",C120&lt;&gt;""..""),CONCATENATE(D119,""/"",C120),IF(C120="".."",MID(D119,1,LEN(D119)-LEN(REGEXEXTRACT(D119,""(/\w*)$""))),D119))"),"//lrvl/bqqltcg/zcgrgff/ztrslh/szrth")</f>
        <v>//lrvl/bqqltcg/zcgrgff/ztrslh/szrth</v>
      </c>
      <c r="E120" s="2" t="str">
        <f>IFERROR(__xludf.DUMMYFUNCTION("""COMPUTED_VALUE"""),"//snwqjgj/zldscsc/fmzvccvg/crm")</f>
        <v>//snwqjgj/zldscsc/fmzvccvg/crm</v>
      </c>
      <c r="F120" s="2">
        <f t="shared" si="1"/>
        <v>466588</v>
      </c>
      <c r="K120" s="2">
        <v>398645.0</v>
      </c>
    </row>
    <row r="121">
      <c r="A121" s="1" t="s">
        <v>629</v>
      </c>
      <c r="B121" s="2" t="str">
        <f>IFERROR(__xludf.DUMMYFUNCTION("SPLIT(A121,"" "")"),"$cd")</f>
        <v>$cd</v>
      </c>
      <c r="C121" s="2" t="str">
        <f>IFERROR(__xludf.DUMMYFUNCTION("""COMPUTED_VALUE"""),"hpbbsq")</f>
        <v>hpbbsq</v>
      </c>
      <c r="D121" s="2" t="str">
        <f>IFERROR(__xludf.DUMMYFUNCTION("IF(AND(B121=""$cd"",C121&lt;&gt;""..""),CONCATENATE(D120,""/"",C121),IF(C121="".."",MID(D120,1,LEN(D120)-LEN(REGEXEXTRACT(D120,""(/\w*)$""))),D120))"),"//lrvl/bqqltcg/zcgrgff/ztrslh/szrth/hpbbsq")</f>
        <v>//lrvl/bqqltcg/zcgrgff/ztrslh/szrth/hpbbsq</v>
      </c>
      <c r="E121" s="2" t="str">
        <f>IFERROR(__xludf.DUMMYFUNCTION("""COMPUTED_VALUE"""),"//snwqjgj/zldscsc/fmzvccvg/mzsfcvgv")</f>
        <v>//snwqjgj/zldscsc/fmzvccvg/mzsfcvgv</v>
      </c>
      <c r="F121" s="2">
        <f t="shared" si="1"/>
        <v>17776</v>
      </c>
      <c r="K121" s="2">
        <v>407244.0</v>
      </c>
    </row>
    <row r="122">
      <c r="A122" s="1" t="s">
        <v>609</v>
      </c>
      <c r="B122" s="2" t="str">
        <f>IFERROR(__xludf.DUMMYFUNCTION("SPLIT(A122,"" "")"),"$ls")</f>
        <v>$ls</v>
      </c>
      <c r="D122" s="2" t="str">
        <f>IFERROR(__xludf.DUMMYFUNCTION("IF(AND(B122=""$cd"",C122&lt;&gt;""..""),CONCATENATE(D121,""/"",C122),IF(C122="".."",MID(D121,1,LEN(D121)-LEN(REGEXEXTRACT(D121,""(/\w*)$""))),D121))"),"//lrvl/bqqltcg/zcgrgff/ztrslh/szrth/hpbbsq")</f>
        <v>//lrvl/bqqltcg/zcgrgff/ztrslh/szrth/hpbbsq</v>
      </c>
      <c r="E122" s="2" t="str">
        <f>IFERROR(__xludf.DUMMYFUNCTION("""COMPUTED_VALUE"""),"//snwqjgj/zldscsc/prdfldrf")</f>
        <v>//snwqjgj/zldscsc/prdfldrf</v>
      </c>
      <c r="F122" s="2">
        <f t="shared" si="1"/>
        <v>397589</v>
      </c>
      <c r="K122" s="2">
        <v>408544.0</v>
      </c>
    </row>
    <row r="123">
      <c r="A123" s="1" t="s">
        <v>80</v>
      </c>
      <c r="B123" s="2">
        <f>IFERROR(__xludf.DUMMYFUNCTION("SPLIT(A123,"" "")"),151717.0)</f>
        <v>151717</v>
      </c>
      <c r="C123" s="2" t="str">
        <f>IFERROR(__xludf.DUMMYFUNCTION("""COMPUTED_VALUE"""),"qsdhff.jsv")</f>
        <v>qsdhff.jsv</v>
      </c>
      <c r="D123" s="2" t="str">
        <f>IFERROR(__xludf.DUMMYFUNCTION("IF(AND(B123=""$cd"",C123&lt;&gt;""..""),CONCATENATE(D122,""/"",C123),IF(C123="".."",MID(D122,1,LEN(D122)-LEN(REGEXEXTRACT(D122,""(/\w*)$""))),D122))"),"//lrvl/bqqltcg/zcgrgff/ztrslh/szrth/hpbbsq")</f>
        <v>//lrvl/bqqltcg/zcgrgff/ztrslh/szrth/hpbbsq</v>
      </c>
      <c r="E123" s="2" t="str">
        <f>IFERROR(__xludf.DUMMYFUNCTION("""COMPUTED_VALUE"""),"//snwqjgj/zldscsc/sgpdqw")</f>
        <v>//snwqjgj/zldscsc/sgpdqw</v>
      </c>
      <c r="F123" s="2">
        <f t="shared" si="1"/>
        <v>51223</v>
      </c>
      <c r="K123" s="2">
        <v>408544.0</v>
      </c>
    </row>
    <row r="124">
      <c r="A124" s="1" t="s">
        <v>612</v>
      </c>
      <c r="B124" s="2" t="str">
        <f>IFERROR(__xludf.DUMMYFUNCTION("SPLIT(A124,"" "")"),"$cd")</f>
        <v>$cd</v>
      </c>
      <c r="C124" s="2" t="str">
        <f>IFERROR(__xludf.DUMMYFUNCTION("""COMPUTED_VALUE"""),"..")</f>
        <v>..</v>
      </c>
      <c r="D124" s="2" t="str">
        <f>IFERROR(__xludf.DUMMYFUNCTION("IF(AND(B124=""$cd"",C124&lt;&gt;""..""),CONCATENATE(D123,""/"",C124),IF(C124="".."",MID(D123,1,LEN(D123)-LEN(REGEXEXTRACT(D123,""(/\w*)$""))),D123))"),"//lrvl/bqqltcg/zcgrgff/ztrslh/szrth")</f>
        <v>//lrvl/bqqltcg/zcgrgff/ztrslh/szrth</v>
      </c>
      <c r="E124" s="2" t="str">
        <f>IFERROR(__xludf.DUMMYFUNCTION("""COMPUTED_VALUE"""),"//snwqjgj/zldscsc/wjdpws")</f>
        <v>//snwqjgj/zldscsc/wjdpws</v>
      </c>
      <c r="F124" s="2">
        <f t="shared" si="1"/>
        <v>213872</v>
      </c>
      <c r="K124" s="2">
        <v>414205.0</v>
      </c>
    </row>
    <row r="125">
      <c r="A125" s="1" t="s">
        <v>630</v>
      </c>
      <c r="B125" s="2" t="str">
        <f>IFERROR(__xludf.DUMMYFUNCTION("SPLIT(A125,"" "")"),"$cd")</f>
        <v>$cd</v>
      </c>
      <c r="C125" s="2" t="str">
        <f>IFERROR(__xludf.DUMMYFUNCTION("""COMPUTED_VALUE"""),"vlwlsdjp")</f>
        <v>vlwlsdjp</v>
      </c>
      <c r="D125" s="2" t="str">
        <f>IFERROR(__xludf.DUMMYFUNCTION("IF(AND(B125=""$cd"",C125&lt;&gt;""..""),CONCATENATE(D124,""/"",C125),IF(C125="".."",MID(D124,1,LEN(D124)-LEN(REGEXEXTRACT(D124,""(/\w*)$""))),D124))"),"//lrvl/bqqltcg/zcgrgff/ztrslh/szrth/vlwlsdjp")</f>
        <v>//lrvl/bqqltcg/zcgrgff/ztrslh/szrth/vlwlsdjp</v>
      </c>
      <c r="E125" s="2" t="str">
        <f>IFERROR(__xludf.DUMMYFUNCTION("""COMPUTED_VALUE"""),"//snwqjgj/zldscsc/wjdpws/hlvpfw")</f>
        <v>//snwqjgj/zldscsc/wjdpws/hlvpfw</v>
      </c>
      <c r="F125" s="2">
        <f t="shared" si="1"/>
        <v>205684</v>
      </c>
      <c r="K125" s="2">
        <v>415145.0</v>
      </c>
    </row>
    <row r="126">
      <c r="A126" s="1" t="s">
        <v>609</v>
      </c>
      <c r="B126" s="2" t="str">
        <f>IFERROR(__xludf.DUMMYFUNCTION("SPLIT(A126,"" "")"),"$ls")</f>
        <v>$ls</v>
      </c>
      <c r="D126" s="2" t="str">
        <f>IFERROR(__xludf.DUMMYFUNCTION("IF(AND(B126=""$cd"",C126&lt;&gt;""..""),CONCATENATE(D125,""/"",C126),IF(C126="".."",MID(D125,1,LEN(D125)-LEN(REGEXEXTRACT(D125,""(/\w*)$""))),D125))"),"//lrvl/bqqltcg/zcgrgff/ztrslh/szrth/vlwlsdjp")</f>
        <v>//lrvl/bqqltcg/zcgrgff/ztrslh/szrth/vlwlsdjp</v>
      </c>
      <c r="E126" s="2" t="str">
        <f>IFERROR(__xludf.DUMMYFUNCTION("""COMPUTED_VALUE"""),"//zddrb")</f>
        <v>//zddrb</v>
      </c>
      <c r="F126" s="2">
        <f t="shared" si="1"/>
        <v>324522</v>
      </c>
      <c r="K126" s="2">
        <v>426097.0</v>
      </c>
    </row>
    <row r="127">
      <c r="A127" s="1" t="s">
        <v>82</v>
      </c>
      <c r="B127" s="2">
        <f>IFERROR(__xludf.DUMMYFUNCTION("SPLIT(A127,"" "")"),15049.0)</f>
        <v>15049</v>
      </c>
      <c r="C127" s="2" t="str">
        <f>IFERROR(__xludf.DUMMYFUNCTION("""COMPUTED_VALUE"""),"glpdjtq.mwm")</f>
        <v>glpdjtq.mwm</v>
      </c>
      <c r="D127" s="2" t="str">
        <f>IFERROR(__xludf.DUMMYFUNCTION("IF(AND(B127=""$cd"",C127&lt;&gt;""..""),CONCATENATE(D126,""/"",C127),IF(C127="".."",MID(D126,1,LEN(D126)-LEN(REGEXEXTRACT(D126,""(/\w*)$""))),D126))"),"//lrvl/bqqltcg/zcgrgff/ztrslh/szrth/vlwlsdjp")</f>
        <v>//lrvl/bqqltcg/zcgrgff/ztrslh/szrth/vlwlsdjp</v>
      </c>
      <c r="E127" s="2" t="str">
        <f>IFERROR(__xludf.DUMMYFUNCTION("""COMPUTED_VALUE"""),"//zddrb/pgbgpn")</f>
        <v>//zddrb/pgbgpn</v>
      </c>
      <c r="F127" s="2">
        <f t="shared" si="1"/>
        <v>324522</v>
      </c>
      <c r="K127" s="2">
        <v>432671.0</v>
      </c>
    </row>
    <row r="128">
      <c r="A128" s="1" t="s">
        <v>83</v>
      </c>
      <c r="B128" s="2">
        <f>IFERROR(__xludf.DUMMYFUNCTION("SPLIT(A128,"" "")"),302526.0)</f>
        <v>302526</v>
      </c>
      <c r="C128" s="2" t="str">
        <f>IFERROR(__xludf.DUMMYFUNCTION("""COMPUTED_VALUE"""),"jnwr.tds")</f>
        <v>jnwr.tds</v>
      </c>
      <c r="D128" s="2" t="str">
        <f>IFERROR(__xludf.DUMMYFUNCTION("IF(AND(B128=""$cd"",C128&lt;&gt;""..""),CONCATENATE(D127,""/"",C128),IF(C128="".."",MID(D127,1,LEN(D127)-LEN(REGEXEXTRACT(D127,""(/\w*)$""))),D127))"),"//lrvl/bqqltcg/zcgrgff/ztrslh/szrth/vlwlsdjp")</f>
        <v>//lrvl/bqqltcg/zcgrgff/ztrslh/szrth/vlwlsdjp</v>
      </c>
      <c r="E128" s="2" t="str">
        <f>IFERROR(__xludf.DUMMYFUNCTION("""COMPUTED_VALUE"""),"//zddrb/pgbgpn/jpmvrvt")</f>
        <v>//zddrb/pgbgpn/jpmvrvt</v>
      </c>
      <c r="F128" s="2">
        <f t="shared" si="1"/>
        <v>18070237</v>
      </c>
      <c r="K128" s="2">
        <v>436056.0</v>
      </c>
    </row>
    <row r="129">
      <c r="A129" s="1" t="s">
        <v>84</v>
      </c>
      <c r="B129" s="2">
        <f>IFERROR(__xludf.DUMMYFUNCTION("SPLIT(A129,"" "")"),9550.0)</f>
        <v>9550</v>
      </c>
      <c r="C129" s="2" t="str">
        <f>IFERROR(__xludf.DUMMYFUNCTION("""COMPUTED_VALUE"""),"lhwtbh")</f>
        <v>lhwtbh</v>
      </c>
      <c r="D129" s="2" t="str">
        <f>IFERROR(__xludf.DUMMYFUNCTION("IF(AND(B129=""$cd"",C129&lt;&gt;""..""),CONCATENATE(D128,""/"",C129),IF(C129="".."",MID(D128,1,LEN(D128)-LEN(REGEXEXTRACT(D128,""(/\w*)$""))),D128))"),"//lrvl/bqqltcg/zcgrgff/ztrslh/szrth/vlwlsdjp")</f>
        <v>//lrvl/bqqltcg/zcgrgff/ztrslh/szrth/vlwlsdjp</v>
      </c>
      <c r="E129" s="2" t="str">
        <f>IFERROR(__xludf.DUMMYFUNCTION("""COMPUTED_VALUE"""),"//zddrb/pgbgpn/mzsfcvgv")</f>
        <v>//zddrb/pgbgpn/mzsfcvgv</v>
      </c>
      <c r="F129" s="2">
        <f t="shared" si="1"/>
        <v>7756031</v>
      </c>
      <c r="K129" s="2">
        <v>438736.0</v>
      </c>
    </row>
    <row r="130">
      <c r="A130" s="1" t="s">
        <v>85</v>
      </c>
      <c r="B130" s="2">
        <f>IFERROR(__xludf.DUMMYFUNCTION("SPLIT(A130,"" "")"),22857.0)</f>
        <v>22857</v>
      </c>
      <c r="C130" s="2" t="str">
        <f>IFERROR(__xludf.DUMMYFUNCTION("""COMPUTED_VALUE"""),"ssssrhwz")</f>
        <v>ssssrhwz</v>
      </c>
      <c r="D130" s="2" t="str">
        <f>IFERROR(__xludf.DUMMYFUNCTION("IF(AND(B130=""$cd"",C130&lt;&gt;""..""),CONCATENATE(D129,""/"",C130),IF(C130="".."",MID(D129,1,LEN(D129)-LEN(REGEXEXTRACT(D129,""(/\w*)$""))),D129))"),"//lrvl/bqqltcg/zcgrgff/ztrslh/szrth/vlwlsdjp")</f>
        <v>//lrvl/bqqltcg/zcgrgff/ztrslh/szrth/vlwlsdjp</v>
      </c>
      <c r="E130" s="2" t="str">
        <f>IFERROR(__xludf.DUMMYFUNCTION("""COMPUTED_VALUE"""),"//zddrb/pgbgpn/mzsfcvgv/slzdbm")</f>
        <v>//zddrb/pgbgpn/mzsfcvgv/slzdbm</v>
      </c>
      <c r="F130" s="2">
        <f t="shared" si="1"/>
        <v>150157</v>
      </c>
      <c r="K130" s="2">
        <v>448698.0</v>
      </c>
    </row>
    <row r="131">
      <c r="A131" s="1" t="s">
        <v>612</v>
      </c>
      <c r="B131" s="2" t="str">
        <f>IFERROR(__xludf.DUMMYFUNCTION("SPLIT(A131,"" "")"),"$cd")</f>
        <v>$cd</v>
      </c>
      <c r="C131" s="2" t="str">
        <f>IFERROR(__xludf.DUMMYFUNCTION("""COMPUTED_VALUE"""),"..")</f>
        <v>..</v>
      </c>
      <c r="D131" s="2" t="str">
        <f>IFERROR(__xludf.DUMMYFUNCTION("IF(AND(B131=""$cd"",C131&lt;&gt;""..""),CONCATENATE(D130,""/"",C131),IF(C131="".."",MID(D130,1,LEN(D130)-LEN(REGEXEXTRACT(D130,""(/\w*)$""))),D130))"),"//lrvl/bqqltcg/zcgrgff/ztrslh/szrth")</f>
        <v>//lrvl/bqqltcg/zcgrgff/ztrslh/szrth</v>
      </c>
      <c r="E131" s="2" t="str">
        <f>IFERROR(__xludf.DUMMYFUNCTION("""COMPUTED_VALUE"""),"//zddrb/pgbgpn/mzsfcvgv/slzdbm/jnwr")</f>
        <v>//zddrb/pgbgpn/mzsfcvgv/slzdbm/jnwr</v>
      </c>
      <c r="F131" s="2">
        <f t="shared" si="1"/>
        <v>452018</v>
      </c>
      <c r="K131" s="2">
        <v>448812.0</v>
      </c>
    </row>
    <row r="132">
      <c r="A132" s="1" t="s">
        <v>625</v>
      </c>
      <c r="B132" s="2" t="str">
        <f>IFERROR(__xludf.DUMMYFUNCTION("SPLIT(A132,"" "")"),"$cd")</f>
        <v>$cd</v>
      </c>
      <c r="C132" s="2" t="str">
        <f>IFERROR(__xludf.DUMMYFUNCTION("""COMPUTED_VALUE"""),"zcgrgff")</f>
        <v>zcgrgff</v>
      </c>
      <c r="D132" s="2" t="str">
        <f>IFERROR(__xludf.DUMMYFUNCTION("IF(AND(B132=""$cd"",C132&lt;&gt;""..""),CONCATENATE(D131,""/"",C132),IF(C132="".."",MID(D131,1,LEN(D131)-LEN(REGEXEXTRACT(D131,""(/\w*)$""))),D131))"),"//lrvl/bqqltcg/zcgrgff/ztrslh/szrth/zcgrgff")</f>
        <v>//lrvl/bqqltcg/zcgrgff/ztrslh/szrth/zcgrgff</v>
      </c>
      <c r="E132" s="2" t="str">
        <f>IFERROR(__xludf.DUMMYFUNCTION("""COMPUTED_VALUE"""),"//zddrb/pgbgpn/vvmwgngv")</f>
        <v>//zddrb/pgbgpn/vvmwgngv</v>
      </c>
      <c r="F132" s="2">
        <f t="shared" si="1"/>
        <v>358208</v>
      </c>
      <c r="K132" s="2">
        <v>449012.0</v>
      </c>
    </row>
    <row r="133">
      <c r="A133" s="1" t="s">
        <v>609</v>
      </c>
      <c r="B133" s="2" t="str">
        <f>IFERROR(__xludf.DUMMYFUNCTION("SPLIT(A133,"" "")"),"$ls")</f>
        <v>$ls</v>
      </c>
      <c r="D133" s="2" t="str">
        <f>IFERROR(__xludf.DUMMYFUNCTION("IF(AND(B133=""$cd"",C133&lt;&gt;""..""),CONCATENATE(D132,""/"",C133),IF(C133="".."",MID(D132,1,LEN(D132)-LEN(REGEXEXTRACT(D132,""(/\w*)$""))),D132))"),"//lrvl/bqqltcg/zcgrgff/ztrslh/szrth/zcgrgff")</f>
        <v>//lrvl/bqqltcg/zcgrgff/ztrslh/szrth/zcgrgff</v>
      </c>
      <c r="E133" s="2" t="str">
        <f>IFERROR(__xludf.DUMMYFUNCTION("""COMPUTED_VALUE"""),"//zddrb/pgbgpn/vvmwgngv/bqc")</f>
        <v>//zddrb/pgbgpn/vvmwgngv/bqc</v>
      </c>
      <c r="F133" s="2">
        <f t="shared" si="1"/>
        <v>183686</v>
      </c>
      <c r="K133" s="2">
        <v>452018.0</v>
      </c>
    </row>
    <row r="134">
      <c r="A134" s="1" t="s">
        <v>86</v>
      </c>
      <c r="B134" s="2">
        <f>IFERROR(__xludf.DUMMYFUNCTION("SPLIT(A134,"" "")"),73640.0)</f>
        <v>73640</v>
      </c>
      <c r="C134" s="2" t="str">
        <f>IFERROR(__xludf.DUMMYFUNCTION("""COMPUTED_VALUE"""),"mpq.cdn")</f>
        <v>mpq.cdn</v>
      </c>
      <c r="D134" s="2" t="str">
        <f>IFERROR(__xludf.DUMMYFUNCTION("IF(AND(B134=""$cd"",C134&lt;&gt;""..""),CONCATENATE(D133,""/"",C134),IF(C134="".."",MID(D133,1,LEN(D133)-LEN(REGEXEXTRACT(D133,""(/\w*)$""))),D133))"),"//lrvl/bqqltcg/zcgrgff/ztrslh/szrth/zcgrgff")</f>
        <v>//lrvl/bqqltcg/zcgrgff/ztrslh/szrth/zcgrgff</v>
      </c>
      <c r="E134" s="2" t="str">
        <f>IFERROR(__xludf.DUMMYFUNCTION("""COMPUTED_VALUE"""),"//zddrb/pgbgpn/vvmwgngv/bqc/lmnvtg")</f>
        <v>//zddrb/pgbgpn/vvmwgngv/bqc/lmnvtg</v>
      </c>
      <c r="F134" s="2">
        <f t="shared" si="1"/>
        <v>6999588</v>
      </c>
      <c r="K134" s="2">
        <v>454015.0</v>
      </c>
    </row>
    <row r="135">
      <c r="A135" s="1" t="s">
        <v>46</v>
      </c>
      <c r="B135" s="2" t="str">
        <f>IFERROR(__xludf.DUMMYFUNCTION("SPLIT(A135,"" "")"),"dir")</f>
        <v>dir</v>
      </c>
      <c r="C135" s="2" t="str">
        <f>IFERROR(__xludf.DUMMYFUNCTION("""COMPUTED_VALUE"""),"zcgrgff")</f>
        <v>zcgrgff</v>
      </c>
      <c r="D135" s="2" t="str">
        <f>IFERROR(__xludf.DUMMYFUNCTION("IF(AND(B135=""$cd"",C135&lt;&gt;""..""),CONCATENATE(D134,""/"",C135),IF(C135="".."",MID(D134,1,LEN(D134)-LEN(REGEXEXTRACT(D134,""(/\w*)$""))),D134))"),"//lrvl/bqqltcg/zcgrgff/ztrslh/szrth/zcgrgff")</f>
        <v>//lrvl/bqqltcg/zcgrgff/ztrslh/szrth/zcgrgff</v>
      </c>
      <c r="E135" s="2" t="str">
        <f>IFERROR(__xludf.DUMMYFUNCTION("""COMPUTED_VALUE"""),"//zddrb/pgbgpn/vvmwgngv/bqc/lmnvtg/dzdd")</f>
        <v>//zddrb/pgbgpn/vvmwgngv/bqc/lmnvtg/dzdd</v>
      </c>
      <c r="F135" s="2">
        <f t="shared" si="1"/>
        <v>3461431</v>
      </c>
      <c r="K135" s="2">
        <v>454565.0</v>
      </c>
    </row>
    <row r="136">
      <c r="A136" s="1" t="s">
        <v>625</v>
      </c>
      <c r="B136" s="2" t="str">
        <f>IFERROR(__xludf.DUMMYFUNCTION("SPLIT(A136,"" "")"),"$cd")</f>
        <v>$cd</v>
      </c>
      <c r="C136" s="2" t="str">
        <f>IFERROR(__xludf.DUMMYFUNCTION("""COMPUTED_VALUE"""),"zcgrgff")</f>
        <v>zcgrgff</v>
      </c>
      <c r="D136" s="2" t="str">
        <f>IFERROR(__xludf.DUMMYFUNCTION("IF(AND(B136=""$cd"",C136&lt;&gt;""..""),CONCATENATE(D135,""/"",C136),IF(C136="".."",MID(D135,1,LEN(D135)-LEN(REGEXEXTRACT(D135,""(/\w*)$""))),D135))"),"//lrvl/bqqltcg/zcgrgff/ztrslh/szrth/zcgrgff/zcgrgff")</f>
        <v>//lrvl/bqqltcg/zcgrgff/ztrslh/szrth/zcgrgff/zcgrgff</v>
      </c>
      <c r="E136" s="2" t="str">
        <f>IFERROR(__xludf.DUMMYFUNCTION("""COMPUTED_VALUE"""),"//zddrb/pgbgpn/vvmwgngv/bqc/lmnvtg/dzdd/jnwr")</f>
        <v>//zddrb/pgbgpn/vvmwgngv/bqc/lmnvtg/dzdd/jnwr</v>
      </c>
      <c r="F136" s="2">
        <f t="shared" si="1"/>
        <v>915750</v>
      </c>
      <c r="K136" s="2">
        <v>461954.0</v>
      </c>
    </row>
    <row r="137">
      <c r="A137" s="1" t="s">
        <v>609</v>
      </c>
      <c r="B137" s="2" t="str">
        <f>IFERROR(__xludf.DUMMYFUNCTION("SPLIT(A137,"" "")"),"$ls")</f>
        <v>$ls</v>
      </c>
      <c r="D137" s="2" t="str">
        <f>IFERROR(__xludf.DUMMYFUNCTION("IF(AND(B137=""$cd"",C137&lt;&gt;""..""),CONCATENATE(D136,""/"",C137),IF(C137="".."",MID(D136,1,LEN(D136)-LEN(REGEXEXTRACT(D136,""(/\w*)$""))),D136))"),"//lrvl/bqqltcg/zcgrgff/ztrslh/szrth/zcgrgff/zcgrgff")</f>
        <v>//lrvl/bqqltcg/zcgrgff/ztrslh/szrth/zcgrgff/zcgrgff</v>
      </c>
      <c r="E137" s="2" t="str">
        <f>IFERROR(__xludf.DUMMYFUNCTION("""COMPUTED_VALUE"""),"//zddrb/pgbgpn/vvmwgngv/bqc/lmnvtg/rnlctfm")</f>
        <v>//zddrb/pgbgpn/vvmwgngv/bqc/lmnvtg/rnlctfm</v>
      </c>
      <c r="F137" s="2">
        <f t="shared" si="1"/>
        <v>71772</v>
      </c>
      <c r="K137" s="2">
        <v>464942.0</v>
      </c>
    </row>
    <row r="138">
      <c r="A138" s="1" t="s">
        <v>87</v>
      </c>
      <c r="B138" s="2">
        <f>IFERROR(__xludf.DUMMYFUNCTION("SPLIT(A138,"" "")"),115955.0)</f>
        <v>115955</v>
      </c>
      <c r="C138" s="2" t="str">
        <f>IFERROR(__xludf.DUMMYFUNCTION("""COMPUTED_VALUE"""),"rssmrfbq.trs")</f>
        <v>rssmrfbq.trs</v>
      </c>
      <c r="D138" s="2" t="str">
        <f>IFERROR(__xludf.DUMMYFUNCTION("IF(AND(B138=""$cd"",C138&lt;&gt;""..""),CONCATENATE(D137,""/"",C138),IF(C138="".."",MID(D137,1,LEN(D137)-LEN(REGEXEXTRACT(D137,""(/\w*)$""))),D137))"),"//lrvl/bqqltcg/zcgrgff/ztrslh/szrth/zcgrgff/zcgrgff")</f>
        <v>//lrvl/bqqltcg/zcgrgff/ztrslh/szrth/zcgrgff/zcgrgff</v>
      </c>
      <c r="E138" s="2" t="str">
        <f>IFERROR(__xludf.DUMMYFUNCTION("""COMPUTED_VALUE"""),"//zddrb/pgbgpn/vvmwgngv/bqc/lmnvtg/slzdbm")</f>
        <v>//zddrb/pgbgpn/vvmwgngv/bqc/lmnvtg/slzdbm</v>
      </c>
      <c r="F138" s="2">
        <f t="shared" si="1"/>
        <v>71772</v>
      </c>
      <c r="K138" s="2">
        <v>466588.0</v>
      </c>
    </row>
    <row r="139">
      <c r="A139" s="1" t="s">
        <v>612</v>
      </c>
      <c r="B139" s="2" t="str">
        <f>IFERROR(__xludf.DUMMYFUNCTION("SPLIT(A139,"" "")"),"$cd")</f>
        <v>$cd</v>
      </c>
      <c r="C139" s="2" t="str">
        <f>IFERROR(__xludf.DUMMYFUNCTION("""COMPUTED_VALUE"""),"..")</f>
        <v>..</v>
      </c>
      <c r="D139" s="2" t="str">
        <f>IFERROR(__xludf.DUMMYFUNCTION("IF(AND(B139=""$cd"",C139&lt;&gt;""..""),CONCATENATE(D138,""/"",C139),IF(C139="".."",MID(D138,1,LEN(D138)-LEN(REGEXEXTRACT(D138,""(/\w*)$""))),D138))"),"//lrvl/bqqltcg/zcgrgff/ztrslh/szrth/zcgrgff")</f>
        <v>//lrvl/bqqltcg/zcgrgff/ztrslh/szrth/zcgrgff</v>
      </c>
      <c r="E139" s="2" t="str">
        <f>IFERROR(__xludf.DUMMYFUNCTION("""COMPUTED_VALUE"""),"//zddrb/pgbgpn/vvmwgngv/bqc/mzsfcvgv")</f>
        <v>//zddrb/pgbgpn/vvmwgngv/bqc/mzsfcvgv</v>
      </c>
      <c r="F139" s="2">
        <f t="shared" si="1"/>
        <v>306743</v>
      </c>
      <c r="K139" s="2">
        <v>473075.0</v>
      </c>
    </row>
    <row r="140">
      <c r="A140" s="1" t="s">
        <v>612</v>
      </c>
      <c r="B140" s="2" t="str">
        <f>IFERROR(__xludf.DUMMYFUNCTION("SPLIT(A140,"" "")"),"$cd")</f>
        <v>$cd</v>
      </c>
      <c r="C140" s="2" t="str">
        <f>IFERROR(__xludf.DUMMYFUNCTION("""COMPUTED_VALUE"""),"..")</f>
        <v>..</v>
      </c>
      <c r="D140" s="2" t="str">
        <f>IFERROR(__xludf.DUMMYFUNCTION("IF(AND(B140=""$cd"",C140&lt;&gt;""..""),CONCATENATE(D139,""/"",C140),IF(C140="".."",MID(D139,1,LEN(D139)-LEN(REGEXEXTRACT(D139,""(/\w*)$""))),D139))"),"//lrvl/bqqltcg/zcgrgff/ztrslh/szrth")</f>
        <v>//lrvl/bqqltcg/zcgrgff/ztrslh/szrth</v>
      </c>
      <c r="E140" s="2" t="str">
        <f>IFERROR(__xludf.DUMMYFUNCTION("""COMPUTED_VALUE"""),"//zddrb/pgbgpn/vvmwgngv/bqc/mzsfcvgv/nsvn")</f>
        <v>//zddrb/pgbgpn/vvmwgngv/bqc/mzsfcvgv/nsvn</v>
      </c>
      <c r="F140" s="2">
        <f t="shared" si="1"/>
        <v>316131</v>
      </c>
      <c r="K140" s="2">
        <v>481556.0</v>
      </c>
    </row>
    <row r="141">
      <c r="A141" s="1" t="s">
        <v>612</v>
      </c>
      <c r="B141" s="2" t="str">
        <f>IFERROR(__xludf.DUMMYFUNCTION("SPLIT(A141,"" "")"),"$cd")</f>
        <v>$cd</v>
      </c>
      <c r="C141" s="2" t="str">
        <f>IFERROR(__xludf.DUMMYFUNCTION("""COMPUTED_VALUE"""),"..")</f>
        <v>..</v>
      </c>
      <c r="D141" s="2" t="str">
        <f>IFERROR(__xludf.DUMMYFUNCTION("IF(AND(B141=""$cd"",C141&lt;&gt;""..""),CONCATENATE(D140,""/"",C141),IF(C141="".."",MID(D140,1,LEN(D140)-LEN(REGEXEXTRACT(D140,""(/\w*)$""))),D140))"),"//lrvl/bqqltcg/zcgrgff/ztrslh")</f>
        <v>//lrvl/bqqltcg/zcgrgff/ztrslh</v>
      </c>
      <c r="E141" s="2" t="str">
        <f>IFERROR(__xludf.DUMMYFUNCTION("""COMPUTED_VALUE"""),"//zddrb/pgbgpn/vvmwgngv/bqc/mzsfcvgv/nsvn/bcmd")</f>
        <v>//zddrb/pgbgpn/vvmwgngv/bqc/mzsfcvgv/nsvn/bcmd</v>
      </c>
      <c r="F141" s="2">
        <f t="shared" si="1"/>
        <v>1781861</v>
      </c>
      <c r="K141" s="2">
        <v>492253.0</v>
      </c>
    </row>
    <row r="142">
      <c r="A142" s="1" t="s">
        <v>631</v>
      </c>
      <c r="B142" s="2" t="str">
        <f>IFERROR(__xludf.DUMMYFUNCTION("SPLIT(A142,"" "")"),"$cd")</f>
        <v>$cd</v>
      </c>
      <c r="C142" s="2" t="str">
        <f>IFERROR(__xludf.DUMMYFUNCTION("""COMPUTED_VALUE"""),"zcp")</f>
        <v>zcp</v>
      </c>
      <c r="D142" s="2" t="str">
        <f>IFERROR(__xludf.DUMMYFUNCTION("IF(AND(B142=""$cd"",C142&lt;&gt;""..""),CONCATENATE(D141,""/"",C142),IF(C142="".."",MID(D141,1,LEN(D141)-LEN(REGEXEXTRACT(D141,""(/\w*)$""))),D141))"),"//lrvl/bqqltcg/zcgrgff/ztrslh/zcp")</f>
        <v>//lrvl/bqqltcg/zcgrgff/ztrslh/zcp</v>
      </c>
      <c r="E142" s="2" t="str">
        <f>IFERROR(__xludf.DUMMYFUNCTION("""COMPUTED_VALUE"""),"//zddrb/pgbgpn/vvmwgngv/bqc/mzsfcvgv/nsvn/jcjsp")</f>
        <v>//zddrb/pgbgpn/vvmwgngv/bqc/mzsfcvgv/nsvn/jcjsp</v>
      </c>
      <c r="F142" s="2">
        <f t="shared" si="1"/>
        <v>774896</v>
      </c>
      <c r="K142" s="2">
        <v>512340.0</v>
      </c>
    </row>
    <row r="143">
      <c r="A143" s="1" t="s">
        <v>609</v>
      </c>
      <c r="B143" s="2" t="str">
        <f>IFERROR(__xludf.DUMMYFUNCTION("SPLIT(A143,"" "")"),"$ls")</f>
        <v>$ls</v>
      </c>
      <c r="D143" s="2" t="str">
        <f>IFERROR(__xludf.DUMMYFUNCTION("IF(AND(B143=""$cd"",C143&lt;&gt;""..""),CONCATENATE(D142,""/"",C143),IF(C143="".."",MID(D142,1,LEN(D142)-LEN(REGEXEXTRACT(D142,""(/\w*)$""))),D142))"),"//lrvl/bqqltcg/zcgrgff/ztrslh/zcp")</f>
        <v>//lrvl/bqqltcg/zcgrgff/ztrslh/zcp</v>
      </c>
      <c r="E143" s="2" t="str">
        <f>IFERROR(__xludf.DUMMYFUNCTION("""COMPUTED_VALUE"""),"//zddrb/pgbgpn/vvmwgngv/bqc/mzsfcvgv/nsvn/jnwr")</f>
        <v>//zddrb/pgbgpn/vvmwgngv/bqc/mzsfcvgv/nsvn/jnwr</v>
      </c>
      <c r="F143" s="2">
        <f t="shared" si="1"/>
        <v>292874</v>
      </c>
      <c r="K143" s="2">
        <v>521137.0</v>
      </c>
    </row>
    <row r="144">
      <c r="A144" s="1" t="s">
        <v>89</v>
      </c>
      <c r="B144" s="2" t="str">
        <f>IFERROR(__xludf.DUMMYFUNCTION("SPLIT(A144,"" "")"),"dir")</f>
        <v>dir</v>
      </c>
      <c r="C144" s="2" t="str">
        <f>IFERROR(__xludf.DUMMYFUNCTION("""COMPUTED_VALUE"""),"qdjtmwrr")</f>
        <v>qdjtmwrr</v>
      </c>
      <c r="D144" s="2" t="str">
        <f>IFERROR(__xludf.DUMMYFUNCTION("IF(AND(B144=""$cd"",C144&lt;&gt;""..""),CONCATENATE(D143,""/"",C144),IF(C144="".."",MID(D143,1,LEN(D143)-LEN(REGEXEXTRACT(D143,""(/\w*)$""))),D143))"),"//lrvl/bqqltcg/zcgrgff/ztrslh/zcp")</f>
        <v>//lrvl/bqqltcg/zcgrgff/ztrslh/zcp</v>
      </c>
      <c r="E144" s="2" t="str">
        <f>IFERROR(__xludf.DUMMYFUNCTION("""COMPUTED_VALUE"""),"//zddrb/pgbgpn/vvmwgngv/bqc/mzsfcvgv/plj")</f>
        <v>//zddrb/pgbgpn/vvmwgngv/bqc/mzsfcvgv/plj</v>
      </c>
      <c r="F144" s="2">
        <f t="shared" si="1"/>
        <v>188389</v>
      </c>
      <c r="K144" s="2">
        <v>521137.0</v>
      </c>
    </row>
    <row r="145">
      <c r="A145" s="1" t="s">
        <v>90</v>
      </c>
      <c r="B145" s="2" t="str">
        <f>IFERROR(__xludf.DUMMYFUNCTION("SPLIT(A145,"" "")"),"dir")</f>
        <v>dir</v>
      </c>
      <c r="C145" s="2" t="str">
        <f>IFERROR(__xludf.DUMMYFUNCTION("""COMPUTED_VALUE"""),"wpdjttm")</f>
        <v>wpdjttm</v>
      </c>
      <c r="D145" s="2" t="str">
        <f>IFERROR(__xludf.DUMMYFUNCTION("IF(AND(B145=""$cd"",C145&lt;&gt;""..""),CONCATENATE(D144,""/"",C145),IF(C145="".."",MID(D144,1,LEN(D144)-LEN(REGEXEXTRACT(D144,""(/\w*)$""))),D144))"),"//lrvl/bqqltcg/zcgrgff/ztrslh/zcp")</f>
        <v>//lrvl/bqqltcg/zcgrgff/ztrslh/zcp</v>
      </c>
      <c r="E145" s="2" t="str">
        <f>IFERROR(__xludf.DUMMYFUNCTION("""COMPUTED_VALUE"""),"//zddrb/pgbgpn/vvmwgngv/bqc/mzsfcvgv/tvmv")</f>
        <v>//zddrb/pgbgpn/vvmwgngv/bqc/mzsfcvgv/tvmv</v>
      </c>
      <c r="F145" s="2">
        <f t="shared" si="1"/>
        <v>293633</v>
      </c>
      <c r="K145" s="2">
        <v>521337.0</v>
      </c>
    </row>
    <row r="146">
      <c r="A146" s="1" t="s">
        <v>632</v>
      </c>
      <c r="B146" s="2" t="str">
        <f>IFERROR(__xludf.DUMMYFUNCTION("SPLIT(A146,"" "")"),"$cd")</f>
        <v>$cd</v>
      </c>
      <c r="C146" s="2" t="str">
        <f>IFERROR(__xludf.DUMMYFUNCTION("""COMPUTED_VALUE"""),"qdjtmwrr")</f>
        <v>qdjtmwrr</v>
      </c>
      <c r="D146" s="2" t="str">
        <f>IFERROR(__xludf.DUMMYFUNCTION("IF(AND(B146=""$cd"",C146&lt;&gt;""..""),CONCATENATE(D145,""/"",C146),IF(C146="".."",MID(D145,1,LEN(D145)-LEN(REGEXEXTRACT(D145,""(/\w*)$""))),D145))"),"//lrvl/bqqltcg/zcgrgff/ztrslh/zcp/qdjtmwrr")</f>
        <v>//lrvl/bqqltcg/zcgrgff/ztrslh/zcp/qdjtmwrr</v>
      </c>
      <c r="E146" s="2" t="str">
        <f>IFERROR(__xludf.DUMMYFUNCTION("""COMPUTED_VALUE"""),"//zddrb/pgbgpn/vvmwgngv/bqc/twzq")</f>
        <v>//zddrb/pgbgpn/vvmwgngv/bqc/twzq</v>
      </c>
      <c r="F146" s="2">
        <f t="shared" si="1"/>
        <v>808768</v>
      </c>
      <c r="K146" s="2">
        <v>584534.0</v>
      </c>
    </row>
    <row r="147">
      <c r="A147" s="1" t="s">
        <v>609</v>
      </c>
      <c r="B147" s="2" t="str">
        <f>IFERROR(__xludf.DUMMYFUNCTION("SPLIT(A147,"" "")"),"$ls")</f>
        <v>$ls</v>
      </c>
      <c r="D147" s="2" t="str">
        <f>IFERROR(__xludf.DUMMYFUNCTION("IF(AND(B147=""$cd"",C147&lt;&gt;""..""),CONCATENATE(D146,""/"",C147),IF(C147="".."",MID(D146,1,LEN(D146)-LEN(REGEXEXTRACT(D146,""(/\w*)$""))),D146))"),"//lrvl/bqqltcg/zcgrgff/ztrslh/zcp/qdjtmwrr")</f>
        <v>//lrvl/bqqltcg/zcgrgff/ztrslh/zcp/qdjtmwrr</v>
      </c>
      <c r="E147" s="2" t="str">
        <f>IFERROR(__xludf.DUMMYFUNCTION("""COMPUTED_VALUE"""),"//zddrb/pgbgpn/vvmwgngv/bqc/twzq/hwgndwpj")</f>
        <v>//zddrb/pgbgpn/vvmwgngv/bqc/twzq/hwgndwpj</v>
      </c>
      <c r="F147" s="2">
        <f t="shared" si="1"/>
        <v>198197</v>
      </c>
      <c r="K147" s="2">
        <v>603629.0</v>
      </c>
    </row>
    <row r="148">
      <c r="A148" s="1" t="s">
        <v>92</v>
      </c>
      <c r="B148" s="2">
        <f>IFERROR(__xludf.DUMMYFUNCTION("SPLIT(A148,"" "")"),138185.0)</f>
        <v>138185</v>
      </c>
      <c r="C148" s="2" t="str">
        <f>IFERROR(__xludf.DUMMYFUNCTION("""COMPUTED_VALUE"""),"jnwr")</f>
        <v>jnwr</v>
      </c>
      <c r="D148" s="2" t="str">
        <f>IFERROR(__xludf.DUMMYFUNCTION("IF(AND(B148=""$cd"",C148&lt;&gt;""..""),CONCATENATE(D147,""/"",C148),IF(C148="".."",MID(D147,1,LEN(D147)-LEN(REGEXEXTRACT(D147,""(/\w*)$""))),D147))"),"//lrvl/bqqltcg/zcgrgff/ztrslh/zcp/qdjtmwrr")</f>
        <v>//lrvl/bqqltcg/zcgrgff/ztrslh/zcp/qdjtmwrr</v>
      </c>
      <c r="E148" s="2" t="str">
        <f>IFERROR(__xludf.DUMMYFUNCTION("""COMPUTED_VALUE"""),"//zddrb/pgbgpn/vvmwgngv/bqc/twzq/hwgndwpj/srdzqqf")</f>
        <v>//zddrb/pgbgpn/vvmwgngv/bqc/twzq/hwgndwpj/srdzqqf</v>
      </c>
      <c r="F148" s="2">
        <f t="shared" si="1"/>
        <v>101738</v>
      </c>
      <c r="K148" s="2">
        <v>618943.0</v>
      </c>
    </row>
    <row r="149">
      <c r="A149" s="1" t="s">
        <v>612</v>
      </c>
      <c r="B149" s="2" t="str">
        <f>IFERROR(__xludf.DUMMYFUNCTION("SPLIT(A149,"" "")"),"$cd")</f>
        <v>$cd</v>
      </c>
      <c r="C149" s="2" t="str">
        <f>IFERROR(__xludf.DUMMYFUNCTION("""COMPUTED_VALUE"""),"..")</f>
        <v>..</v>
      </c>
      <c r="D149" s="2" t="str">
        <f>IFERROR(__xludf.DUMMYFUNCTION("IF(AND(B149=""$cd"",C149&lt;&gt;""..""),CONCATENATE(D148,""/"",C149),IF(C149="".."",MID(D148,1,LEN(D148)-LEN(REGEXEXTRACT(D148,""(/\w*)$""))),D148))"),"//lrvl/bqqltcg/zcgrgff/ztrslh/zcp")</f>
        <v>//lrvl/bqqltcg/zcgrgff/ztrslh/zcp</v>
      </c>
      <c r="E149" s="2" t="str">
        <f>IFERROR(__xludf.DUMMYFUNCTION("""COMPUTED_VALUE"""),"//zddrb/pgbgpn/vvmwgngv/mzsfcvgv")</f>
        <v>//zddrb/pgbgpn/vvmwgngv/mzsfcvgv</v>
      </c>
      <c r="F149" s="2">
        <f t="shared" si="1"/>
        <v>101738</v>
      </c>
      <c r="K149" s="2">
        <v>621970.0</v>
      </c>
    </row>
    <row r="150">
      <c r="A150" s="1" t="s">
        <v>633</v>
      </c>
      <c r="B150" s="2" t="str">
        <f>IFERROR(__xludf.DUMMYFUNCTION("SPLIT(A150,"" "")"),"$cd")</f>
        <v>$cd</v>
      </c>
      <c r="C150" s="2" t="str">
        <f>IFERROR(__xludf.DUMMYFUNCTION("""COMPUTED_VALUE"""),"wpdjttm")</f>
        <v>wpdjttm</v>
      </c>
      <c r="D150" s="2" t="str">
        <f>IFERROR(__xludf.DUMMYFUNCTION("IF(AND(B150=""$cd"",C150&lt;&gt;""..""),CONCATENATE(D149,""/"",C150),IF(C150="".."",MID(D149,1,LEN(D149)-LEN(REGEXEXTRACT(D149,""(/\w*)$""))),D149))"),"//lrvl/bqqltcg/zcgrgff/ztrslh/zcp/wpdjttm")</f>
        <v>//lrvl/bqqltcg/zcgrgff/ztrslh/zcp/wpdjttm</v>
      </c>
      <c r="E150" s="2" t="str">
        <f>IFERROR(__xludf.DUMMYFUNCTION("""COMPUTED_VALUE"""),"//zddrb/pgbgpn/vvmwgngv/mzsfcvgv/hlvpfw")</f>
        <v>//zddrb/pgbgpn/vvmwgngv/mzsfcvgv/hlvpfw</v>
      </c>
      <c r="F150" s="2">
        <f t="shared" si="1"/>
        <v>101738</v>
      </c>
      <c r="K150" s="2">
        <v>691179.0</v>
      </c>
    </row>
    <row r="151">
      <c r="A151" s="1" t="s">
        <v>609</v>
      </c>
      <c r="B151" s="2" t="str">
        <f>IFERROR(__xludf.DUMMYFUNCTION("SPLIT(A151,"" "")"),"$ls")</f>
        <v>$ls</v>
      </c>
      <c r="D151" s="2" t="str">
        <f>IFERROR(__xludf.DUMMYFUNCTION("IF(AND(B151=""$cd"",C151&lt;&gt;""..""),CONCATENATE(D150,""/"",C151),IF(C151="".."",MID(D150,1,LEN(D150)-LEN(REGEXEXTRACT(D150,""(/\w*)$""))),D150))"),"//lrvl/bqqltcg/zcgrgff/ztrslh/zcp/wpdjttm")</f>
        <v>//lrvl/bqqltcg/zcgrgff/ztrslh/zcp/wpdjttm</v>
      </c>
      <c r="E151" s="2" t="str">
        <f>IFERROR(__xludf.DUMMYFUNCTION("""COMPUTED_VALUE"""),"//zddrb/pgbgpn/vvmwgngv/mzsfcvgv/vbdw")</f>
        <v>//zddrb/pgbgpn/vvmwgngv/mzsfcvgv/vbdw</v>
      </c>
      <c r="F151" s="2">
        <f t="shared" si="1"/>
        <v>1015127</v>
      </c>
      <c r="K151" s="2">
        <v>691294.0</v>
      </c>
    </row>
    <row r="152">
      <c r="A152" s="1" t="s">
        <v>94</v>
      </c>
      <c r="B152" s="2">
        <f>IFERROR(__xludf.DUMMYFUNCTION("SPLIT(A152,"" "")"),207755.0)</f>
        <v>207755</v>
      </c>
      <c r="C152" s="2" t="str">
        <f>IFERROR(__xludf.DUMMYFUNCTION("""COMPUTED_VALUE"""),"vvwtghjb")</f>
        <v>vvwtghjb</v>
      </c>
      <c r="D152" s="2" t="str">
        <f>IFERROR(__xludf.DUMMYFUNCTION("IF(AND(B152=""$cd"",C152&lt;&gt;""..""),CONCATENATE(D151,""/"",C152),IF(C152="".."",MID(D151,1,LEN(D151)-LEN(REGEXEXTRACT(D151,""(/\w*)$""))),D151))"),"//lrvl/bqqltcg/zcgrgff/ztrslh/zcp/wpdjttm")</f>
        <v>//lrvl/bqqltcg/zcgrgff/ztrslh/zcp/wpdjttm</v>
      </c>
      <c r="E152" s="2" t="str">
        <f>IFERROR(__xludf.DUMMYFUNCTION("""COMPUTED_VALUE"""),"//zddrb/pgbgpn/vvmwgngv/mzsfcvgv/vbdw/csw")</f>
        <v>//zddrb/pgbgpn/vvmwgngv/mzsfcvgv/vbdw/csw</v>
      </c>
      <c r="F152" s="2">
        <f t="shared" si="1"/>
        <v>270309</v>
      </c>
      <c r="K152" s="2">
        <v>704840.0</v>
      </c>
    </row>
    <row r="153">
      <c r="A153" s="1" t="s">
        <v>612</v>
      </c>
      <c r="B153" s="2" t="str">
        <f>IFERROR(__xludf.DUMMYFUNCTION("SPLIT(A153,"" "")"),"$cd")</f>
        <v>$cd</v>
      </c>
      <c r="C153" s="2" t="str">
        <f>IFERROR(__xludf.DUMMYFUNCTION("""COMPUTED_VALUE"""),"..")</f>
        <v>..</v>
      </c>
      <c r="D153" s="2" t="str">
        <f>IFERROR(__xludf.DUMMYFUNCTION("IF(AND(B153=""$cd"",C153&lt;&gt;""..""),CONCATENATE(D152,""/"",C153),IF(C153="".."",MID(D152,1,LEN(D152)-LEN(REGEXEXTRACT(D152,""(/\w*)$""))),D152))"),"//lrvl/bqqltcg/zcgrgff/ztrslh/zcp")</f>
        <v>//lrvl/bqqltcg/zcgrgff/ztrslh/zcp</v>
      </c>
      <c r="E153" s="2" t="str">
        <f>IFERROR(__xludf.DUMMYFUNCTION("""COMPUTED_VALUE"""),"//zddrb/pgbgpn/vvmwgngv/qgj")</f>
        <v>//zddrb/pgbgpn/vvmwgngv/qgj</v>
      </c>
      <c r="F153" s="2">
        <f t="shared" si="1"/>
        <v>744818</v>
      </c>
      <c r="K153" s="2">
        <v>720197.0</v>
      </c>
    </row>
    <row r="154">
      <c r="A154" s="1" t="s">
        <v>612</v>
      </c>
      <c r="B154" s="2" t="str">
        <f>IFERROR(__xludf.DUMMYFUNCTION("SPLIT(A154,"" "")"),"$cd")</f>
        <v>$cd</v>
      </c>
      <c r="C154" s="2" t="str">
        <f>IFERROR(__xludf.DUMMYFUNCTION("""COMPUTED_VALUE"""),"..")</f>
        <v>..</v>
      </c>
      <c r="D154" s="2" t="str">
        <f>IFERROR(__xludf.DUMMYFUNCTION("IF(AND(B154=""$cd"",C154&lt;&gt;""..""),CONCATENATE(D153,""/"",C154),IF(C154="".."",MID(D153,1,LEN(D153)-LEN(REGEXEXTRACT(D153,""(/\w*)$""))),D153))"),"//lrvl/bqqltcg/zcgrgff/ztrslh")</f>
        <v>//lrvl/bqqltcg/zcgrgff/ztrslh</v>
      </c>
      <c r="E154" s="2" t="str">
        <f>IFERROR(__xludf.DUMMYFUNCTION("""COMPUTED_VALUE"""),"//zddrb/pgbgpn/vvmwgngv/qgj/lmp")</f>
        <v>//zddrb/pgbgpn/vvmwgngv/qgj/lmp</v>
      </c>
      <c r="F154" s="2">
        <f t="shared" si="1"/>
        <v>744818</v>
      </c>
      <c r="K154" s="2">
        <v>725633.0</v>
      </c>
    </row>
    <row r="155">
      <c r="A155" s="1" t="s">
        <v>612</v>
      </c>
      <c r="B155" s="2" t="str">
        <f>IFERROR(__xludf.DUMMYFUNCTION("SPLIT(A155,"" "")"),"$cd")</f>
        <v>$cd</v>
      </c>
      <c r="C155" s="2" t="str">
        <f>IFERROR(__xludf.DUMMYFUNCTION("""COMPUTED_VALUE"""),"..")</f>
        <v>..</v>
      </c>
      <c r="D155" s="2" t="str">
        <f>IFERROR(__xludf.DUMMYFUNCTION("IF(AND(B155=""$cd"",C155&lt;&gt;""..""),CONCATENATE(D154,""/"",C155),IF(C155="".."",MID(D154,1,LEN(D154)-LEN(REGEXEXTRACT(D154,""(/\w*)$""))),D154))"),"//lrvl/bqqltcg/zcgrgff")</f>
        <v>//lrvl/bqqltcg/zcgrgff</v>
      </c>
      <c r="E155" s="2" t="str">
        <f>IFERROR(__xludf.DUMMYFUNCTION("""COMPUTED_VALUE"""),"//zddrb/pgbgpn/vvmwgngv/qgj/lmp/jnwr")</f>
        <v>//zddrb/pgbgpn/vvmwgngv/qgj/lmp/jnwr</v>
      </c>
      <c r="F155" s="2">
        <f t="shared" si="1"/>
        <v>1919401</v>
      </c>
      <c r="K155" s="2">
        <v>744818.0</v>
      </c>
    </row>
    <row r="156">
      <c r="A156" s="1" t="s">
        <v>612</v>
      </c>
      <c r="B156" s="2" t="str">
        <f>IFERROR(__xludf.DUMMYFUNCTION("SPLIT(A156,"" "")"),"$cd")</f>
        <v>$cd</v>
      </c>
      <c r="C156" s="2" t="str">
        <f>IFERROR(__xludf.DUMMYFUNCTION("""COMPUTED_VALUE"""),"..")</f>
        <v>..</v>
      </c>
      <c r="D156" s="2" t="str">
        <f>IFERROR(__xludf.DUMMYFUNCTION("IF(AND(B156=""$cd"",C156&lt;&gt;""..""),CONCATENATE(D155,""/"",C156),IF(C156="".."",MID(D155,1,LEN(D155)-LEN(REGEXEXTRACT(D155,""(/\w*)$""))),D155))"),"//lrvl/bqqltcg")</f>
        <v>//lrvl/bqqltcg</v>
      </c>
      <c r="E156" s="2" t="str">
        <f>IFERROR(__xludf.DUMMYFUNCTION("""COMPUTED_VALUE"""),"//zddrb/pgbgpn/vvmwgngv/qgj/slzdbm")</f>
        <v>//zddrb/pgbgpn/vvmwgngv/qgj/slzdbm</v>
      </c>
      <c r="F156" s="2">
        <f t="shared" si="1"/>
        <v>284951</v>
      </c>
      <c r="K156" s="2">
        <v>744818.0</v>
      </c>
    </row>
    <row r="157">
      <c r="A157" s="1" t="s">
        <v>612</v>
      </c>
      <c r="B157" s="2" t="str">
        <f>IFERROR(__xludf.DUMMYFUNCTION("SPLIT(A157,"" "")"),"$cd")</f>
        <v>$cd</v>
      </c>
      <c r="C157" s="2" t="str">
        <f>IFERROR(__xludf.DUMMYFUNCTION("""COMPUTED_VALUE"""),"..")</f>
        <v>..</v>
      </c>
      <c r="D157" s="2" t="str">
        <f>IFERROR(__xludf.DUMMYFUNCTION("IF(AND(B157=""$cd"",C157&lt;&gt;""..""),CONCATENATE(D156,""/"",C157),IF(C157="".."",MID(D156,1,LEN(D156)-LEN(REGEXEXTRACT(D156,""(/\w*)$""))),D156))"),"//lrvl")</f>
        <v>//lrvl</v>
      </c>
      <c r="E157" s="2" t="str">
        <f>IFERROR(__xludf.DUMMYFUNCTION("""COMPUTED_VALUE"""),"//zddrb/pgbgpn/vvmwgngv/qgj/slzdbm/jnwr")</f>
        <v>//zddrb/pgbgpn/vvmwgngv/qgj/slzdbm/jnwr</v>
      </c>
      <c r="F157" s="2">
        <f t="shared" si="1"/>
        <v>284951</v>
      </c>
      <c r="K157" s="2">
        <v>774896.0</v>
      </c>
    </row>
    <row r="158">
      <c r="A158" s="1" t="s">
        <v>634</v>
      </c>
      <c r="B158" s="2" t="str">
        <f>IFERROR(__xludf.DUMMYFUNCTION("SPLIT(A158,"" "")"),"$cd")</f>
        <v>$cd</v>
      </c>
      <c r="C158" s="2" t="str">
        <f>IFERROR(__xludf.DUMMYFUNCTION("""COMPUTED_VALUE"""),"pwc")</f>
        <v>pwc</v>
      </c>
      <c r="D158" s="2" t="str">
        <f>IFERROR(__xludf.DUMMYFUNCTION("IF(AND(B158=""$cd"",C158&lt;&gt;""..""),CONCATENATE(D157,""/"",C158),IF(C158="".."",MID(D157,1,LEN(D157)-LEN(REGEXEXTRACT(D157,""(/\w*)$""))),D157))"),"//lrvl/pwc")</f>
        <v>//lrvl/pwc</v>
      </c>
      <c r="E158" s="2" t="str">
        <f>IFERROR(__xludf.DUMMYFUNCTION("""COMPUTED_VALUE"""),"//zddrb/pgbgpn/vvmwgngv/qgj/slzdbm/slzdbm")</f>
        <v>//zddrb/pgbgpn/vvmwgngv/qgj/slzdbm/slzdbm</v>
      </c>
      <c r="F158" s="2">
        <f t="shared" si="1"/>
        <v>779158</v>
      </c>
      <c r="K158" s="2">
        <v>779158.0</v>
      </c>
    </row>
    <row r="159">
      <c r="A159" s="1" t="s">
        <v>609</v>
      </c>
      <c r="B159" s="2" t="str">
        <f>IFERROR(__xludf.DUMMYFUNCTION("SPLIT(A159,"" "")"),"$ls")</f>
        <v>$ls</v>
      </c>
      <c r="D159" s="2" t="str">
        <f>IFERROR(__xludf.DUMMYFUNCTION("IF(AND(B159=""$cd"",C159&lt;&gt;""..""),CONCATENATE(D158,""/"",C159),IF(C159="".."",MID(D158,1,LEN(D158)-LEN(REGEXEXTRACT(D158,""(/\w*)$""))),D158))"),"//lrvl/pwc")</f>
        <v>//lrvl/pwc</v>
      </c>
      <c r="E159" s="2" t="str">
        <f>IFERROR(__xludf.DUMMYFUNCTION("""COMPUTED_VALUE"""),"//zddrb/pgbgpn/vvmwgngv/qgj/tzth")</f>
        <v>//zddrb/pgbgpn/vvmwgngv/qgj/tzth</v>
      </c>
      <c r="F159" s="2">
        <f t="shared" si="1"/>
        <v>432671</v>
      </c>
      <c r="K159" s="2">
        <v>808768.0</v>
      </c>
    </row>
    <row r="160">
      <c r="A160" s="1" t="s">
        <v>96</v>
      </c>
      <c r="B160" s="2">
        <f>IFERROR(__xludf.DUMMYFUNCTION("SPLIT(A160,"" "")"),15911.0)</f>
        <v>15911</v>
      </c>
      <c r="C160" s="2" t="str">
        <f>IFERROR(__xludf.DUMMYFUNCTION("""COMPUTED_VALUE"""),"fqw")</f>
        <v>fqw</v>
      </c>
      <c r="D160" s="2" t="str">
        <f>IFERROR(__xludf.DUMMYFUNCTION("IF(AND(B160=""$cd"",C160&lt;&gt;""..""),CONCATENATE(D159,""/"",C160),IF(C160="".."",MID(D159,1,LEN(D159)-LEN(REGEXEXTRACT(D159,""(/\w*)$""))),D159))"),"//lrvl/pwc")</f>
        <v>//lrvl/pwc</v>
      </c>
      <c r="E160" s="2" t="str">
        <f>IFERROR(__xludf.DUMMYFUNCTION("""COMPUTED_VALUE"""),"//zddrb/pgbgpn/vvmwgngv/wfjzls")</f>
        <v>//zddrb/pgbgpn/vvmwgngv/wfjzls</v>
      </c>
      <c r="F160" s="2">
        <f t="shared" si="1"/>
        <v>68393</v>
      </c>
      <c r="K160" s="2">
        <v>820238.0</v>
      </c>
    </row>
    <row r="161">
      <c r="A161" s="1" t="s">
        <v>612</v>
      </c>
      <c r="B161" s="2" t="str">
        <f>IFERROR(__xludf.DUMMYFUNCTION("SPLIT(A161,"" "")"),"$cd")</f>
        <v>$cd</v>
      </c>
      <c r="C161" s="2" t="str">
        <f>IFERROR(__xludf.DUMMYFUNCTION("""COMPUTED_VALUE"""),"..")</f>
        <v>..</v>
      </c>
      <c r="D161" s="2" t="str">
        <f>IFERROR(__xludf.DUMMYFUNCTION("IF(AND(B161=""$cd"",C161&lt;&gt;""..""),CONCATENATE(D160,""/"",C161),IF(C161="".."",MID(D160,1,LEN(D160)-LEN(REGEXEXTRACT(D160,""(/\w*)$""))),D160))"),"//lrvl")</f>
        <v>//lrvl</v>
      </c>
      <c r="E161" s="2" t="str">
        <f>IFERROR(__xludf.DUMMYFUNCTION("""COMPUTED_VALUE"""),"//zddrb/pgbgpn/vvmwgngv/wfjzls/qvmdt")</f>
        <v>//zddrb/pgbgpn/vvmwgngv/wfjzls/qvmdt</v>
      </c>
      <c r="F161" s="2">
        <f t="shared" si="1"/>
        <v>159354</v>
      </c>
      <c r="K161" s="2">
        <v>821426.0</v>
      </c>
    </row>
    <row r="162">
      <c r="A162" s="1" t="s">
        <v>635</v>
      </c>
      <c r="B162" s="2" t="str">
        <f>IFERROR(__xludf.DUMMYFUNCTION("SPLIT(A162,"" "")"),"$cd")</f>
        <v>$cd</v>
      </c>
      <c r="C162" s="2" t="str">
        <f>IFERROR(__xludf.DUMMYFUNCTION("""COMPUTED_VALUE"""),"rjl")</f>
        <v>rjl</v>
      </c>
      <c r="D162" s="2" t="str">
        <f>IFERROR(__xludf.DUMMYFUNCTION("IF(AND(B162=""$cd"",C162&lt;&gt;""..""),CONCATENATE(D161,""/"",C162),IF(C162="".."",MID(D161,1,LEN(D161)-LEN(REGEXEXTRACT(D161,""(/\w*)$""))),D161))"),"//lrvl/rjl")</f>
        <v>//lrvl/rjl</v>
      </c>
      <c r="E162" s="2" t="str">
        <f>IFERROR(__xludf.DUMMYFUNCTION("""COMPUTED_VALUE"""),"//zddrb/slzdbm")</f>
        <v>//zddrb/slzdbm</v>
      </c>
      <c r="F162" s="2">
        <f t="shared" si="1"/>
        <v>603629</v>
      </c>
      <c r="K162" s="2">
        <v>851171.0</v>
      </c>
    </row>
    <row r="163">
      <c r="A163" s="1" t="s">
        <v>609</v>
      </c>
      <c r="B163" s="2" t="str">
        <f>IFERROR(__xludf.DUMMYFUNCTION("SPLIT(A163,"" "")"),"$ls")</f>
        <v>$ls</v>
      </c>
      <c r="D163" s="2" t="str">
        <f>IFERROR(__xludf.DUMMYFUNCTION("IF(AND(B163=""$cd"",C163&lt;&gt;""..""),CONCATENATE(D162,""/"",C163),IF(C163="".."",MID(D162,1,LEN(D162)-LEN(REGEXEXTRACT(D162,""(/\w*)$""))),D162))"),"//lrvl/rjl")</f>
        <v>//lrvl/rjl</v>
      </c>
      <c r="E163" s="2" t="str">
        <f>IFERROR(__xludf.DUMMYFUNCTION("""COMPUTED_VALUE"""),"//zddrb/slzdbm/hsvbbbp")</f>
        <v>//zddrb/slzdbm/hsvbbbp</v>
      </c>
      <c r="F163" s="2">
        <f t="shared" si="1"/>
        <v>244001</v>
      </c>
      <c r="K163" s="2">
        <v>861586.0</v>
      </c>
    </row>
    <row r="164">
      <c r="A164" s="1" t="s">
        <v>98</v>
      </c>
      <c r="B164" s="2">
        <f>IFERROR(__xludf.DUMMYFUNCTION("SPLIT(A164,"" "")"),119274.0)</f>
        <v>119274</v>
      </c>
      <c r="C164" s="2" t="str">
        <f>IFERROR(__xludf.DUMMYFUNCTION("""COMPUTED_VALUE"""),"ssssrhwz")</f>
        <v>ssssrhwz</v>
      </c>
      <c r="D164" s="2" t="str">
        <f>IFERROR(__xludf.DUMMYFUNCTION("IF(AND(B164=""$cd"",C164&lt;&gt;""..""),CONCATENATE(D163,""/"",C164),IF(C164="".."",MID(D163,1,LEN(D163)-LEN(REGEXEXTRACT(D163,""(/\w*)$""))),D163))"),"//lrvl/rjl")</f>
        <v>//lrvl/rjl</v>
      </c>
      <c r="E164" s="2" t="str">
        <f>IFERROR(__xludf.DUMMYFUNCTION("""COMPUTED_VALUE"""),"//zddrb/slzdbm/hsvbbbp/vpwf")</f>
        <v>//zddrb/slzdbm/hsvbbbp/vpwf</v>
      </c>
      <c r="F164" s="2">
        <f t="shared" si="1"/>
        <v>4095947</v>
      </c>
      <c r="K164" s="2">
        <v>868116.0</v>
      </c>
    </row>
    <row r="165">
      <c r="A165" s="1" t="s">
        <v>612</v>
      </c>
      <c r="B165" s="2" t="str">
        <f>IFERROR(__xludf.DUMMYFUNCTION("SPLIT(A165,"" "")"),"$cd")</f>
        <v>$cd</v>
      </c>
      <c r="C165" s="2" t="str">
        <f>IFERROR(__xludf.DUMMYFUNCTION("""COMPUTED_VALUE"""),"..")</f>
        <v>..</v>
      </c>
      <c r="D165" s="2" t="str">
        <f>IFERROR(__xludf.DUMMYFUNCTION("IF(AND(B165=""$cd"",C165&lt;&gt;""..""),CONCATENATE(D164,""/"",C165),IF(C165="".."",MID(D164,1,LEN(D164)-LEN(REGEXEXTRACT(D164,""(/\w*)$""))),D164))"),"//lrvl")</f>
        <v>//lrvl</v>
      </c>
      <c r="E165" s="2" t="str">
        <f>IFERROR(__xludf.DUMMYFUNCTION("""COMPUTED_VALUE"""),"//zddrb/slzdbm/hsvbbbp/zhngz")</f>
        <v>//zddrb/slzdbm/hsvbbbp/zhngz</v>
      </c>
      <c r="F165" s="2">
        <f t="shared" si="1"/>
        <v>821426</v>
      </c>
      <c r="K165" s="2">
        <v>915750.0</v>
      </c>
    </row>
    <row r="166">
      <c r="A166" s="1" t="s">
        <v>636</v>
      </c>
      <c r="B166" s="2" t="str">
        <f>IFERROR(__xludf.DUMMYFUNCTION("SPLIT(A166,"" "")"),"$cd")</f>
        <v>$cd</v>
      </c>
      <c r="C166" s="2" t="str">
        <f>IFERROR(__xludf.DUMMYFUNCTION("""COMPUTED_VALUE"""),"rzvqvv")</f>
        <v>rzvqvv</v>
      </c>
      <c r="D166" s="2" t="str">
        <f>IFERROR(__xludf.DUMMYFUNCTION("IF(AND(B166=""$cd"",C166&lt;&gt;""..""),CONCATENATE(D165,""/"",C166),IF(C166="".."",MID(D165,1,LEN(D165)-LEN(REGEXEXTRACT(D165,""(/\w*)$""))),D165))"),"//lrvl/rzvqvv")</f>
        <v>//lrvl/rzvqvv</v>
      </c>
      <c r="E166" s="2" t="str">
        <f>IFERROR(__xludf.DUMMYFUNCTION("""COMPUTED_VALUE"""),"//zddrb/slzdbm/jdtrdgqs")</f>
        <v>//zddrb/slzdbm/jdtrdgqs</v>
      </c>
      <c r="F166" s="2">
        <f t="shared" si="1"/>
        <v>349919</v>
      </c>
      <c r="K166" s="2">
        <v>928180.0</v>
      </c>
    </row>
    <row r="167">
      <c r="A167" s="1" t="s">
        <v>609</v>
      </c>
      <c r="B167" s="2" t="str">
        <f>IFERROR(__xludf.DUMMYFUNCTION("SPLIT(A167,"" "")"),"$ls")</f>
        <v>$ls</v>
      </c>
      <c r="D167" s="2" t="str">
        <f>IFERROR(__xludf.DUMMYFUNCTION("IF(AND(B167=""$cd"",C167&lt;&gt;""..""),CONCATENATE(D166,""/"",C167),IF(C167="".."",MID(D166,1,LEN(D166)-LEN(REGEXEXTRACT(D166,""(/\w*)$""))),D166))"),"//lrvl/rzvqvv")</f>
        <v>//lrvl/rzvqvv</v>
      </c>
      <c r="E167" s="2" t="str">
        <f>IFERROR(__xludf.DUMMYFUNCTION("""COMPUTED_VALUE"""),"//zddrb/slzdbm/lrldsqcr")</f>
        <v>//zddrb/slzdbm/lrldsqcr</v>
      </c>
      <c r="F167" s="2">
        <f t="shared" si="1"/>
        <v>181282</v>
      </c>
      <c r="K167" s="2">
        <v>1015127.0</v>
      </c>
    </row>
    <row r="168">
      <c r="A168" s="1" t="s">
        <v>100</v>
      </c>
      <c r="B168" s="2">
        <f>IFERROR(__xludf.DUMMYFUNCTION("SPLIT(A168,"" "")"),273935.0)</f>
        <v>273935</v>
      </c>
      <c r="C168" s="2" t="str">
        <f>IFERROR(__xludf.DUMMYFUNCTION("""COMPUTED_VALUE"""),"ssssrhwz")</f>
        <v>ssssrhwz</v>
      </c>
      <c r="D168" s="2" t="str">
        <f>IFERROR(__xludf.DUMMYFUNCTION("IF(AND(B168=""$cd"",C168&lt;&gt;""..""),CONCATENATE(D167,""/"",C168),IF(C168="".."",MID(D167,1,LEN(D167)-LEN(REGEXEXTRACT(D167,""(/\w*)$""))),D167))"),"//lrvl/rzvqvv")</f>
        <v>//lrvl/rzvqvv</v>
      </c>
      <c r="E168" s="2" t="str">
        <f>IFERROR(__xludf.DUMMYFUNCTION("""COMPUTED_VALUE"""),"//zddrb/slzdbm/lrldsqcr/brwcprn")</f>
        <v>//zddrb/slzdbm/lrldsqcr/brwcprn</v>
      </c>
      <c r="F168" s="2">
        <f t="shared" si="1"/>
        <v>37106</v>
      </c>
      <c r="K168" s="2">
        <v>1075736.0</v>
      </c>
    </row>
    <row r="169">
      <c r="A169" s="1" t="s">
        <v>612</v>
      </c>
      <c r="B169" s="2" t="str">
        <f>IFERROR(__xludf.DUMMYFUNCTION("SPLIT(A169,"" "")"),"$cd")</f>
        <v>$cd</v>
      </c>
      <c r="C169" s="2" t="str">
        <f>IFERROR(__xludf.DUMMYFUNCTION("""COMPUTED_VALUE"""),"..")</f>
        <v>..</v>
      </c>
      <c r="D169" s="2" t="str">
        <f>IFERROR(__xludf.DUMMYFUNCTION("IF(AND(B169=""$cd"",C169&lt;&gt;""..""),CONCATENATE(D168,""/"",C169),IF(C169="".."",MID(D168,1,LEN(D168)-LEN(REGEXEXTRACT(D168,""(/\w*)$""))),D168))"),"//lrvl")</f>
        <v>//lrvl</v>
      </c>
      <c r="E169" s="2" t="str">
        <f>IFERROR(__xludf.DUMMYFUNCTION("""COMPUTED_VALUE"""),"//zddrb/slzdbm/lrldsqcr/brwcprn/bmjwts")</f>
        <v>//zddrb/slzdbm/lrldsqcr/brwcprn/bmjwts</v>
      </c>
      <c r="F169" s="2">
        <f t="shared" si="1"/>
        <v>1871858</v>
      </c>
      <c r="K169" s="2">
        <v>1171420.0</v>
      </c>
    </row>
    <row r="170">
      <c r="A170" s="1" t="s">
        <v>624</v>
      </c>
      <c r="B170" s="2" t="str">
        <f>IFERROR(__xludf.DUMMYFUNCTION("SPLIT(A170,"" "")"),"$cd")</f>
        <v>$cd</v>
      </c>
      <c r="C170" s="2" t="str">
        <f>IFERROR(__xludf.DUMMYFUNCTION("""COMPUTED_VALUE"""),"slzdbm")</f>
        <v>slzdbm</v>
      </c>
      <c r="D170" s="2" t="str">
        <f>IFERROR(__xludf.DUMMYFUNCTION("IF(AND(B170=""$cd"",C170&lt;&gt;""..""),CONCATENATE(D169,""/"",C170),IF(C170="".."",MID(D169,1,LEN(D169)-LEN(REGEXEXTRACT(D169,""(/\w*)$""))),D169))"),"//lrvl/slzdbm")</f>
        <v>//lrvl/slzdbm</v>
      </c>
      <c r="E170" s="2" t="str">
        <f>IFERROR(__xludf.DUMMYFUNCTION("""COMPUTED_VALUE"""),"//zddrb/slzdbm/lrldsqcr/hlvpfw")</f>
        <v>//zddrb/slzdbm/lrldsqcr/hlvpfw</v>
      </c>
      <c r="F170" s="2">
        <f t="shared" si="1"/>
        <v>408544</v>
      </c>
      <c r="K170" s="2">
        <v>1374035.0</v>
      </c>
    </row>
    <row r="171">
      <c r="A171" s="1" t="s">
        <v>609</v>
      </c>
      <c r="B171" s="2" t="str">
        <f>IFERROR(__xludf.DUMMYFUNCTION("SPLIT(A171,"" "")"),"$ls")</f>
        <v>$ls</v>
      </c>
      <c r="D171" s="2" t="str">
        <f>IFERROR(__xludf.DUMMYFUNCTION("IF(AND(B171=""$cd"",C171&lt;&gt;""..""),CONCATENATE(D170,""/"",C171),IF(C171="".."",MID(D170,1,LEN(D170)-LEN(REGEXEXTRACT(D170,""(/\w*)$""))),D170))"),"//lrvl/slzdbm")</f>
        <v>//lrvl/slzdbm</v>
      </c>
      <c r="E171" s="2" t="str">
        <f>IFERROR(__xludf.DUMMYFUNCTION("""COMPUTED_VALUE"""),"//zddrb/slzdbm/lrldsqcr/jnwr")</f>
        <v>//zddrb/slzdbm/lrldsqcr/jnwr</v>
      </c>
      <c r="F171" s="2">
        <f t="shared" si="1"/>
        <v>408544</v>
      </c>
      <c r="K171" s="2">
        <v>1496660.0</v>
      </c>
    </row>
    <row r="172">
      <c r="A172" s="1" t="s">
        <v>50</v>
      </c>
      <c r="B172" s="2" t="str">
        <f>IFERROR(__xludf.DUMMYFUNCTION("SPLIT(A172,"" "")"),"dir")</f>
        <v>dir</v>
      </c>
      <c r="C172" s="2" t="str">
        <f>IFERROR(__xludf.DUMMYFUNCTION("""COMPUTED_VALUE"""),"hlvpfw")</f>
        <v>hlvpfw</v>
      </c>
      <c r="D172" s="2" t="str">
        <f>IFERROR(__xludf.DUMMYFUNCTION("IF(AND(B172=""$cd"",C172&lt;&gt;""..""),CONCATENATE(D171,""/"",C172),IF(C172="".."",MID(D171,1,LEN(D171)-LEN(REGEXEXTRACT(D171,""(/\w*)$""))),D171))"),"//lrvl/slzdbm")</f>
        <v>//lrvl/slzdbm</v>
      </c>
      <c r="E172" s="2" t="str">
        <f>IFERROR(__xludf.DUMMYFUNCTION("""COMPUTED_VALUE"""),"//zddrb/slzdbm/lrldsqcr/slzdbm")</f>
        <v>//zddrb/slzdbm/lrldsqcr/slzdbm</v>
      </c>
      <c r="F172" s="2">
        <f t="shared" si="1"/>
        <v>121723</v>
      </c>
      <c r="K172" s="2">
        <v>1581051.0</v>
      </c>
    </row>
    <row r="173">
      <c r="A173" s="1" t="s">
        <v>101</v>
      </c>
      <c r="B173" s="2">
        <f>IFERROR(__xludf.DUMMYFUNCTION("SPLIT(A173,"" "")"),290414.0)</f>
        <v>290414</v>
      </c>
      <c r="C173" s="2" t="str">
        <f>IFERROR(__xludf.DUMMYFUNCTION("""COMPUTED_VALUE"""),"lgzbzjvd.glj")</f>
        <v>lgzbzjvd.glj</v>
      </c>
      <c r="D173" s="2" t="str">
        <f>IFERROR(__xludf.DUMMYFUNCTION("IF(AND(B173=""$cd"",C173&lt;&gt;""..""),CONCATENATE(D172,""/"",C173),IF(C173="".."",MID(D172,1,LEN(D172)-LEN(REGEXEXTRACT(D172,""(/\w*)$""))),D172))"),"//lrvl/slzdbm")</f>
        <v>//lrvl/slzdbm</v>
      </c>
      <c r="E173" s="2" t="str">
        <f>IFERROR(__xludf.DUMMYFUNCTION("""COMPUTED_VALUE"""),"//zddrb/slzdbm/lrldsqcr/wrmr")</f>
        <v>//zddrb/slzdbm/lrldsqcr/wrmr</v>
      </c>
      <c r="F173" s="2">
        <f t="shared" si="1"/>
        <v>240747</v>
      </c>
      <c r="K173" s="2">
        <v>1584583.0</v>
      </c>
    </row>
    <row r="174">
      <c r="A174" s="1" t="s">
        <v>102</v>
      </c>
      <c r="B174" s="2" t="str">
        <f>IFERROR(__xludf.DUMMYFUNCTION("SPLIT(A174,"" "")"),"dir")</f>
        <v>dir</v>
      </c>
      <c r="C174" s="2" t="str">
        <f>IFERROR(__xludf.DUMMYFUNCTION("""COMPUTED_VALUE"""),"ljpmphn")</f>
        <v>ljpmphn</v>
      </c>
      <c r="D174" s="2" t="str">
        <f>IFERROR(__xludf.DUMMYFUNCTION("IF(AND(B174=""$cd"",C174&lt;&gt;""..""),CONCATENATE(D173,""/"",C174),IF(C174="".."",MID(D173,1,LEN(D173)-LEN(REGEXEXTRACT(D173,""(/\w*)$""))),D173))"),"//lrvl/slzdbm")</f>
        <v>//lrvl/slzdbm</v>
      </c>
      <c r="E174" s="2" t="str">
        <f>IFERROR(__xludf.DUMMYFUNCTION("""COMPUTED_VALUE"""),"//zddrb/slzdbm/lrldsqcr/zjrdgf")</f>
        <v>//zddrb/slzdbm/lrldsqcr/zjrdgf</v>
      </c>
      <c r="F174" s="2">
        <f t="shared" si="1"/>
        <v>454015</v>
      </c>
      <c r="K174" s="2">
        <v>1706657.0</v>
      </c>
    </row>
    <row r="175">
      <c r="A175" s="1" t="s">
        <v>103</v>
      </c>
      <c r="B175" s="2">
        <f>IFERROR(__xludf.DUMMYFUNCTION("SPLIT(A175,"" "")"),316440.0)</f>
        <v>316440</v>
      </c>
      <c r="C175" s="2" t="str">
        <f>IFERROR(__xludf.DUMMYFUNCTION("""COMPUTED_VALUE"""),"slzdbm.tsj")</f>
        <v>slzdbm.tsj</v>
      </c>
      <c r="D175" s="2" t="str">
        <f>IFERROR(__xludf.DUMMYFUNCTION("IF(AND(B175=""$cd"",C175&lt;&gt;""..""),CONCATENATE(D174,""/"",C175),IF(C175="".."",MID(D174,1,LEN(D174)-LEN(REGEXEXTRACT(D174,""(/\w*)$""))),D174))"),"//lrvl/slzdbm")</f>
        <v>//lrvl/slzdbm</v>
      </c>
      <c r="E175" s="2" t="str">
        <f>IFERROR(__xludf.DUMMYFUNCTION("""COMPUTED_VALUE"""),"//zddrb/slzdbm/lrldsqcr/zrpqf")</f>
        <v>//zddrb/slzdbm/lrldsqcr/zrpqf</v>
      </c>
      <c r="F175" s="2">
        <f t="shared" si="1"/>
        <v>90357</v>
      </c>
      <c r="K175" s="2">
        <v>1738868.0</v>
      </c>
    </row>
    <row r="176">
      <c r="A176" s="1" t="s">
        <v>622</v>
      </c>
      <c r="B176" s="2" t="str">
        <f>IFERROR(__xludf.DUMMYFUNCTION("SPLIT(A176,"" "")"),"$cd")</f>
        <v>$cd</v>
      </c>
      <c r="C176" s="2" t="str">
        <f>IFERROR(__xludf.DUMMYFUNCTION("""COMPUTED_VALUE"""),"hlvpfw")</f>
        <v>hlvpfw</v>
      </c>
      <c r="D176" s="2" t="str">
        <f>IFERROR(__xludf.DUMMYFUNCTION("IF(AND(B176=""$cd"",C176&lt;&gt;""..""),CONCATENATE(D175,""/"",C176),IF(C176="".."",MID(D175,1,LEN(D175)-LEN(REGEXEXTRACT(D175,""(/\w*)$""))),D175))"),"//lrvl/slzdbm/hlvpfw")</f>
        <v>//lrvl/slzdbm/hlvpfw</v>
      </c>
      <c r="E176" s="2" t="str">
        <f>IFERROR(__xludf.DUMMYFUNCTION("""COMPUTED_VALUE"""),"//zddrb/slzdbm/nzcbqzdz")</f>
        <v>//zddrb/slzdbm/nzcbqzdz</v>
      </c>
      <c r="F176" s="2">
        <f t="shared" si="1"/>
        <v>314621</v>
      </c>
      <c r="K176" s="2">
        <v>1781861.0</v>
      </c>
    </row>
    <row r="177">
      <c r="A177" s="1" t="s">
        <v>609</v>
      </c>
      <c r="B177" s="2" t="str">
        <f>IFERROR(__xludf.DUMMYFUNCTION("SPLIT(A177,"" "")"),"$ls")</f>
        <v>$ls</v>
      </c>
      <c r="D177" s="2" t="str">
        <f>IFERROR(__xludf.DUMMYFUNCTION("IF(AND(B177=""$cd"",C177&lt;&gt;""..""),CONCATENATE(D176,""/"",C177),IF(C177="".."",MID(D176,1,LEN(D176)-LEN(REGEXEXTRACT(D176,""(/\w*)$""))),D176))"),"//lrvl/slzdbm/hlvpfw")</f>
        <v>//lrvl/slzdbm/hlvpfw</v>
      </c>
      <c r="E177" s="2" t="str">
        <f>IFERROR(__xludf.DUMMYFUNCTION("""COMPUTED_VALUE"""),"//zddrb/slzdbm/nzcbqzdz/qwjgb")</f>
        <v>//zddrb/slzdbm/nzcbqzdz/qwjgb</v>
      </c>
      <c r="F177" s="2">
        <f t="shared" si="1"/>
        <v>241851</v>
      </c>
      <c r="K177" s="2">
        <v>1863430.0</v>
      </c>
    </row>
    <row r="178">
      <c r="A178" s="1" t="s">
        <v>104</v>
      </c>
      <c r="B178" s="2" t="str">
        <f>IFERROR(__xludf.DUMMYFUNCTION("SPLIT(A178,"" "")"),"dir")</f>
        <v>dir</v>
      </c>
      <c r="C178" s="2" t="str">
        <f>IFERROR(__xludf.DUMMYFUNCTION("""COMPUTED_VALUE"""),"mhvmszgh")</f>
        <v>mhvmszgh</v>
      </c>
      <c r="D178" s="2" t="str">
        <f>IFERROR(__xludf.DUMMYFUNCTION("IF(AND(B178=""$cd"",C178&lt;&gt;""..""),CONCATENATE(D177,""/"",C178),IF(C178="".."",MID(D177,1,LEN(D177)-LEN(REGEXEXTRACT(D177,""(/\w*)$""))),D177))"),"//lrvl/slzdbm/hlvpfw")</f>
        <v>//lrvl/slzdbm/hlvpfw</v>
      </c>
      <c r="E178" s="2" t="str">
        <f>IFERROR(__xludf.DUMMYFUNCTION("""COMPUTED_VALUE"""),"//zddrb/zdhcp")</f>
        <v>//zddrb/zdhcp</v>
      </c>
      <c r="F178" s="2">
        <f t="shared" si="1"/>
        <v>1171420</v>
      </c>
      <c r="K178" s="2">
        <v>1870823.0</v>
      </c>
    </row>
    <row r="179">
      <c r="A179" s="1" t="s">
        <v>105</v>
      </c>
      <c r="B179" s="2">
        <f>IFERROR(__xludf.DUMMYFUNCTION("SPLIT(A179,"" "")"),107004.0)</f>
        <v>107004</v>
      </c>
      <c r="C179" s="2" t="str">
        <f>IFERROR(__xludf.DUMMYFUNCTION("""COMPUTED_VALUE"""),"slzdbm")</f>
        <v>slzdbm</v>
      </c>
      <c r="D179" s="2" t="str">
        <f>IFERROR(__xludf.DUMMYFUNCTION("IF(AND(B179=""$cd"",C179&lt;&gt;""..""),CONCATENATE(D178,""/"",C179),IF(C179="".."",MID(D178,1,LEN(D178)-LEN(REGEXEXTRACT(D178,""(/\w*)$""))),D178))"),"//lrvl/slzdbm/hlvpfw")</f>
        <v>//lrvl/slzdbm/hlvpfw</v>
      </c>
      <c r="E179" s="2" t="str">
        <f>IFERROR(__xludf.DUMMYFUNCTION("""COMPUTED_VALUE"""),"//zddrb/zdhcp/hbggp")</f>
        <v>//zddrb/zdhcp/hbggp</v>
      </c>
      <c r="F179" s="2">
        <f t="shared" si="1"/>
        <v>388084</v>
      </c>
      <c r="K179" s="2">
        <v>1871858.0</v>
      </c>
    </row>
    <row r="180">
      <c r="A180" s="1" t="s">
        <v>637</v>
      </c>
      <c r="B180" s="2" t="str">
        <f>IFERROR(__xludf.DUMMYFUNCTION("SPLIT(A180,"" "")"),"$cd")</f>
        <v>$cd</v>
      </c>
      <c r="C180" s="2" t="str">
        <f>IFERROR(__xludf.DUMMYFUNCTION("""COMPUTED_VALUE"""),"mhvmszgh")</f>
        <v>mhvmszgh</v>
      </c>
      <c r="D180" s="2" t="str">
        <f>IFERROR(__xludf.DUMMYFUNCTION("IF(AND(B180=""$cd"",C180&lt;&gt;""..""),CONCATENATE(D179,""/"",C180),IF(C180="".."",MID(D179,1,LEN(D179)-LEN(REGEXEXTRACT(D179,""(/\w*)$""))),D179))"),"//lrvl/slzdbm/hlvpfw/mhvmszgh")</f>
        <v>//lrvl/slzdbm/hlvpfw/mhvmszgh</v>
      </c>
      <c r="E180" s="2" t="str">
        <f>IFERROR(__xludf.DUMMYFUNCTION("""COMPUTED_VALUE"""),"//zddrb/zdhcp/mzsfcvgv")</f>
        <v>//zddrb/zdhcp/mzsfcvgv</v>
      </c>
      <c r="F180" s="2">
        <f t="shared" si="1"/>
        <v>5362031</v>
      </c>
      <c r="K180" s="2">
        <v>1919401.0</v>
      </c>
    </row>
    <row r="181">
      <c r="A181" s="1" t="s">
        <v>609</v>
      </c>
      <c r="B181" s="2" t="str">
        <f>IFERROR(__xludf.DUMMYFUNCTION("SPLIT(A181,"" "")"),"$ls")</f>
        <v>$ls</v>
      </c>
      <c r="D181" s="2" t="str">
        <f>IFERROR(__xludf.DUMMYFUNCTION("IF(AND(B181=""$cd"",C181&lt;&gt;""..""),CONCATENATE(D180,""/"",C181),IF(C181="".."",MID(D180,1,LEN(D180)-LEN(REGEXEXTRACT(D180,""(/\w*)$""))),D180))"),"//lrvl/slzdbm/hlvpfw/mhvmszgh")</f>
        <v>//lrvl/slzdbm/hlvpfw/mhvmszgh</v>
      </c>
      <c r="E181" s="2" t="str">
        <f>IFERROR(__xludf.DUMMYFUNCTION("""COMPUTED_VALUE"""),"//zddrb/zdhcp/mzsfcvgv/gpz")</f>
        <v>//zddrb/zdhcp/mzsfcvgv/gpz</v>
      </c>
      <c r="F181" s="2">
        <f t="shared" si="1"/>
        <v>415145</v>
      </c>
      <c r="K181" s="2">
        <v>1941889.0</v>
      </c>
    </row>
    <row r="182">
      <c r="A182" s="1" t="s">
        <v>107</v>
      </c>
      <c r="B182" s="2" t="str">
        <f>IFERROR(__xludf.DUMMYFUNCTION("SPLIT(A182,"" "")"),"dir")</f>
        <v>dir</v>
      </c>
      <c r="C182" s="2" t="str">
        <f>IFERROR(__xludf.DUMMYFUNCTION("""COMPUTED_VALUE"""),"tftstdp")</f>
        <v>tftstdp</v>
      </c>
      <c r="D182" s="2" t="str">
        <f>IFERROR(__xludf.DUMMYFUNCTION("IF(AND(B182=""$cd"",C182&lt;&gt;""..""),CONCATENATE(D181,""/"",C182),IF(C182="".."",MID(D181,1,LEN(D181)-LEN(REGEXEXTRACT(D181,""(/\w*)$""))),D181))"),"//lrvl/slzdbm/hlvpfw/mhvmszgh")</f>
        <v>//lrvl/slzdbm/hlvpfw/mhvmszgh</v>
      </c>
      <c r="E182" s="2" t="str">
        <f>IFERROR(__xludf.DUMMYFUNCTION("""COMPUTED_VALUE"""),"//zddrb/zdhcp/mzsfcvgv/slzdbm")</f>
        <v>//zddrb/zdhcp/mzsfcvgv/slzdbm</v>
      </c>
      <c r="F182" s="2">
        <f t="shared" si="1"/>
        <v>4327113</v>
      </c>
      <c r="K182" s="2">
        <v>2018419.0</v>
      </c>
    </row>
    <row r="183">
      <c r="A183" s="1" t="s">
        <v>638</v>
      </c>
      <c r="B183" s="2" t="str">
        <f>IFERROR(__xludf.DUMMYFUNCTION("SPLIT(A183,"" "")"),"$cd")</f>
        <v>$cd</v>
      </c>
      <c r="C183" s="2" t="str">
        <f>IFERROR(__xludf.DUMMYFUNCTION("""COMPUTED_VALUE"""),"tftstdp")</f>
        <v>tftstdp</v>
      </c>
      <c r="D183" s="2" t="str">
        <f>IFERROR(__xludf.DUMMYFUNCTION("IF(AND(B183=""$cd"",C183&lt;&gt;""..""),CONCATENATE(D182,""/"",C183),IF(C183="".."",MID(D182,1,LEN(D182)-LEN(REGEXEXTRACT(D182,""(/\w*)$""))),D182))"),"//lrvl/slzdbm/hlvpfw/mhvmszgh/tftstdp")</f>
        <v>//lrvl/slzdbm/hlvpfw/mhvmszgh/tftstdp</v>
      </c>
      <c r="E183" s="2" t="str">
        <f>IFERROR(__xludf.DUMMYFUNCTION("""COMPUTED_VALUE"""),"//zddrb/zdhcp/mzsfcvgv/slzdbm/hlvpfw")</f>
        <v>//zddrb/zdhcp/mzsfcvgv/slzdbm/hlvpfw</v>
      </c>
      <c r="F183" s="2">
        <f t="shared" si="1"/>
        <v>448812</v>
      </c>
      <c r="K183" s="2">
        <v>2036798.0</v>
      </c>
    </row>
    <row r="184">
      <c r="A184" s="1" t="s">
        <v>609</v>
      </c>
      <c r="B184" s="2" t="str">
        <f>IFERROR(__xludf.DUMMYFUNCTION("SPLIT(A184,"" "")"),"$ls")</f>
        <v>$ls</v>
      </c>
      <c r="D184" s="2" t="str">
        <f>IFERROR(__xludf.DUMMYFUNCTION("IF(AND(B184=""$cd"",C184&lt;&gt;""..""),CONCATENATE(D183,""/"",C184),IF(C184="".."",MID(D183,1,LEN(D183)-LEN(REGEXEXTRACT(D183,""(/\w*)$""))),D183))"),"//lrvl/slzdbm/hlvpfw/mhvmszgh/tftstdp")</f>
        <v>//lrvl/slzdbm/hlvpfw/mhvmszgh/tftstdp</v>
      </c>
      <c r="E184" s="2" t="str">
        <f>IFERROR(__xludf.DUMMYFUNCTION("""COMPUTED_VALUE"""),"//zddrb/zdhcp/mzsfcvgv/slzdbm/mzsfcvgv")</f>
        <v>//zddrb/zdhcp/mzsfcvgv/slzdbm/mzsfcvgv</v>
      </c>
      <c r="F184" s="2">
        <f t="shared" si="1"/>
        <v>512340</v>
      </c>
      <c r="K184" s="2">
        <v>2260158.0</v>
      </c>
    </row>
    <row r="185">
      <c r="A185" s="1" t="s">
        <v>109</v>
      </c>
      <c r="B185" s="2">
        <f>IFERROR(__xludf.DUMMYFUNCTION("SPLIT(A185,"" "")"),176794.0)</f>
        <v>176794</v>
      </c>
      <c r="C185" s="2" t="str">
        <f>IFERROR(__xludf.DUMMYFUNCTION("""COMPUTED_VALUE"""),"mpq.cdn")</f>
        <v>mpq.cdn</v>
      </c>
      <c r="D185" s="2" t="str">
        <f>IFERROR(__xludf.DUMMYFUNCTION("IF(AND(B185=""$cd"",C185&lt;&gt;""..""),CONCATENATE(D184,""/"",C185),IF(C185="".."",MID(D184,1,LEN(D184)-LEN(REGEXEXTRACT(D184,""(/\w*)$""))),D184))"),"//lrvl/slzdbm/hlvpfw/mhvmszgh/tftstdp")</f>
        <v>//lrvl/slzdbm/hlvpfw/mhvmszgh/tftstdp</v>
      </c>
      <c r="E185" s="2" t="str">
        <f>IFERROR(__xludf.DUMMYFUNCTION("""COMPUTED_VALUE"""),"//zddrb/zdhcp/mzsfcvgv/slzdbm/mzsfcvgv/gnmtggs")</f>
        <v>//zddrb/zdhcp/mzsfcvgv/slzdbm/mzsfcvgv/gnmtggs</v>
      </c>
      <c r="F185" s="2">
        <f t="shared" si="1"/>
        <v>49287</v>
      </c>
      <c r="K185" s="2">
        <v>2898091.0</v>
      </c>
    </row>
    <row r="186">
      <c r="A186" s="1" t="s">
        <v>612</v>
      </c>
      <c r="B186" s="2" t="str">
        <f>IFERROR(__xludf.DUMMYFUNCTION("SPLIT(A186,"" "")"),"$cd")</f>
        <v>$cd</v>
      </c>
      <c r="C186" s="2" t="str">
        <f>IFERROR(__xludf.DUMMYFUNCTION("""COMPUTED_VALUE"""),"..")</f>
        <v>..</v>
      </c>
      <c r="D186" s="2" t="str">
        <f>IFERROR(__xludf.DUMMYFUNCTION("IF(AND(B186=""$cd"",C186&lt;&gt;""..""),CONCATENATE(D185,""/"",C186),IF(C186="".."",MID(D185,1,LEN(D185)-LEN(REGEXEXTRACT(D185,""(/\w*)$""))),D185))"),"//lrvl/slzdbm/hlvpfw/mhvmszgh")</f>
        <v>//lrvl/slzdbm/hlvpfw/mhvmszgh</v>
      </c>
      <c r="E186" s="2" t="str">
        <f>IFERROR(__xludf.DUMMYFUNCTION("""COMPUTED_VALUE"""),"//zddrb/zdhcp/mzsfcvgv/slzdbm/zdcthssc")</f>
        <v>//zddrb/zdhcp/mzsfcvgv/slzdbm/zdcthssc</v>
      </c>
      <c r="F186" s="2">
        <f t="shared" si="1"/>
        <v>398645</v>
      </c>
      <c r="K186" s="2">
        <v>2980003.0</v>
      </c>
    </row>
    <row r="187">
      <c r="A187" s="1" t="s">
        <v>612</v>
      </c>
      <c r="B187" s="2" t="str">
        <f>IFERROR(__xludf.DUMMYFUNCTION("SPLIT(A187,"" "")"),"$cd")</f>
        <v>$cd</v>
      </c>
      <c r="C187" s="2" t="str">
        <f>IFERROR(__xludf.DUMMYFUNCTION("""COMPUTED_VALUE"""),"..")</f>
        <v>..</v>
      </c>
      <c r="D187" s="2" t="str">
        <f>IFERROR(__xludf.DUMMYFUNCTION("IF(AND(B187=""$cd"",C187&lt;&gt;""..""),CONCATENATE(D186,""/"",C187),IF(C187="".."",MID(D186,1,LEN(D186)-LEN(REGEXEXTRACT(D186,""(/\w*)$""))),D186))"),"//lrvl/slzdbm/hlvpfw")</f>
        <v>//lrvl/slzdbm/hlvpfw</v>
      </c>
      <c r="E187" s="2" t="str">
        <f>IFERROR(__xludf.DUMMYFUNCTION("""COMPUTED_VALUE"""),"//zddrb/zdhcp/mzsfcvgv/zvjv")</f>
        <v>//zddrb/zdhcp/mzsfcvgv/zvjv</v>
      </c>
      <c r="F187" s="2">
        <f t="shared" si="1"/>
        <v>31665</v>
      </c>
      <c r="K187" s="2">
        <v>3078860.0</v>
      </c>
    </row>
    <row r="188">
      <c r="A188" s="1" t="s">
        <v>612</v>
      </c>
      <c r="B188" s="2" t="str">
        <f>IFERROR(__xludf.DUMMYFUNCTION("SPLIT(A188,"" "")"),"$cd")</f>
        <v>$cd</v>
      </c>
      <c r="C188" s="2" t="str">
        <f>IFERROR(__xludf.DUMMYFUNCTION("""COMPUTED_VALUE"""),"..")</f>
        <v>..</v>
      </c>
      <c r="D188" s="2" t="str">
        <f>IFERROR(__xludf.DUMMYFUNCTION("IF(AND(B188=""$cd"",C188&lt;&gt;""..""),CONCATENATE(D187,""/"",C188),IF(C188="".."",MID(D187,1,LEN(D187)-LEN(REGEXEXTRACT(D187,""(/\w*)$""))),D187))"),"//lrvl/slzdbm")</f>
        <v>//lrvl/slzdbm</v>
      </c>
      <c r="E188" s="2" t="str">
        <f>IFERROR(__xludf.DUMMYFUNCTION("""COMPUTED_VALUE"""),"//zddrb/zdhcp/mzsfcvgv/zvjv/mgcg")</f>
        <v>//zddrb/zdhcp/mzsfcvgv/zvjv/mgcg</v>
      </c>
      <c r="F188" s="2">
        <f t="shared" si="1"/>
        <v>64408</v>
      </c>
      <c r="K188" s="2">
        <v>3365961.0</v>
      </c>
    </row>
    <row r="189">
      <c r="A189" s="1" t="s">
        <v>639</v>
      </c>
      <c r="B189" s="2" t="str">
        <f>IFERROR(__xludf.DUMMYFUNCTION("SPLIT(A189,"" "")"),"$cd")</f>
        <v>$cd</v>
      </c>
      <c r="C189" s="2" t="str">
        <f>IFERROR(__xludf.DUMMYFUNCTION("""COMPUTED_VALUE"""),"ljpmphn")</f>
        <v>ljpmphn</v>
      </c>
      <c r="D189" s="2" t="str">
        <f>IFERROR(__xludf.DUMMYFUNCTION("IF(AND(B189=""$cd"",C189&lt;&gt;""..""),CONCATENATE(D188,""/"",C189),IF(C189="".."",MID(D188,1,LEN(D188)-LEN(REGEXEXTRACT(D188,""(/\w*)$""))),D188))"),"//lrvl/slzdbm/ljpmphn")</f>
        <v>//lrvl/slzdbm/ljpmphn</v>
      </c>
      <c r="E189" s="2" t="str">
        <f>IFERROR(__xludf.DUMMYFUNCTION("""COMPUTED_VALUE"""),"//zddrb/zdhcp/mzsfcvgv/zvjv/mgcg/ngwvm")</f>
        <v>//zddrb/zdhcp/mzsfcvgv/zvjv/mgcg/ngwvm</v>
      </c>
      <c r="F189" s="2">
        <f t="shared" si="1"/>
        <v>3365961</v>
      </c>
      <c r="K189" s="2">
        <v>3461431.0</v>
      </c>
    </row>
    <row r="190">
      <c r="A190" s="1" t="s">
        <v>609</v>
      </c>
      <c r="B190" s="2" t="str">
        <f>IFERROR(__xludf.DUMMYFUNCTION("SPLIT(A190,"" "")"),"$ls")</f>
        <v>$ls</v>
      </c>
      <c r="D190" s="2" t="str">
        <f>IFERROR(__xludf.DUMMYFUNCTION("IF(AND(B190=""$cd"",C190&lt;&gt;""..""),CONCATENATE(D189,""/"",C190),IF(C190="".."",MID(D189,1,LEN(D189)-LEN(REGEXEXTRACT(D189,""(/\w*)$""))),D189))"),"//lrvl/slzdbm/ljpmphn")</f>
        <v>//lrvl/slzdbm/ljpmphn</v>
      </c>
      <c r="E190" s="2" t="str">
        <f>IFERROR(__xludf.DUMMYFUNCTION("""COMPUTED_VALUE"""),"//zddrb/zdhcp/mzsfcvgv/zvjv/mgcg/slzdbm")</f>
        <v>//zddrb/zdhcp/mzsfcvgv/zvjv/mgcg/slzdbm</v>
      </c>
      <c r="F190" s="2">
        <f t="shared" si="1"/>
        <v>2036798</v>
      </c>
      <c r="K190" s="2">
        <v>4095947.0</v>
      </c>
    </row>
    <row r="191">
      <c r="A191" s="1" t="s">
        <v>111</v>
      </c>
      <c r="B191" s="2">
        <f>IFERROR(__xludf.DUMMYFUNCTION("SPLIT(A191,"" "")"),37528.0)</f>
        <v>37528</v>
      </c>
      <c r="C191" s="2" t="str">
        <f>IFERROR(__xludf.DUMMYFUNCTION("""COMPUTED_VALUE"""),"slfdb.bqt")</f>
        <v>slfdb.bqt</v>
      </c>
      <c r="D191" s="2" t="str">
        <f>IFERROR(__xludf.DUMMYFUNCTION("IF(AND(B191=""$cd"",C191&lt;&gt;""..""),CONCATENATE(D190,""/"",C191),IF(C191="".."",MID(D190,1,LEN(D190)-LEN(REGEXEXTRACT(D190,""(/\w*)$""))),D190))"),"//lrvl/slzdbm/ljpmphn")</f>
        <v>//lrvl/slzdbm/ljpmphn</v>
      </c>
      <c r="E191" s="2" t="str">
        <f>IFERROR(__xludf.DUMMYFUNCTION("""COMPUTED_VALUE"""),"//zddrb/zdhcp/mzsfcvgv/zvjv/mgcg/smd")</f>
        <v>//zddrb/zdhcp/mzsfcvgv/zvjv/mgcg/smd</v>
      </c>
      <c r="F191" s="2">
        <f t="shared" si="1"/>
        <v>49186</v>
      </c>
      <c r="K191" s="2">
        <v>4327113.0</v>
      </c>
    </row>
    <row r="192">
      <c r="A192" s="1" t="s">
        <v>612</v>
      </c>
      <c r="B192" s="2" t="str">
        <f>IFERROR(__xludf.DUMMYFUNCTION("SPLIT(A192,"" "")"),"$cd")</f>
        <v>$cd</v>
      </c>
      <c r="C192" s="2" t="str">
        <f>IFERROR(__xludf.DUMMYFUNCTION("""COMPUTED_VALUE"""),"..")</f>
        <v>..</v>
      </c>
      <c r="D192" s="2" t="str">
        <f>IFERROR(__xludf.DUMMYFUNCTION("IF(AND(B192=""$cd"",C192&lt;&gt;""..""),CONCATENATE(D191,""/"",C192),IF(C192="".."",MID(D191,1,LEN(D191)-LEN(REGEXEXTRACT(D191,""(/\w*)$""))),D191))"),"//lrvl/slzdbm")</f>
        <v>//lrvl/slzdbm</v>
      </c>
      <c r="E192" s="2" t="str">
        <f>IFERROR(__xludf.DUMMYFUNCTION("""COMPUTED_VALUE"""),"//zddrb/zdhcp/mzsfcvgv/zvjv/mgcg/smd/fjd")</f>
        <v>//zddrb/zdhcp/mzsfcvgv/zvjv/mgcg/smd/fjd</v>
      </c>
      <c r="F192" s="2">
        <f t="shared" si="1"/>
        <v>44434</v>
      </c>
      <c r="K192" s="2">
        <v>5362031.0</v>
      </c>
    </row>
    <row r="193">
      <c r="A193" s="1" t="s">
        <v>612</v>
      </c>
      <c r="B193" s="2" t="str">
        <f>IFERROR(__xludf.DUMMYFUNCTION("SPLIT(A193,"" "")"),"$cd")</f>
        <v>$cd</v>
      </c>
      <c r="C193" s="2" t="str">
        <f>IFERROR(__xludf.DUMMYFUNCTION("""COMPUTED_VALUE"""),"..")</f>
        <v>..</v>
      </c>
      <c r="D193" s="2" t="str">
        <f>IFERROR(__xludf.DUMMYFUNCTION("IF(AND(B193=""$cd"",C193&lt;&gt;""..""),CONCATENATE(D192,""/"",C193),IF(C193="".."",MID(D192,1,LEN(D192)-LEN(REGEXEXTRACT(D192,""(/\w*)$""))),D192))"),"//lrvl")</f>
        <v>//lrvl</v>
      </c>
      <c r="E193" s="2" t="str">
        <f>IFERROR(__xludf.DUMMYFUNCTION("""COMPUTED_VALUE"""),"//zddrb/zdhcp/mzsfcvgv/zvjv/mgcg/smd/rscdvnwt")</f>
        <v>//zddrb/zdhcp/mzsfcvgv/zvjv/mgcg/smd/rscdvnwt</v>
      </c>
      <c r="F193" s="2">
        <f t="shared" si="1"/>
        <v>820238</v>
      </c>
      <c r="K193" s="2">
        <v>5916357.0</v>
      </c>
    </row>
    <row r="194">
      <c r="A194" s="1" t="s">
        <v>640</v>
      </c>
      <c r="B194" s="2" t="str">
        <f>IFERROR(__xludf.DUMMYFUNCTION("SPLIT(A194,"" "")"),"$cd")</f>
        <v>$cd</v>
      </c>
      <c r="C194" s="2" t="str">
        <f>IFERROR(__xludf.DUMMYFUNCTION("""COMPUTED_VALUE"""),"tcbjmq")</f>
        <v>tcbjmq</v>
      </c>
      <c r="D194" s="2" t="str">
        <f>IFERROR(__xludf.DUMMYFUNCTION("IF(AND(B194=""$cd"",C194&lt;&gt;""..""),CONCATENATE(D193,""/"",C194),IF(C194="".."",MID(D193,1,LEN(D193)-LEN(REGEXEXTRACT(D193,""(/\w*)$""))),D193))"),"//lrvl/tcbjmq")</f>
        <v>//lrvl/tcbjmq</v>
      </c>
      <c r="E194" s="2" t="str">
        <f>IFERROR(__xludf.DUMMYFUNCTION("""COMPUTED_VALUE"""),"//zddrb/zdhcp/mzsfcvgv/zvjv/mgcg/smd/wbhp")</f>
        <v>//zddrb/zdhcp/mzsfcvgv/zvjv/mgcg/smd/wbhp</v>
      </c>
      <c r="F194" s="2">
        <f t="shared" si="1"/>
        <v>14084</v>
      </c>
      <c r="K194" s="2">
        <v>6999588.0</v>
      </c>
    </row>
    <row r="195">
      <c r="A195" s="1" t="s">
        <v>609</v>
      </c>
      <c r="B195" s="2" t="str">
        <f>IFERROR(__xludf.DUMMYFUNCTION("SPLIT(A195,"" "")"),"$ls")</f>
        <v>$ls</v>
      </c>
      <c r="D195" s="2" t="str">
        <f>IFERROR(__xludf.DUMMYFUNCTION("IF(AND(B195=""$cd"",C195&lt;&gt;""..""),CONCATENATE(D194,""/"",C195),IF(C195="".."",MID(D194,1,LEN(D194)-LEN(REGEXEXTRACT(D194,""(/\w*)$""))),D194))"),"//lrvl/tcbjmq")</f>
        <v>//lrvl/tcbjmq</v>
      </c>
      <c r="E195" s="2" t="str">
        <f>IFERROR(__xludf.DUMMYFUNCTION("""COMPUTED_VALUE"""),"//zddrb/zdhcp/mzsfcvgv/zvjv/mgcg/smd/wbhp/czv")</f>
        <v>//zddrb/zdhcp/mzsfcvgv/zvjv/mgcg/smd/wbhp/czv</v>
      </c>
      <c r="F195" s="2">
        <f t="shared" si="1"/>
        <v>6432</v>
      </c>
      <c r="K195" s="2">
        <v>7756031.0</v>
      </c>
    </row>
    <row r="196">
      <c r="A196" s="1" t="s">
        <v>113</v>
      </c>
      <c r="B196" s="2">
        <f>IFERROR(__xludf.DUMMYFUNCTION("SPLIT(A196,"" "")"),96506.0)</f>
        <v>96506</v>
      </c>
      <c r="C196" s="2" t="str">
        <f>IFERROR(__xludf.DUMMYFUNCTION("""COMPUTED_VALUE"""),"lrz.nhb")</f>
        <v>lrz.nhb</v>
      </c>
      <c r="D196" s="2" t="str">
        <f>IFERROR(__xludf.DUMMYFUNCTION("IF(AND(B196=""$cd"",C196&lt;&gt;""..""),CONCATENATE(D195,""/"",C196),IF(C196="".."",MID(D195,1,LEN(D195)-LEN(REGEXEXTRACT(D195,""(/\w*)$""))),D195))"),"//lrvl/tcbjmq")</f>
        <v>//lrvl/tcbjmq</v>
      </c>
      <c r="E196" s="2" t="str">
        <f>IFERROR(__xludf.DUMMYFUNCTION("""COMPUTED_VALUE"""),"//zddrb/zdhcp/mzsfcvgv/zvjv/mgcg/smr")</f>
        <v>//zddrb/zdhcp/mzsfcvgv/zvjv/mgcg/smr</v>
      </c>
      <c r="F196" s="2">
        <f t="shared" si="1"/>
        <v>481556</v>
      </c>
      <c r="K196" s="2">
        <v>8877344.0</v>
      </c>
    </row>
    <row r="197">
      <c r="A197" s="1" t="s">
        <v>612</v>
      </c>
      <c r="B197" s="2" t="str">
        <f>IFERROR(__xludf.DUMMYFUNCTION("SPLIT(A197,"" "")"),"$cd")</f>
        <v>$cd</v>
      </c>
      <c r="C197" s="2" t="str">
        <f>IFERROR(__xludf.DUMMYFUNCTION("""COMPUTED_VALUE"""),"..")</f>
        <v>..</v>
      </c>
      <c r="D197" s="2" t="str">
        <f>IFERROR(__xludf.DUMMYFUNCTION("IF(AND(B197=""$cd"",C197&lt;&gt;""..""),CONCATENATE(D196,""/"",C197),IF(C197="".."",MID(D196,1,LEN(D196)-LEN(REGEXEXTRACT(D196,""(/\w*)$""))),D196))"),"//lrvl")</f>
        <v>//lrvl</v>
      </c>
      <c r="E197" s="2" t="str">
        <f>IFERROR(__xludf.DUMMYFUNCTION("""COMPUTED_VALUE"""),"//zddrb/zdhcp/mzsfcvgv/zvjv/mgcg/zcgrgff")</f>
        <v>//zddrb/zdhcp/mzsfcvgv/zvjv/mgcg/zcgrgff</v>
      </c>
      <c r="F197" s="2">
        <f t="shared" si="1"/>
        <v>60750</v>
      </c>
      <c r="K197" s="2">
        <v>9893050.0</v>
      </c>
    </row>
    <row r="198">
      <c r="A198" s="1" t="s">
        <v>641</v>
      </c>
      <c r="B198" s="2" t="str">
        <f>IFERROR(__xludf.DUMMYFUNCTION("SPLIT(A198,"" "")"),"$cd")</f>
        <v>$cd</v>
      </c>
      <c r="C198" s="2" t="str">
        <f>IFERROR(__xludf.DUMMYFUNCTION("""COMPUTED_VALUE"""),"zhbpqlnd")</f>
        <v>zhbpqlnd</v>
      </c>
      <c r="D198" s="2" t="str">
        <f>IFERROR(__xludf.DUMMYFUNCTION("IF(AND(B198=""$cd"",C198&lt;&gt;""..""),CONCATENATE(D197,""/"",C198),IF(C198="".."",MID(D197,1,LEN(D197)-LEN(REGEXEXTRACT(D197,""(/\w*)$""))),D197))"),"//lrvl/zhbpqlnd")</f>
        <v>//lrvl/zhbpqlnd</v>
      </c>
      <c r="E198" s="2" t="str">
        <f>IFERROR(__xludf.DUMMYFUNCTION("""COMPUTED_VALUE"""),"//zddrb/zdhcp/mzsfcvgv/zvjv/mgcg/zcgrgff/mzsfcvgv")</f>
        <v>//zddrb/zdhcp/mzsfcvgv/zvjv/mgcg/zcgrgff/mzsfcvgv</v>
      </c>
      <c r="F198" s="2">
        <f t="shared" si="1"/>
        <v>47204</v>
      </c>
      <c r="K198" s="2">
        <v>1.7187447E7</v>
      </c>
    </row>
    <row r="199">
      <c r="A199" s="1" t="s">
        <v>609</v>
      </c>
      <c r="B199" s="2" t="str">
        <f>IFERROR(__xludf.DUMMYFUNCTION("SPLIT(A199,"" "")"),"$ls")</f>
        <v>$ls</v>
      </c>
      <c r="D199" s="2" t="str">
        <f>IFERROR(__xludf.DUMMYFUNCTION("IF(AND(B199=""$cd"",C199&lt;&gt;""..""),CONCATENATE(D198,""/"",C199),IF(C199="".."",MID(D198,1,LEN(D198)-LEN(REGEXEXTRACT(D198,""(/\w*)$""))),D198))"),"//lrvl/zhbpqlnd")</f>
        <v>//lrvl/zhbpqlnd</v>
      </c>
      <c r="E199" s="2" t="str">
        <f>IFERROR(__xludf.DUMMYFUNCTION("""COMPUTED_VALUE"""),"//zddrb/zdhcp/mzsfcvgv/zvjv/mgcg/zcgrgff/mzsfcvgv/jnwr")</f>
        <v>//zddrb/zdhcp/mzsfcvgv/zvjv/mgcg/zcgrgff/mzsfcvgv/jnwr</v>
      </c>
      <c r="F199" s="2">
        <f t="shared" si="1"/>
        <v>1075736</v>
      </c>
      <c r="K199" s="2">
        <v>1.8070237E7</v>
      </c>
    </row>
    <row r="200">
      <c r="A200" s="1" t="s">
        <v>115</v>
      </c>
      <c r="B200" s="2">
        <f>IFERROR(__xludf.DUMMYFUNCTION("SPLIT(A200,"" "")"),14027.0)</f>
        <v>14027</v>
      </c>
      <c r="C200" s="2" t="str">
        <f>IFERROR(__xludf.DUMMYFUNCTION("""COMPUTED_VALUE"""),"ccswrthv.pfd")</f>
        <v>ccswrthv.pfd</v>
      </c>
      <c r="D200" s="2" t="str">
        <f>IFERROR(__xludf.DUMMYFUNCTION("IF(AND(B200=""$cd"",C200&lt;&gt;""..""),CONCATENATE(D199,""/"",C200),IF(C200="".."",MID(D199,1,LEN(D199)-LEN(REGEXEXTRACT(D199,""(/\w*)$""))),D199))"),"//lrvl/zhbpqlnd")</f>
        <v>//lrvl/zhbpqlnd</v>
      </c>
      <c r="E200" s="2" t="str">
        <f>IFERROR(__xludf.DUMMYFUNCTION("""COMPUTED_VALUE"""),"//zddrb/zdhcp/mzsfcvgv/zvjv/nwl")</f>
        <v>//zddrb/zdhcp/mzsfcvgv/zvjv/nwl</v>
      </c>
      <c r="F200" s="2">
        <f t="shared" si="1"/>
        <v>20405</v>
      </c>
      <c r="K200" s="2">
        <v>2.2022022E7</v>
      </c>
    </row>
    <row r="201">
      <c r="A201" s="1" t="s">
        <v>116</v>
      </c>
      <c r="B201" s="2" t="str">
        <f>IFERROR(__xludf.DUMMYFUNCTION("SPLIT(A201,"" "")"),"dir")</f>
        <v>dir</v>
      </c>
      <c r="C201" s="2" t="str">
        <f>IFERROR(__xludf.DUMMYFUNCTION("""COMPUTED_VALUE"""),"clnqtjz")</f>
        <v>clnqtjz</v>
      </c>
      <c r="D201" s="2" t="str">
        <f>IFERROR(__xludf.DUMMYFUNCTION("IF(AND(B201=""$cd"",C201&lt;&gt;""..""),CONCATENATE(D200,""/"",C201),IF(C201="".."",MID(D200,1,LEN(D200)-LEN(REGEXEXTRACT(D200,""(/\w*)$""))),D200))"),"//lrvl/zhbpqlnd")</f>
        <v>//lrvl/zhbpqlnd</v>
      </c>
      <c r="E201" s="2" t="str">
        <f>IFERROR(__xludf.DUMMYFUNCTION("""COMPUTED_VALUE"""),"//zddrb/zdhcp/mzsfcvgv/zvjv/rqznjmt")</f>
        <v>//zddrb/zdhcp/mzsfcvgv/zvjv/rqznjmt</v>
      </c>
      <c r="F201" s="2">
        <f t="shared" si="1"/>
        <v>20405</v>
      </c>
      <c r="K201" s="2">
        <v>4.6592386E7</v>
      </c>
    </row>
    <row r="202">
      <c r="A202" s="1" t="s">
        <v>117</v>
      </c>
      <c r="B202" s="2" t="str">
        <f>IFERROR(__xludf.DUMMYFUNCTION("SPLIT(A202,"" "")"),"dir")</f>
        <v>dir</v>
      </c>
      <c r="C202" s="2" t="str">
        <f>IFERROR(__xludf.DUMMYFUNCTION("""COMPUTED_VALUE"""),"fdsqmnn")</f>
        <v>fdsqmnn</v>
      </c>
      <c r="D202" s="2" t="str">
        <f>IFERROR(__xludf.DUMMYFUNCTION("IF(AND(B202=""$cd"",C202&lt;&gt;""..""),CONCATENATE(D201,""/"",C202),IF(C202="".."",MID(D201,1,LEN(D201)-LEN(REGEXEXTRACT(D201,""(/\w*)$""))),D201))"),"//lrvl/zhbpqlnd")</f>
        <v>//lrvl/zhbpqlnd</v>
      </c>
      <c r="E202" s="2" t="str">
        <f>IFERROR(__xludf.DUMMYFUNCTION("""COMPUTED_VALUE"""),"//zddrb/zdhcp/zdsvth")</f>
        <v>//zddrb/zdhcp/zdsvth</v>
      </c>
      <c r="F202" s="2">
        <f t="shared" si="1"/>
        <v>464942</v>
      </c>
      <c r="K202" s="2">
        <v>4.6592386E7</v>
      </c>
    </row>
    <row r="203">
      <c r="A203" s="1" t="s">
        <v>118</v>
      </c>
      <c r="B203" s="2" t="str">
        <f>IFERROR(__xludf.DUMMYFUNCTION("SPLIT(A203,"" "")"),"dir")</f>
        <v>dir</v>
      </c>
      <c r="C203" s="2" t="str">
        <f>IFERROR(__xludf.DUMMYFUNCTION("""COMPUTED_VALUE"""),"fwdt")</f>
        <v>fwdt</v>
      </c>
      <c r="D203" s="2" t="str">
        <f>IFERROR(__xludf.DUMMYFUNCTION("IF(AND(B203=""$cd"",C203&lt;&gt;""..""),CONCATENATE(D202,""/"",C203),IF(C203="".."",MID(D202,1,LEN(D202)-LEN(REGEXEXTRACT(D202,""(/\w*)$""))),D202))"),"//lrvl/zhbpqlnd")</f>
        <v>//lrvl/zhbpqlnd</v>
      </c>
      <c r="E203" s="2" t="str">
        <f>IFERROR(__xludf.DUMMYFUNCTION("""COMPUTED_VALUE"""),"//zddrb/zdhcp/zdsvth/njhjrgmf")</f>
        <v>//zddrb/zdhcp/zdsvth/njhjrgmf</v>
      </c>
      <c r="F203" s="2">
        <f t="shared" si="1"/>
        <v>584534</v>
      </c>
      <c r="K203" s="2">
        <v>4.6592386E7</v>
      </c>
    </row>
    <row r="204">
      <c r="A204" s="1" t="s">
        <v>119</v>
      </c>
      <c r="B204" s="2" t="str">
        <f>IFERROR(__xludf.DUMMYFUNCTION("SPLIT(A204,"" "")"),"dir")</f>
        <v>dir</v>
      </c>
      <c r="C204" s="2" t="str">
        <f>IFERROR(__xludf.DUMMYFUNCTION("""COMPUTED_VALUE"""),"nljb")</f>
        <v>nljb</v>
      </c>
      <c r="D204" s="2" t="str">
        <f>IFERROR(__xludf.DUMMYFUNCTION("IF(AND(B204=""$cd"",C204&lt;&gt;""..""),CONCATENATE(D203,""/"",C204),IF(C204="".."",MID(D203,1,LEN(D203)-LEN(REGEXEXTRACT(D203,""(/\w*)$""))),D203))"),"//lrvl/zhbpqlnd")</f>
        <v>//lrvl/zhbpqlnd</v>
      </c>
      <c r="K204" s="2"/>
    </row>
    <row r="205">
      <c r="A205" s="1" t="s">
        <v>120</v>
      </c>
      <c r="B205" s="2" t="str">
        <f>IFERROR(__xludf.DUMMYFUNCTION("SPLIT(A205,"" "")"),"dir")</f>
        <v>dir</v>
      </c>
      <c r="C205" s="2" t="str">
        <f>IFERROR(__xludf.DUMMYFUNCTION("""COMPUTED_VALUE"""),"npmsdrgp")</f>
        <v>npmsdrgp</v>
      </c>
      <c r="D205" s="2" t="str">
        <f>IFERROR(__xludf.DUMMYFUNCTION("IF(AND(B205=""$cd"",C205&lt;&gt;""..""),CONCATENATE(D204,""/"",C205),IF(C205="".."",MID(D204,1,LEN(D204)-LEN(REGEXEXTRACT(D204,""(/\w*)$""))),D204))"),"//lrvl/zhbpqlnd")</f>
        <v>//lrvl/zhbpqlnd</v>
      </c>
      <c r="K205" s="2"/>
    </row>
    <row r="206">
      <c r="A206" s="1" t="s">
        <v>121</v>
      </c>
      <c r="B206" s="2">
        <f>IFERROR(__xludf.DUMMYFUNCTION("SPLIT(A206,"" "")"),57812.0)</f>
        <v>57812</v>
      </c>
      <c r="C206" s="2" t="str">
        <f>IFERROR(__xludf.DUMMYFUNCTION("""COMPUTED_VALUE"""),"slfdb.bqt")</f>
        <v>slfdb.bqt</v>
      </c>
      <c r="D206" s="2" t="str">
        <f>IFERROR(__xludf.DUMMYFUNCTION("IF(AND(B206=""$cd"",C206&lt;&gt;""..""),CONCATENATE(D205,""/"",C206),IF(C206="".."",MID(D205,1,LEN(D205)-LEN(REGEXEXTRACT(D205,""(/\w*)$""))),D205))"),"//lrvl/zhbpqlnd")</f>
        <v>//lrvl/zhbpqlnd</v>
      </c>
      <c r="K206" s="2"/>
    </row>
    <row r="207">
      <c r="A207" s="1" t="s">
        <v>122</v>
      </c>
      <c r="B207" s="2">
        <f>IFERROR(__xludf.DUMMYFUNCTION("SPLIT(A207,"" "")"),184299.0)</f>
        <v>184299</v>
      </c>
      <c r="C207" s="2" t="str">
        <f>IFERROR(__xludf.DUMMYFUNCTION("""COMPUTED_VALUE"""),"wmlmg")</f>
        <v>wmlmg</v>
      </c>
      <c r="D207" s="2" t="str">
        <f>IFERROR(__xludf.DUMMYFUNCTION("IF(AND(B207=""$cd"",C207&lt;&gt;""..""),CONCATENATE(D206,""/"",C207),IF(C207="".."",MID(D206,1,LEN(D206)-LEN(REGEXEXTRACT(D206,""(/\w*)$""))),D206))"),"//lrvl/zhbpqlnd")</f>
        <v>//lrvl/zhbpqlnd</v>
      </c>
      <c r="K207" s="2"/>
    </row>
    <row r="208">
      <c r="A208" s="1" t="s">
        <v>123</v>
      </c>
      <c r="B208" s="2">
        <f>IFERROR(__xludf.DUMMYFUNCTION("SPLIT(A208,"" "")"),241025.0)</f>
        <v>241025</v>
      </c>
      <c r="C208" s="2" t="str">
        <f>IFERROR(__xludf.DUMMYFUNCTION("""COMPUTED_VALUE"""),"zcgrgff.wbh")</f>
        <v>zcgrgff.wbh</v>
      </c>
      <c r="D208" s="2" t="str">
        <f>IFERROR(__xludf.DUMMYFUNCTION("IF(AND(B208=""$cd"",C208&lt;&gt;""..""),CONCATENATE(D207,""/"",C208),IF(C208="".."",MID(D207,1,LEN(D207)-LEN(REGEXEXTRACT(D207,""(/\w*)$""))),D207))"),"//lrvl/zhbpqlnd")</f>
        <v>//lrvl/zhbpqlnd</v>
      </c>
      <c r="K208" s="2"/>
    </row>
    <row r="209">
      <c r="A209" s="1" t="s">
        <v>124</v>
      </c>
      <c r="B209" s="2" t="str">
        <f>IFERROR(__xludf.DUMMYFUNCTION("SPLIT(A209,"" "")"),"dir")</f>
        <v>dir</v>
      </c>
      <c r="C209" s="2" t="str">
        <f>IFERROR(__xludf.DUMMYFUNCTION("""COMPUTED_VALUE"""),"zggqfj")</f>
        <v>zggqfj</v>
      </c>
      <c r="D209" s="2" t="str">
        <f>IFERROR(__xludf.DUMMYFUNCTION("IF(AND(B209=""$cd"",C209&lt;&gt;""..""),CONCATENATE(D208,""/"",C209),IF(C209="".."",MID(D208,1,LEN(D208)-LEN(REGEXEXTRACT(D208,""(/\w*)$""))),D208))"),"//lrvl/zhbpqlnd")</f>
        <v>//lrvl/zhbpqlnd</v>
      </c>
      <c r="K209" s="2"/>
    </row>
    <row r="210">
      <c r="A210" s="1" t="s">
        <v>642</v>
      </c>
      <c r="B210" s="2" t="str">
        <f>IFERROR(__xludf.DUMMYFUNCTION("SPLIT(A210,"" "")"),"$cd")</f>
        <v>$cd</v>
      </c>
      <c r="C210" s="2" t="str">
        <f>IFERROR(__xludf.DUMMYFUNCTION("""COMPUTED_VALUE"""),"clnqtjz")</f>
        <v>clnqtjz</v>
      </c>
      <c r="D210" s="2" t="str">
        <f>IFERROR(__xludf.DUMMYFUNCTION("IF(AND(B210=""$cd"",C210&lt;&gt;""..""),CONCATENATE(D209,""/"",C210),IF(C210="".."",MID(D209,1,LEN(D209)-LEN(REGEXEXTRACT(D209,""(/\w*)$""))),D209))"),"//lrvl/zhbpqlnd/clnqtjz")</f>
        <v>//lrvl/zhbpqlnd/clnqtjz</v>
      </c>
      <c r="K210" s="2"/>
    </row>
    <row r="211">
      <c r="A211" s="1" t="s">
        <v>609</v>
      </c>
      <c r="B211" s="2" t="str">
        <f>IFERROR(__xludf.DUMMYFUNCTION("SPLIT(A211,"" "")"),"$ls")</f>
        <v>$ls</v>
      </c>
      <c r="D211" s="2" t="str">
        <f>IFERROR(__xludf.DUMMYFUNCTION("IF(AND(B211=""$cd"",C211&lt;&gt;""..""),CONCATENATE(D210,""/"",C211),IF(C211="".."",MID(D210,1,LEN(D210)-LEN(REGEXEXTRACT(D210,""(/\w*)$""))),D210))"),"//lrvl/zhbpqlnd/clnqtjz")</f>
        <v>//lrvl/zhbpqlnd/clnqtjz</v>
      </c>
      <c r="K211" s="2"/>
    </row>
    <row r="212">
      <c r="A212" s="1" t="s">
        <v>126</v>
      </c>
      <c r="B212" s="2">
        <f>IFERROR(__xludf.DUMMYFUNCTION("SPLIT(A212,"" "")"),62391.0)</f>
        <v>62391</v>
      </c>
      <c r="C212" s="2" t="str">
        <f>IFERROR(__xludf.DUMMYFUNCTION("""COMPUTED_VALUE"""),"cbhw.wgr")</f>
        <v>cbhw.wgr</v>
      </c>
      <c r="D212" s="2" t="str">
        <f>IFERROR(__xludf.DUMMYFUNCTION("IF(AND(B212=""$cd"",C212&lt;&gt;""..""),CONCATENATE(D211,""/"",C212),IF(C212="".."",MID(D211,1,LEN(D211)-LEN(REGEXEXTRACT(D211,""(/\w*)$""))),D211))"),"//lrvl/zhbpqlnd/clnqtjz")</f>
        <v>//lrvl/zhbpqlnd/clnqtjz</v>
      </c>
      <c r="K212" s="2"/>
    </row>
    <row r="213">
      <c r="A213" s="1" t="s">
        <v>127</v>
      </c>
      <c r="B213" s="2">
        <f>IFERROR(__xludf.DUMMYFUNCTION("SPLIT(A213,"" "")"),309318.0)</f>
        <v>309318</v>
      </c>
      <c r="C213" s="2" t="str">
        <f>IFERROR(__xludf.DUMMYFUNCTION("""COMPUTED_VALUE"""),"jlm.lfq")</f>
        <v>jlm.lfq</v>
      </c>
      <c r="D213" s="2" t="str">
        <f>IFERROR(__xludf.DUMMYFUNCTION("IF(AND(B213=""$cd"",C213&lt;&gt;""..""),CONCATENATE(D212,""/"",C213),IF(C213="".."",MID(D212,1,LEN(D212)-LEN(REGEXEXTRACT(D212,""(/\w*)$""))),D212))"),"//lrvl/zhbpqlnd/clnqtjz")</f>
        <v>//lrvl/zhbpqlnd/clnqtjz</v>
      </c>
      <c r="K213" s="2"/>
    </row>
    <row r="214">
      <c r="A214" s="1" t="s">
        <v>128</v>
      </c>
      <c r="B214" s="2" t="str">
        <f>IFERROR(__xludf.DUMMYFUNCTION("SPLIT(A214,"" "")"),"dir")</f>
        <v>dir</v>
      </c>
      <c r="C214" s="2" t="str">
        <f>IFERROR(__xludf.DUMMYFUNCTION("""COMPUTED_VALUE"""),"mzsfcvgv")</f>
        <v>mzsfcvgv</v>
      </c>
      <c r="D214" s="2" t="str">
        <f>IFERROR(__xludf.DUMMYFUNCTION("IF(AND(B214=""$cd"",C214&lt;&gt;""..""),CONCATENATE(D213,""/"",C214),IF(C214="".."",MID(D213,1,LEN(D213)-LEN(REGEXEXTRACT(D213,""(/\w*)$""))),D213))"),"//lrvl/zhbpqlnd/clnqtjz")</f>
        <v>//lrvl/zhbpqlnd/clnqtjz</v>
      </c>
      <c r="K214" s="2"/>
    </row>
    <row r="215">
      <c r="A215" s="1" t="s">
        <v>129</v>
      </c>
      <c r="B215" s="2" t="str">
        <f>IFERROR(__xludf.DUMMYFUNCTION("SPLIT(A215,"" "")"),"dir")</f>
        <v>dir</v>
      </c>
      <c r="C215" s="2" t="str">
        <f>IFERROR(__xludf.DUMMYFUNCTION("""COMPUTED_VALUE"""),"rrn")</f>
        <v>rrn</v>
      </c>
      <c r="D215" s="2" t="str">
        <f>IFERROR(__xludf.DUMMYFUNCTION("IF(AND(B215=""$cd"",C215&lt;&gt;""..""),CONCATENATE(D214,""/"",C215),IF(C215="".."",MID(D214,1,LEN(D214)-LEN(REGEXEXTRACT(D214,""(/\w*)$""))),D214))"),"//lrvl/zhbpqlnd/clnqtjz")</f>
        <v>//lrvl/zhbpqlnd/clnqtjz</v>
      </c>
      <c r="K215" s="2"/>
    </row>
    <row r="216">
      <c r="A216" s="1" t="s">
        <v>130</v>
      </c>
      <c r="B216" s="2">
        <f>IFERROR(__xludf.DUMMYFUNCTION("SPLIT(A216,"" "")"),307583.0)</f>
        <v>307583</v>
      </c>
      <c r="C216" s="2" t="str">
        <f>IFERROR(__xludf.DUMMYFUNCTION("""COMPUTED_VALUE"""),"ssssrhwz")</f>
        <v>ssssrhwz</v>
      </c>
      <c r="D216" s="2" t="str">
        <f>IFERROR(__xludf.DUMMYFUNCTION("IF(AND(B216=""$cd"",C216&lt;&gt;""..""),CONCATENATE(D215,""/"",C216),IF(C216="".."",MID(D215,1,LEN(D215)-LEN(REGEXEXTRACT(D215,""(/\w*)$""))),D215))"),"//lrvl/zhbpqlnd/clnqtjz")</f>
        <v>//lrvl/zhbpqlnd/clnqtjz</v>
      </c>
      <c r="K216" s="2"/>
    </row>
    <row r="217">
      <c r="A217" s="1" t="s">
        <v>643</v>
      </c>
      <c r="B217" s="2" t="str">
        <f>IFERROR(__xludf.DUMMYFUNCTION("SPLIT(A217,"" "")"),"$cd")</f>
        <v>$cd</v>
      </c>
      <c r="C217" s="2" t="str">
        <f>IFERROR(__xludf.DUMMYFUNCTION("""COMPUTED_VALUE"""),"mzsfcvgv")</f>
        <v>mzsfcvgv</v>
      </c>
      <c r="D217" s="2" t="str">
        <f>IFERROR(__xludf.DUMMYFUNCTION("IF(AND(B217=""$cd"",C217&lt;&gt;""..""),CONCATENATE(D216,""/"",C217),IF(C217="".."",MID(D216,1,LEN(D216)-LEN(REGEXEXTRACT(D216,""(/\w*)$""))),D216))"),"//lrvl/zhbpqlnd/clnqtjz/mzsfcvgv")</f>
        <v>//lrvl/zhbpqlnd/clnqtjz/mzsfcvgv</v>
      </c>
      <c r="K217" s="2"/>
    </row>
    <row r="218">
      <c r="A218" s="1" t="s">
        <v>609</v>
      </c>
      <c r="B218" s="2" t="str">
        <f>IFERROR(__xludf.DUMMYFUNCTION("SPLIT(A218,"" "")"),"$ls")</f>
        <v>$ls</v>
      </c>
      <c r="D218" s="2" t="str">
        <f>IFERROR(__xludf.DUMMYFUNCTION("IF(AND(B218=""$cd"",C218&lt;&gt;""..""),CONCATENATE(D217,""/"",C218),IF(C218="".."",MID(D217,1,LEN(D217)-LEN(REGEXEXTRACT(D217,""(/\w*)$""))),D217))"),"//lrvl/zhbpqlnd/clnqtjz/mzsfcvgv")</f>
        <v>//lrvl/zhbpqlnd/clnqtjz/mzsfcvgv</v>
      </c>
      <c r="K218" s="2"/>
    </row>
    <row r="219">
      <c r="A219" s="1" t="s">
        <v>132</v>
      </c>
      <c r="B219" s="2">
        <f>IFERROR(__xludf.DUMMYFUNCTION("SPLIT(A219,"" "")"),1356.0)</f>
        <v>1356</v>
      </c>
      <c r="C219" s="2" t="str">
        <f>IFERROR(__xludf.DUMMYFUNCTION("""COMPUTED_VALUE"""),"hrbh.wpz")</f>
        <v>hrbh.wpz</v>
      </c>
      <c r="D219" s="2" t="str">
        <f>IFERROR(__xludf.DUMMYFUNCTION("IF(AND(B219=""$cd"",C219&lt;&gt;""..""),CONCATENATE(D218,""/"",C219),IF(C219="".."",MID(D218,1,LEN(D218)-LEN(REGEXEXTRACT(D218,""(/\w*)$""))),D218))"),"//lrvl/zhbpqlnd/clnqtjz/mzsfcvgv")</f>
        <v>//lrvl/zhbpqlnd/clnqtjz/mzsfcvgv</v>
      </c>
      <c r="K219" s="2"/>
    </row>
    <row r="220">
      <c r="A220" s="1" t="s">
        <v>133</v>
      </c>
      <c r="B220" s="2" t="str">
        <f>IFERROR(__xludf.DUMMYFUNCTION("SPLIT(A220,"" "")"),"dir")</f>
        <v>dir</v>
      </c>
      <c r="C220" s="2" t="str">
        <f>IFERROR(__xludf.DUMMYFUNCTION("""COMPUTED_VALUE"""),"vnwqstw")</f>
        <v>vnwqstw</v>
      </c>
      <c r="D220" s="2" t="str">
        <f>IFERROR(__xludf.DUMMYFUNCTION("IF(AND(B220=""$cd"",C220&lt;&gt;""..""),CONCATENATE(D219,""/"",C220),IF(C220="".."",MID(D219,1,LEN(D219)-LEN(REGEXEXTRACT(D219,""(/\w*)$""))),D219))"),"//lrvl/zhbpqlnd/clnqtjz/mzsfcvgv")</f>
        <v>//lrvl/zhbpqlnd/clnqtjz/mzsfcvgv</v>
      </c>
      <c r="K220" s="2"/>
    </row>
    <row r="221">
      <c r="A221" s="1" t="s">
        <v>644</v>
      </c>
      <c r="B221" s="2" t="str">
        <f>IFERROR(__xludf.DUMMYFUNCTION("SPLIT(A221,"" "")"),"$cd")</f>
        <v>$cd</v>
      </c>
      <c r="C221" s="2" t="str">
        <f>IFERROR(__xludf.DUMMYFUNCTION("""COMPUTED_VALUE"""),"vnwqstw")</f>
        <v>vnwqstw</v>
      </c>
      <c r="D221" s="2" t="str">
        <f>IFERROR(__xludf.DUMMYFUNCTION("IF(AND(B221=""$cd"",C221&lt;&gt;""..""),CONCATENATE(D220,""/"",C221),IF(C221="".."",MID(D220,1,LEN(D220)-LEN(REGEXEXTRACT(D220,""(/\w*)$""))),D220))"),"//lrvl/zhbpqlnd/clnqtjz/mzsfcvgv/vnwqstw")</f>
        <v>//lrvl/zhbpqlnd/clnqtjz/mzsfcvgv/vnwqstw</v>
      </c>
      <c r="K221" s="2"/>
    </row>
    <row r="222">
      <c r="A222" s="1" t="s">
        <v>609</v>
      </c>
      <c r="B222" s="2" t="str">
        <f>IFERROR(__xludf.DUMMYFUNCTION("SPLIT(A222,"" "")"),"$ls")</f>
        <v>$ls</v>
      </c>
      <c r="D222" s="2" t="str">
        <f>IFERROR(__xludf.DUMMYFUNCTION("IF(AND(B222=""$cd"",C222&lt;&gt;""..""),CONCATENATE(D221,""/"",C222),IF(C222="".."",MID(D221,1,LEN(D221)-LEN(REGEXEXTRACT(D221,""(/\w*)$""))),D221))"),"//lrvl/zhbpqlnd/clnqtjz/mzsfcvgv/vnwqstw")</f>
        <v>//lrvl/zhbpqlnd/clnqtjz/mzsfcvgv/vnwqstw</v>
      </c>
      <c r="K222" s="2"/>
    </row>
    <row r="223">
      <c r="A223" s="1" t="s">
        <v>135</v>
      </c>
      <c r="B223" s="2">
        <f>IFERROR(__xludf.DUMMYFUNCTION("SPLIT(A223,"" "")"),184434.0)</f>
        <v>184434</v>
      </c>
      <c r="C223" s="2" t="str">
        <f>IFERROR(__xludf.DUMMYFUNCTION("""COMPUTED_VALUE"""),"hnhzdshl.lrl")</f>
        <v>hnhzdshl.lrl</v>
      </c>
      <c r="D223" s="2" t="str">
        <f>IFERROR(__xludf.DUMMYFUNCTION("IF(AND(B223=""$cd"",C223&lt;&gt;""..""),CONCATENATE(D222,""/"",C223),IF(C223="".."",MID(D222,1,LEN(D222)-LEN(REGEXEXTRACT(D222,""(/\w*)$""))),D222))"),"//lrvl/zhbpqlnd/clnqtjz/mzsfcvgv/vnwqstw")</f>
        <v>//lrvl/zhbpqlnd/clnqtjz/mzsfcvgv/vnwqstw</v>
      </c>
      <c r="K223" s="2"/>
    </row>
    <row r="224">
      <c r="A224" s="1" t="s">
        <v>136</v>
      </c>
      <c r="B224" s="2">
        <f>IFERROR(__xludf.DUMMYFUNCTION("SPLIT(A224,"" "")"),150624.0)</f>
        <v>150624</v>
      </c>
      <c r="C224" s="2" t="str">
        <f>IFERROR(__xludf.DUMMYFUNCTION("""COMPUTED_VALUE"""),"wsrnprdb.pjf")</f>
        <v>wsrnprdb.pjf</v>
      </c>
      <c r="D224" s="2" t="str">
        <f>IFERROR(__xludf.DUMMYFUNCTION("IF(AND(B224=""$cd"",C224&lt;&gt;""..""),CONCATENATE(D223,""/"",C224),IF(C224="".."",MID(D223,1,LEN(D223)-LEN(REGEXEXTRACT(D223,""(/\w*)$""))),D223))"),"//lrvl/zhbpqlnd/clnqtjz/mzsfcvgv/vnwqstw")</f>
        <v>//lrvl/zhbpqlnd/clnqtjz/mzsfcvgv/vnwqstw</v>
      </c>
      <c r="K224" s="2"/>
    </row>
    <row r="225">
      <c r="A225" s="1" t="s">
        <v>612</v>
      </c>
      <c r="B225" s="2" t="str">
        <f>IFERROR(__xludf.DUMMYFUNCTION("SPLIT(A225,"" "")"),"$cd")</f>
        <v>$cd</v>
      </c>
      <c r="C225" s="2" t="str">
        <f>IFERROR(__xludf.DUMMYFUNCTION("""COMPUTED_VALUE"""),"..")</f>
        <v>..</v>
      </c>
      <c r="D225" s="2" t="str">
        <f>IFERROR(__xludf.DUMMYFUNCTION("IF(AND(B225=""$cd"",C225&lt;&gt;""..""),CONCATENATE(D224,""/"",C225),IF(C225="".."",MID(D224,1,LEN(D224)-LEN(REGEXEXTRACT(D224,""(/\w*)$""))),D224))"),"//lrvl/zhbpqlnd/clnqtjz/mzsfcvgv")</f>
        <v>//lrvl/zhbpqlnd/clnqtjz/mzsfcvgv</v>
      </c>
      <c r="K225" s="2"/>
    </row>
    <row r="226">
      <c r="A226" s="1" t="s">
        <v>612</v>
      </c>
      <c r="B226" s="2" t="str">
        <f>IFERROR(__xludf.DUMMYFUNCTION("SPLIT(A226,"" "")"),"$cd")</f>
        <v>$cd</v>
      </c>
      <c r="C226" s="2" t="str">
        <f>IFERROR(__xludf.DUMMYFUNCTION("""COMPUTED_VALUE"""),"..")</f>
        <v>..</v>
      </c>
      <c r="D226" s="2" t="str">
        <f>IFERROR(__xludf.DUMMYFUNCTION("IF(AND(B226=""$cd"",C226&lt;&gt;""..""),CONCATENATE(D225,""/"",C226),IF(C226="".."",MID(D225,1,LEN(D225)-LEN(REGEXEXTRACT(D225,""(/\w*)$""))),D225))"),"//lrvl/zhbpqlnd/clnqtjz")</f>
        <v>//lrvl/zhbpqlnd/clnqtjz</v>
      </c>
      <c r="K226" s="2"/>
    </row>
    <row r="227">
      <c r="A227" s="1" t="s">
        <v>645</v>
      </c>
      <c r="B227" s="2" t="str">
        <f>IFERROR(__xludf.DUMMYFUNCTION("SPLIT(A227,"" "")"),"$cd")</f>
        <v>$cd</v>
      </c>
      <c r="C227" s="2" t="str">
        <f>IFERROR(__xludf.DUMMYFUNCTION("""COMPUTED_VALUE"""),"rrn")</f>
        <v>rrn</v>
      </c>
      <c r="D227" s="2" t="str">
        <f>IFERROR(__xludf.DUMMYFUNCTION("IF(AND(B227=""$cd"",C227&lt;&gt;""..""),CONCATENATE(D226,""/"",C227),IF(C227="".."",MID(D226,1,LEN(D226)-LEN(REGEXEXTRACT(D226,""(/\w*)$""))),D226))"),"//lrvl/zhbpqlnd/clnqtjz/rrn")</f>
        <v>//lrvl/zhbpqlnd/clnqtjz/rrn</v>
      </c>
      <c r="K227" s="2"/>
    </row>
    <row r="228">
      <c r="A228" s="1" t="s">
        <v>609</v>
      </c>
      <c r="B228" s="2" t="str">
        <f>IFERROR(__xludf.DUMMYFUNCTION("SPLIT(A228,"" "")"),"$ls")</f>
        <v>$ls</v>
      </c>
      <c r="D228" s="2" t="str">
        <f>IFERROR(__xludf.DUMMYFUNCTION("IF(AND(B228=""$cd"",C228&lt;&gt;""..""),CONCATENATE(D227,""/"",C228),IF(C228="".."",MID(D227,1,LEN(D227)-LEN(REGEXEXTRACT(D227,""(/\w*)$""))),D227))"),"//lrvl/zhbpqlnd/clnqtjz/rrn")</f>
        <v>//lrvl/zhbpqlnd/clnqtjz/rrn</v>
      </c>
      <c r="K228" s="2"/>
    </row>
    <row r="229">
      <c r="A229" s="1" t="s">
        <v>138</v>
      </c>
      <c r="B229" s="2">
        <f>IFERROR(__xludf.DUMMYFUNCTION("SPLIT(A229,"" "")"),105792.0)</f>
        <v>105792</v>
      </c>
      <c r="C229" s="2" t="str">
        <f>IFERROR(__xludf.DUMMYFUNCTION("""COMPUTED_VALUE"""),"dzprqqc.rbh")</f>
        <v>dzprqqc.rbh</v>
      </c>
      <c r="D229" s="2" t="str">
        <f>IFERROR(__xludf.DUMMYFUNCTION("IF(AND(B229=""$cd"",C229&lt;&gt;""..""),CONCATENATE(D228,""/"",C229),IF(C229="".."",MID(D228,1,LEN(D228)-LEN(REGEXEXTRACT(D228,""(/\w*)$""))),D228))"),"//lrvl/zhbpqlnd/clnqtjz/rrn")</f>
        <v>//lrvl/zhbpqlnd/clnqtjz/rrn</v>
      </c>
      <c r="K229" s="2"/>
    </row>
    <row r="230">
      <c r="A230" s="1" t="s">
        <v>139</v>
      </c>
      <c r="B230" s="2">
        <f>IFERROR(__xludf.DUMMYFUNCTION("SPLIT(A230,"" "")"),107482.0)</f>
        <v>107482</v>
      </c>
      <c r="C230" s="2" t="str">
        <f>IFERROR(__xludf.DUMMYFUNCTION("""COMPUTED_VALUE"""),"ffdjdbc")</f>
        <v>ffdjdbc</v>
      </c>
      <c r="D230" s="2" t="str">
        <f>IFERROR(__xludf.DUMMYFUNCTION("IF(AND(B230=""$cd"",C230&lt;&gt;""..""),CONCATENATE(D229,""/"",C230),IF(C230="".."",MID(D229,1,LEN(D229)-LEN(REGEXEXTRACT(D229,""(/\w*)$""))),D229))"),"//lrvl/zhbpqlnd/clnqtjz/rrn")</f>
        <v>//lrvl/zhbpqlnd/clnqtjz/rrn</v>
      </c>
      <c r="K230" s="2"/>
    </row>
    <row r="231">
      <c r="A231" s="1" t="s">
        <v>140</v>
      </c>
      <c r="B231" s="2" t="str">
        <f>IFERROR(__xludf.DUMMYFUNCTION("SPLIT(A231,"" "")"),"dir")</f>
        <v>dir</v>
      </c>
      <c r="C231" s="2" t="str">
        <f>IFERROR(__xludf.DUMMYFUNCTION("""COMPUTED_VALUE"""),"hnr")</f>
        <v>hnr</v>
      </c>
      <c r="D231" s="2" t="str">
        <f>IFERROR(__xludf.DUMMYFUNCTION("IF(AND(B231=""$cd"",C231&lt;&gt;""..""),CONCATENATE(D230,""/"",C231),IF(C231="".."",MID(D230,1,LEN(D230)-LEN(REGEXEXTRACT(D230,""(/\w*)$""))),D230))"),"//lrvl/zhbpqlnd/clnqtjz/rrn")</f>
        <v>//lrvl/zhbpqlnd/clnqtjz/rrn</v>
      </c>
      <c r="K231" s="2"/>
    </row>
    <row r="232">
      <c r="A232" s="1" t="s">
        <v>141</v>
      </c>
      <c r="B232" s="2" t="str">
        <f>IFERROR(__xludf.DUMMYFUNCTION("SPLIT(A232,"" "")"),"dir")</f>
        <v>dir</v>
      </c>
      <c r="C232" s="2" t="str">
        <f>IFERROR(__xludf.DUMMYFUNCTION("""COMPUTED_VALUE"""),"rdmgtf")</f>
        <v>rdmgtf</v>
      </c>
      <c r="D232" s="2" t="str">
        <f>IFERROR(__xludf.DUMMYFUNCTION("IF(AND(B232=""$cd"",C232&lt;&gt;""..""),CONCATENATE(D231,""/"",C232),IF(C232="".."",MID(D231,1,LEN(D231)-LEN(REGEXEXTRACT(D231,""(/\w*)$""))),D231))"),"//lrvl/zhbpqlnd/clnqtjz/rrn")</f>
        <v>//lrvl/zhbpqlnd/clnqtjz/rrn</v>
      </c>
      <c r="K232" s="2"/>
    </row>
    <row r="233">
      <c r="A233" s="1" t="s">
        <v>142</v>
      </c>
      <c r="B233" s="2" t="str">
        <f>IFERROR(__xludf.DUMMYFUNCTION("SPLIT(A233,"" "")"),"dir")</f>
        <v>dir</v>
      </c>
      <c r="C233" s="2" t="str">
        <f>IFERROR(__xludf.DUMMYFUNCTION("""COMPUTED_VALUE"""),"rgrwp")</f>
        <v>rgrwp</v>
      </c>
      <c r="D233" s="2" t="str">
        <f>IFERROR(__xludf.DUMMYFUNCTION("IF(AND(B233=""$cd"",C233&lt;&gt;""..""),CONCATENATE(D232,""/"",C233),IF(C233="".."",MID(D232,1,LEN(D232)-LEN(REGEXEXTRACT(D232,""(/\w*)$""))),D232))"),"//lrvl/zhbpqlnd/clnqtjz/rrn")</f>
        <v>//lrvl/zhbpqlnd/clnqtjz/rrn</v>
      </c>
      <c r="K233" s="2"/>
    </row>
    <row r="234">
      <c r="A234" s="1" t="s">
        <v>143</v>
      </c>
      <c r="B234" s="2">
        <f>IFERROR(__xludf.DUMMYFUNCTION("SPLIT(A234,"" "")"),325147.0)</f>
        <v>325147</v>
      </c>
      <c r="C234" s="2" t="str">
        <f>IFERROR(__xludf.DUMMYFUNCTION("""COMPUTED_VALUE"""),"shqr.pdj")</f>
        <v>shqr.pdj</v>
      </c>
      <c r="D234" s="2" t="str">
        <f>IFERROR(__xludf.DUMMYFUNCTION("IF(AND(B234=""$cd"",C234&lt;&gt;""..""),CONCATENATE(D233,""/"",C234),IF(C234="".."",MID(D233,1,LEN(D233)-LEN(REGEXEXTRACT(D233,""(/\w*)$""))),D233))"),"//lrvl/zhbpqlnd/clnqtjz/rrn")</f>
        <v>//lrvl/zhbpqlnd/clnqtjz/rrn</v>
      </c>
      <c r="K234" s="2"/>
    </row>
    <row r="235">
      <c r="A235" s="1" t="s">
        <v>144</v>
      </c>
      <c r="B235" s="2">
        <f>IFERROR(__xludf.DUMMYFUNCTION("SPLIT(A235,"" "")"),43186.0)</f>
        <v>43186</v>
      </c>
      <c r="C235" s="2" t="str">
        <f>IFERROR(__xludf.DUMMYFUNCTION("""COMPUTED_VALUE"""),"slfdb.bqt")</f>
        <v>slfdb.bqt</v>
      </c>
      <c r="D235" s="2" t="str">
        <f>IFERROR(__xludf.DUMMYFUNCTION("IF(AND(B235=""$cd"",C235&lt;&gt;""..""),CONCATENATE(D234,""/"",C235),IF(C235="".."",MID(D234,1,LEN(D234)-LEN(REGEXEXTRACT(D234,""(/\w*)$""))),D234))"),"//lrvl/zhbpqlnd/clnqtjz/rrn")</f>
        <v>//lrvl/zhbpqlnd/clnqtjz/rrn</v>
      </c>
      <c r="K235" s="2"/>
    </row>
    <row r="236">
      <c r="A236" s="1" t="s">
        <v>145</v>
      </c>
      <c r="B236" s="2">
        <f>IFERROR(__xludf.DUMMYFUNCTION("SPLIT(A236,"" "")"),236667.0)</f>
        <v>236667</v>
      </c>
      <c r="C236" s="2" t="str">
        <f>IFERROR(__xludf.DUMMYFUNCTION("""COMPUTED_VALUE"""),"zcgrgff")</f>
        <v>zcgrgff</v>
      </c>
      <c r="D236" s="2" t="str">
        <f>IFERROR(__xludf.DUMMYFUNCTION("IF(AND(B236=""$cd"",C236&lt;&gt;""..""),CONCATENATE(D235,""/"",C236),IF(C236="".."",MID(D235,1,LEN(D235)-LEN(REGEXEXTRACT(D235,""(/\w*)$""))),D235))"),"//lrvl/zhbpqlnd/clnqtjz/rrn")</f>
        <v>//lrvl/zhbpqlnd/clnqtjz/rrn</v>
      </c>
      <c r="K236" s="2"/>
    </row>
    <row r="237">
      <c r="A237" s="1" t="s">
        <v>646</v>
      </c>
      <c r="B237" s="2" t="str">
        <f>IFERROR(__xludf.DUMMYFUNCTION("SPLIT(A237,"" "")"),"$cd")</f>
        <v>$cd</v>
      </c>
      <c r="C237" s="2" t="str">
        <f>IFERROR(__xludf.DUMMYFUNCTION("""COMPUTED_VALUE"""),"hnr")</f>
        <v>hnr</v>
      </c>
      <c r="D237" s="2" t="str">
        <f>IFERROR(__xludf.DUMMYFUNCTION("IF(AND(B237=""$cd"",C237&lt;&gt;""..""),CONCATENATE(D236,""/"",C237),IF(C237="".."",MID(D236,1,LEN(D236)-LEN(REGEXEXTRACT(D236,""(/\w*)$""))),D236))"),"//lrvl/zhbpqlnd/clnqtjz/rrn/hnr")</f>
        <v>//lrvl/zhbpqlnd/clnqtjz/rrn/hnr</v>
      </c>
      <c r="K237" s="2"/>
    </row>
    <row r="238">
      <c r="A238" s="1" t="s">
        <v>609</v>
      </c>
      <c r="B238" s="2" t="str">
        <f>IFERROR(__xludf.DUMMYFUNCTION("SPLIT(A238,"" "")"),"$ls")</f>
        <v>$ls</v>
      </c>
      <c r="D238" s="2" t="str">
        <f>IFERROR(__xludf.DUMMYFUNCTION("IF(AND(B238=""$cd"",C238&lt;&gt;""..""),CONCATENATE(D237,""/"",C238),IF(C238="".."",MID(D237,1,LEN(D237)-LEN(REGEXEXTRACT(D237,""(/\w*)$""))),D237))"),"//lrvl/zhbpqlnd/clnqtjz/rrn/hnr")</f>
        <v>//lrvl/zhbpqlnd/clnqtjz/rrn/hnr</v>
      </c>
      <c r="K238" s="2"/>
    </row>
    <row r="239">
      <c r="A239" s="1" t="s">
        <v>147</v>
      </c>
      <c r="B239" s="2" t="str">
        <f>IFERROR(__xludf.DUMMYFUNCTION("SPLIT(A239,"" "")"),"dir")</f>
        <v>dir</v>
      </c>
      <c r="C239" s="2" t="str">
        <f>IFERROR(__xludf.DUMMYFUNCTION("""COMPUTED_VALUE"""),"gljrlhjm")</f>
        <v>gljrlhjm</v>
      </c>
      <c r="D239" s="2" t="str">
        <f>IFERROR(__xludf.DUMMYFUNCTION("IF(AND(B239=""$cd"",C239&lt;&gt;""..""),CONCATENATE(D238,""/"",C239),IF(C239="".."",MID(D238,1,LEN(D238)-LEN(REGEXEXTRACT(D238,""(/\w*)$""))),D238))"),"//lrvl/zhbpqlnd/clnqtjz/rrn/hnr")</f>
        <v>//lrvl/zhbpqlnd/clnqtjz/rrn/hnr</v>
      </c>
      <c r="K239" s="2"/>
    </row>
    <row r="240">
      <c r="A240" s="1" t="s">
        <v>148</v>
      </c>
      <c r="B240" s="2">
        <f>IFERROR(__xludf.DUMMYFUNCTION("SPLIT(A240,"" "")"),250526.0)</f>
        <v>250526</v>
      </c>
      <c r="C240" s="2" t="str">
        <f>IFERROR(__xludf.DUMMYFUNCTION("""COMPUTED_VALUE"""),"mzsfcvgv.nsb")</f>
        <v>mzsfcvgv.nsb</v>
      </c>
      <c r="D240" s="2" t="str">
        <f>IFERROR(__xludf.DUMMYFUNCTION("IF(AND(B240=""$cd"",C240&lt;&gt;""..""),CONCATENATE(D239,""/"",C240),IF(C240="".."",MID(D239,1,LEN(D239)-LEN(REGEXEXTRACT(D239,""(/\w*)$""))),D239))"),"//lrvl/zhbpqlnd/clnqtjz/rrn/hnr")</f>
        <v>//lrvl/zhbpqlnd/clnqtjz/rrn/hnr</v>
      </c>
      <c r="K240" s="2"/>
    </row>
    <row r="241">
      <c r="A241" s="1" t="s">
        <v>149</v>
      </c>
      <c r="B241" s="2">
        <f>IFERROR(__xludf.DUMMYFUNCTION("SPLIT(A241,"" "")"),43164.0)</f>
        <v>43164</v>
      </c>
      <c r="C241" s="2" t="str">
        <f>IFERROR(__xludf.DUMMYFUNCTION("""COMPUTED_VALUE"""),"ssssrhwz")</f>
        <v>ssssrhwz</v>
      </c>
      <c r="D241" s="2" t="str">
        <f>IFERROR(__xludf.DUMMYFUNCTION("IF(AND(B241=""$cd"",C241&lt;&gt;""..""),CONCATENATE(D240,""/"",C241),IF(C241="".."",MID(D240,1,LEN(D240)-LEN(REGEXEXTRACT(D240,""(/\w*)$""))),D240))"),"//lrvl/zhbpqlnd/clnqtjz/rrn/hnr")</f>
        <v>//lrvl/zhbpqlnd/clnqtjz/rrn/hnr</v>
      </c>
      <c r="K241" s="2"/>
    </row>
    <row r="242">
      <c r="A242" s="1" t="s">
        <v>647</v>
      </c>
      <c r="B242" s="2" t="str">
        <f>IFERROR(__xludf.DUMMYFUNCTION("SPLIT(A242,"" "")"),"$cd")</f>
        <v>$cd</v>
      </c>
      <c r="C242" s="2" t="str">
        <f>IFERROR(__xludf.DUMMYFUNCTION("""COMPUTED_VALUE"""),"gljrlhjm")</f>
        <v>gljrlhjm</v>
      </c>
      <c r="D242" s="2" t="str">
        <f>IFERROR(__xludf.DUMMYFUNCTION("IF(AND(B242=""$cd"",C242&lt;&gt;""..""),CONCATENATE(D241,""/"",C242),IF(C242="".."",MID(D241,1,LEN(D241)-LEN(REGEXEXTRACT(D241,""(/\w*)$""))),D241))"),"//lrvl/zhbpqlnd/clnqtjz/rrn/hnr/gljrlhjm")</f>
        <v>//lrvl/zhbpqlnd/clnqtjz/rrn/hnr/gljrlhjm</v>
      </c>
      <c r="K242" s="2"/>
    </row>
    <row r="243">
      <c r="A243" s="1" t="s">
        <v>609</v>
      </c>
      <c r="B243" s="2" t="str">
        <f>IFERROR(__xludf.DUMMYFUNCTION("SPLIT(A243,"" "")"),"$ls")</f>
        <v>$ls</v>
      </c>
      <c r="D243" s="2" t="str">
        <f>IFERROR(__xludf.DUMMYFUNCTION("IF(AND(B243=""$cd"",C243&lt;&gt;""..""),CONCATENATE(D242,""/"",C243),IF(C243="".."",MID(D242,1,LEN(D242)-LEN(REGEXEXTRACT(D242,""(/\w*)$""))),D242))"),"//lrvl/zhbpqlnd/clnqtjz/rrn/hnr/gljrlhjm")</f>
        <v>//lrvl/zhbpqlnd/clnqtjz/rrn/hnr/gljrlhjm</v>
      </c>
      <c r="K243" s="2"/>
    </row>
    <row r="244">
      <c r="A244" s="1" t="s">
        <v>151</v>
      </c>
      <c r="B244" s="2" t="str">
        <f>IFERROR(__xludf.DUMMYFUNCTION("SPLIT(A244,"" "")"),"dir")</f>
        <v>dir</v>
      </c>
      <c r="C244" s="2" t="str">
        <f>IFERROR(__xludf.DUMMYFUNCTION("""COMPUTED_VALUE"""),"wjwqrnj")</f>
        <v>wjwqrnj</v>
      </c>
      <c r="D244" s="2" t="str">
        <f>IFERROR(__xludf.DUMMYFUNCTION("IF(AND(B244=""$cd"",C244&lt;&gt;""..""),CONCATENATE(D243,""/"",C244),IF(C244="".."",MID(D243,1,LEN(D243)-LEN(REGEXEXTRACT(D243,""(/\w*)$""))),D243))"),"//lrvl/zhbpqlnd/clnqtjz/rrn/hnr/gljrlhjm")</f>
        <v>//lrvl/zhbpqlnd/clnqtjz/rrn/hnr/gljrlhjm</v>
      </c>
      <c r="K244" s="2"/>
    </row>
    <row r="245">
      <c r="A245" s="1" t="s">
        <v>648</v>
      </c>
      <c r="B245" s="2" t="str">
        <f>IFERROR(__xludf.DUMMYFUNCTION("SPLIT(A245,"" "")"),"$cd")</f>
        <v>$cd</v>
      </c>
      <c r="C245" s="2" t="str">
        <f>IFERROR(__xludf.DUMMYFUNCTION("""COMPUTED_VALUE"""),"wjwqrnj")</f>
        <v>wjwqrnj</v>
      </c>
      <c r="D245" s="2" t="str">
        <f>IFERROR(__xludf.DUMMYFUNCTION("IF(AND(B245=""$cd"",C245&lt;&gt;""..""),CONCATENATE(D244,""/"",C245),IF(C245="".."",MID(D244,1,LEN(D244)-LEN(REGEXEXTRACT(D244,""(/\w*)$""))),D244))"),"//lrvl/zhbpqlnd/clnqtjz/rrn/hnr/gljrlhjm/wjwqrnj")</f>
        <v>//lrvl/zhbpqlnd/clnqtjz/rrn/hnr/gljrlhjm/wjwqrnj</v>
      </c>
      <c r="K245" s="2"/>
    </row>
    <row r="246">
      <c r="A246" s="1" t="s">
        <v>609</v>
      </c>
      <c r="B246" s="2" t="str">
        <f>IFERROR(__xludf.DUMMYFUNCTION("SPLIT(A246,"" "")"),"$ls")</f>
        <v>$ls</v>
      </c>
      <c r="D246" s="2" t="str">
        <f>IFERROR(__xludf.DUMMYFUNCTION("IF(AND(B246=""$cd"",C246&lt;&gt;""..""),CONCATENATE(D245,""/"",C246),IF(C246="".."",MID(D245,1,LEN(D245)-LEN(REGEXEXTRACT(D245,""(/\w*)$""))),D245))"),"//lrvl/zhbpqlnd/clnqtjz/rrn/hnr/gljrlhjm/wjwqrnj")</f>
        <v>//lrvl/zhbpqlnd/clnqtjz/rrn/hnr/gljrlhjm/wjwqrnj</v>
      </c>
      <c r="K246" s="2"/>
    </row>
    <row r="247">
      <c r="A247" s="1" t="s">
        <v>153</v>
      </c>
      <c r="B247" s="2">
        <f>IFERROR(__xludf.DUMMYFUNCTION("SPLIT(A247,"" "")"),142366.0)</f>
        <v>142366</v>
      </c>
      <c r="C247" s="2" t="str">
        <f>IFERROR(__xludf.DUMMYFUNCTION("""COMPUTED_VALUE"""),"gshl.qfc")</f>
        <v>gshl.qfc</v>
      </c>
      <c r="D247" s="2" t="str">
        <f>IFERROR(__xludf.DUMMYFUNCTION("IF(AND(B247=""$cd"",C247&lt;&gt;""..""),CONCATENATE(D246,""/"",C247),IF(C247="".."",MID(D246,1,LEN(D246)-LEN(REGEXEXTRACT(D246,""(/\w*)$""))),D246))"),"//lrvl/zhbpqlnd/clnqtjz/rrn/hnr/gljrlhjm/wjwqrnj")</f>
        <v>//lrvl/zhbpqlnd/clnqtjz/rrn/hnr/gljrlhjm/wjwqrnj</v>
      </c>
      <c r="K247" s="2"/>
    </row>
    <row r="248">
      <c r="A248" s="1" t="s">
        <v>612</v>
      </c>
      <c r="B248" s="2" t="str">
        <f>IFERROR(__xludf.DUMMYFUNCTION("SPLIT(A248,"" "")"),"$cd")</f>
        <v>$cd</v>
      </c>
      <c r="C248" s="2" t="str">
        <f>IFERROR(__xludf.DUMMYFUNCTION("""COMPUTED_VALUE"""),"..")</f>
        <v>..</v>
      </c>
      <c r="D248" s="2" t="str">
        <f>IFERROR(__xludf.DUMMYFUNCTION("IF(AND(B248=""$cd"",C248&lt;&gt;""..""),CONCATENATE(D247,""/"",C248),IF(C248="".."",MID(D247,1,LEN(D247)-LEN(REGEXEXTRACT(D247,""(/\w*)$""))),D247))"),"//lrvl/zhbpqlnd/clnqtjz/rrn/hnr/gljrlhjm")</f>
        <v>//lrvl/zhbpqlnd/clnqtjz/rrn/hnr/gljrlhjm</v>
      </c>
      <c r="K248" s="2"/>
    </row>
    <row r="249">
      <c r="A249" s="1" t="s">
        <v>612</v>
      </c>
      <c r="B249" s="2" t="str">
        <f>IFERROR(__xludf.DUMMYFUNCTION("SPLIT(A249,"" "")"),"$cd")</f>
        <v>$cd</v>
      </c>
      <c r="C249" s="2" t="str">
        <f>IFERROR(__xludf.DUMMYFUNCTION("""COMPUTED_VALUE"""),"..")</f>
        <v>..</v>
      </c>
      <c r="D249" s="2" t="str">
        <f>IFERROR(__xludf.DUMMYFUNCTION("IF(AND(B249=""$cd"",C249&lt;&gt;""..""),CONCATENATE(D248,""/"",C249),IF(C249="".."",MID(D248,1,LEN(D248)-LEN(REGEXEXTRACT(D248,""(/\w*)$""))),D248))"),"//lrvl/zhbpqlnd/clnqtjz/rrn/hnr")</f>
        <v>//lrvl/zhbpqlnd/clnqtjz/rrn/hnr</v>
      </c>
      <c r="K249" s="2"/>
    </row>
    <row r="250">
      <c r="A250" s="1" t="s">
        <v>612</v>
      </c>
      <c r="B250" s="2" t="str">
        <f>IFERROR(__xludf.DUMMYFUNCTION("SPLIT(A250,"" "")"),"$cd")</f>
        <v>$cd</v>
      </c>
      <c r="C250" s="2" t="str">
        <f>IFERROR(__xludf.DUMMYFUNCTION("""COMPUTED_VALUE"""),"..")</f>
        <v>..</v>
      </c>
      <c r="D250" s="2" t="str">
        <f>IFERROR(__xludf.DUMMYFUNCTION("IF(AND(B250=""$cd"",C250&lt;&gt;""..""),CONCATENATE(D249,""/"",C250),IF(C250="".."",MID(D249,1,LEN(D249)-LEN(REGEXEXTRACT(D249,""(/\w*)$""))),D249))"),"//lrvl/zhbpqlnd/clnqtjz/rrn")</f>
        <v>//lrvl/zhbpqlnd/clnqtjz/rrn</v>
      </c>
      <c r="K250" s="2"/>
    </row>
    <row r="251">
      <c r="A251" s="1" t="s">
        <v>649</v>
      </c>
      <c r="B251" s="2" t="str">
        <f>IFERROR(__xludf.DUMMYFUNCTION("SPLIT(A251,"" "")"),"$cd")</f>
        <v>$cd</v>
      </c>
      <c r="C251" s="2" t="str">
        <f>IFERROR(__xludf.DUMMYFUNCTION("""COMPUTED_VALUE"""),"rdmgtf")</f>
        <v>rdmgtf</v>
      </c>
      <c r="D251" s="2" t="str">
        <f>IFERROR(__xludf.DUMMYFUNCTION("IF(AND(B251=""$cd"",C251&lt;&gt;""..""),CONCATENATE(D250,""/"",C251),IF(C251="".."",MID(D250,1,LEN(D250)-LEN(REGEXEXTRACT(D250,""(/\w*)$""))),D250))"),"//lrvl/zhbpqlnd/clnqtjz/rrn/rdmgtf")</f>
        <v>//lrvl/zhbpqlnd/clnqtjz/rrn/rdmgtf</v>
      </c>
      <c r="K251" s="2"/>
    </row>
    <row r="252">
      <c r="A252" s="1" t="s">
        <v>609</v>
      </c>
      <c r="B252" s="2" t="str">
        <f>IFERROR(__xludf.DUMMYFUNCTION("SPLIT(A252,"" "")"),"$ls")</f>
        <v>$ls</v>
      </c>
      <c r="D252" s="2" t="str">
        <f>IFERROR(__xludf.DUMMYFUNCTION("IF(AND(B252=""$cd"",C252&lt;&gt;""..""),CONCATENATE(D251,""/"",C252),IF(C252="".."",MID(D251,1,LEN(D251)-LEN(REGEXEXTRACT(D251,""(/\w*)$""))),D251))"),"//lrvl/zhbpqlnd/clnqtjz/rrn/rdmgtf")</f>
        <v>//lrvl/zhbpqlnd/clnqtjz/rrn/rdmgtf</v>
      </c>
      <c r="K252" s="2"/>
    </row>
    <row r="253">
      <c r="A253" s="1" t="s">
        <v>155</v>
      </c>
      <c r="B253" s="2">
        <f>IFERROR(__xludf.DUMMYFUNCTION("SPLIT(A253,"" "")"),193562.0)</f>
        <v>193562</v>
      </c>
      <c r="C253" s="2" t="str">
        <f>IFERROR(__xludf.DUMMYFUNCTION("""COMPUTED_VALUE"""),"gdrdnc.vml")</f>
        <v>gdrdnc.vml</v>
      </c>
      <c r="D253" s="2" t="str">
        <f>IFERROR(__xludf.DUMMYFUNCTION("IF(AND(B253=""$cd"",C253&lt;&gt;""..""),CONCATENATE(D252,""/"",C253),IF(C253="".."",MID(D252,1,LEN(D252)-LEN(REGEXEXTRACT(D252,""(/\w*)$""))),D252))"),"//lrvl/zhbpqlnd/clnqtjz/rrn/rdmgtf")</f>
        <v>//lrvl/zhbpqlnd/clnqtjz/rrn/rdmgtf</v>
      </c>
      <c r="K253" s="2"/>
    </row>
    <row r="254">
      <c r="A254" s="1" t="s">
        <v>156</v>
      </c>
      <c r="B254" s="2">
        <f>IFERROR(__xludf.DUMMYFUNCTION("SPLIT(A254,"" "")"),123723.0)</f>
        <v>123723</v>
      </c>
      <c r="C254" s="2" t="str">
        <f>IFERROR(__xludf.DUMMYFUNCTION("""COMPUTED_VALUE"""),"hmqfdht")</f>
        <v>hmqfdht</v>
      </c>
      <c r="D254" s="2" t="str">
        <f>IFERROR(__xludf.DUMMYFUNCTION("IF(AND(B254=""$cd"",C254&lt;&gt;""..""),CONCATENATE(D253,""/"",C254),IF(C254="".."",MID(D253,1,LEN(D253)-LEN(REGEXEXTRACT(D253,""(/\w*)$""))),D253))"),"//lrvl/zhbpqlnd/clnqtjz/rrn/rdmgtf")</f>
        <v>//lrvl/zhbpqlnd/clnqtjz/rrn/rdmgtf</v>
      </c>
      <c r="K254" s="2"/>
    </row>
    <row r="255">
      <c r="A255" s="1" t="s">
        <v>157</v>
      </c>
      <c r="B255" s="2" t="str">
        <f>IFERROR(__xludf.DUMMYFUNCTION("SPLIT(A255,"" "")"),"dir")</f>
        <v>dir</v>
      </c>
      <c r="C255" s="2" t="str">
        <f>IFERROR(__xludf.DUMMYFUNCTION("""COMPUTED_VALUE"""),"lzfntb")</f>
        <v>lzfntb</v>
      </c>
      <c r="D255" s="2" t="str">
        <f>IFERROR(__xludf.DUMMYFUNCTION("IF(AND(B255=""$cd"",C255&lt;&gt;""..""),CONCATENATE(D254,""/"",C255),IF(C255="".."",MID(D254,1,LEN(D254)-LEN(REGEXEXTRACT(D254,""(/\w*)$""))),D254))"),"//lrvl/zhbpqlnd/clnqtjz/rrn/rdmgtf")</f>
        <v>//lrvl/zhbpqlnd/clnqtjz/rrn/rdmgtf</v>
      </c>
      <c r="K255" s="2"/>
    </row>
    <row r="256">
      <c r="A256" s="1" t="s">
        <v>158</v>
      </c>
      <c r="B256" s="2" t="str">
        <f>IFERROR(__xludf.DUMMYFUNCTION("SPLIT(A256,"" "")"),"dir")</f>
        <v>dir</v>
      </c>
      <c r="C256" s="2" t="str">
        <f>IFERROR(__xludf.DUMMYFUNCTION("""COMPUTED_VALUE"""),"mjfwsmgd")</f>
        <v>mjfwsmgd</v>
      </c>
      <c r="D256" s="2" t="str">
        <f>IFERROR(__xludf.DUMMYFUNCTION("IF(AND(B256=""$cd"",C256&lt;&gt;""..""),CONCATENATE(D255,""/"",C256),IF(C256="".."",MID(D255,1,LEN(D255)-LEN(REGEXEXTRACT(D255,""(/\w*)$""))),D255))"),"//lrvl/zhbpqlnd/clnqtjz/rrn/rdmgtf")</f>
        <v>//lrvl/zhbpqlnd/clnqtjz/rrn/rdmgtf</v>
      </c>
      <c r="K256" s="2"/>
    </row>
    <row r="257">
      <c r="A257" s="1" t="s">
        <v>159</v>
      </c>
      <c r="B257" s="2">
        <f>IFERROR(__xludf.DUMMYFUNCTION("SPLIT(A257,"" "")"),208819.0)</f>
        <v>208819</v>
      </c>
      <c r="C257" s="2" t="str">
        <f>IFERROR(__xludf.DUMMYFUNCTION("""COMPUTED_VALUE"""),"nqbgcn.qfq")</f>
        <v>nqbgcn.qfq</v>
      </c>
      <c r="D257" s="2" t="str">
        <f>IFERROR(__xludf.DUMMYFUNCTION("IF(AND(B257=""$cd"",C257&lt;&gt;""..""),CONCATENATE(D256,""/"",C257),IF(C257="".."",MID(D256,1,LEN(D256)-LEN(REGEXEXTRACT(D256,""(/\w*)$""))),D256))"),"//lrvl/zhbpqlnd/clnqtjz/rrn/rdmgtf")</f>
        <v>//lrvl/zhbpqlnd/clnqtjz/rrn/rdmgtf</v>
      </c>
      <c r="K257" s="2"/>
    </row>
    <row r="258">
      <c r="A258" s="1" t="s">
        <v>160</v>
      </c>
      <c r="B258" s="2" t="str">
        <f>IFERROR(__xludf.DUMMYFUNCTION("SPLIT(A258,"" "")"),"dir")</f>
        <v>dir</v>
      </c>
      <c r="C258" s="2" t="str">
        <f>IFERROR(__xludf.DUMMYFUNCTION("""COMPUTED_VALUE"""),"tqh")</f>
        <v>tqh</v>
      </c>
      <c r="D258" s="2" t="str">
        <f>IFERROR(__xludf.DUMMYFUNCTION("IF(AND(B258=""$cd"",C258&lt;&gt;""..""),CONCATENATE(D257,""/"",C258),IF(C258="".."",MID(D257,1,LEN(D257)-LEN(REGEXEXTRACT(D257,""(/\w*)$""))),D257))"),"//lrvl/zhbpqlnd/clnqtjz/rrn/rdmgtf")</f>
        <v>//lrvl/zhbpqlnd/clnqtjz/rrn/rdmgtf</v>
      </c>
      <c r="K258" s="2"/>
    </row>
    <row r="259">
      <c r="A259" s="1" t="s">
        <v>650</v>
      </c>
      <c r="B259" s="2" t="str">
        <f>IFERROR(__xludf.DUMMYFUNCTION("SPLIT(A259,"" "")"),"$cd")</f>
        <v>$cd</v>
      </c>
      <c r="C259" s="2" t="str">
        <f>IFERROR(__xludf.DUMMYFUNCTION("""COMPUTED_VALUE"""),"lzfntb")</f>
        <v>lzfntb</v>
      </c>
      <c r="D259" s="2" t="str">
        <f>IFERROR(__xludf.DUMMYFUNCTION("IF(AND(B259=""$cd"",C259&lt;&gt;""..""),CONCATENATE(D258,""/"",C259),IF(C259="".."",MID(D258,1,LEN(D258)-LEN(REGEXEXTRACT(D258,""(/\w*)$""))),D258))"),"//lrvl/zhbpqlnd/clnqtjz/rrn/rdmgtf/lzfntb")</f>
        <v>//lrvl/zhbpqlnd/clnqtjz/rrn/rdmgtf/lzfntb</v>
      </c>
      <c r="K259" s="2"/>
    </row>
    <row r="260">
      <c r="A260" s="1" t="s">
        <v>609</v>
      </c>
      <c r="B260" s="2" t="str">
        <f>IFERROR(__xludf.DUMMYFUNCTION("SPLIT(A260,"" "")"),"$ls")</f>
        <v>$ls</v>
      </c>
      <c r="D260" s="2" t="str">
        <f>IFERROR(__xludf.DUMMYFUNCTION("IF(AND(B260=""$cd"",C260&lt;&gt;""..""),CONCATENATE(D259,""/"",C260),IF(C260="".."",MID(D259,1,LEN(D259)-LEN(REGEXEXTRACT(D259,""(/\w*)$""))),D259))"),"//lrvl/zhbpqlnd/clnqtjz/rrn/rdmgtf/lzfntb")</f>
        <v>//lrvl/zhbpqlnd/clnqtjz/rrn/rdmgtf/lzfntb</v>
      </c>
      <c r="K260" s="2"/>
    </row>
    <row r="261">
      <c r="A261" s="1" t="s">
        <v>162</v>
      </c>
      <c r="B261" s="2" t="str">
        <f>IFERROR(__xludf.DUMMYFUNCTION("SPLIT(A261,"" "")"),"dir")</f>
        <v>dir</v>
      </c>
      <c r="C261" s="2" t="str">
        <f>IFERROR(__xludf.DUMMYFUNCTION("""COMPUTED_VALUE"""),"gwnpsvw")</f>
        <v>gwnpsvw</v>
      </c>
      <c r="D261" s="2" t="str">
        <f>IFERROR(__xludf.DUMMYFUNCTION("IF(AND(B261=""$cd"",C261&lt;&gt;""..""),CONCATENATE(D260,""/"",C261),IF(C261="".."",MID(D260,1,LEN(D260)-LEN(REGEXEXTRACT(D260,""(/\w*)$""))),D260))"),"//lrvl/zhbpqlnd/clnqtjz/rrn/rdmgtf/lzfntb")</f>
        <v>//lrvl/zhbpqlnd/clnqtjz/rrn/rdmgtf/lzfntb</v>
      </c>
      <c r="K261" s="2"/>
    </row>
    <row r="262">
      <c r="A262" s="1" t="s">
        <v>163</v>
      </c>
      <c r="B262" s="2" t="str">
        <f>IFERROR(__xludf.DUMMYFUNCTION("SPLIT(A262,"" "")"),"dir")</f>
        <v>dir</v>
      </c>
      <c r="C262" s="2" t="str">
        <f>IFERROR(__xludf.DUMMYFUNCTION("""COMPUTED_VALUE"""),"rsgwzhp")</f>
        <v>rsgwzhp</v>
      </c>
      <c r="D262" s="2" t="str">
        <f>IFERROR(__xludf.DUMMYFUNCTION("IF(AND(B262=""$cd"",C262&lt;&gt;""..""),CONCATENATE(D261,""/"",C262),IF(C262="".."",MID(D261,1,LEN(D261)-LEN(REGEXEXTRACT(D261,""(/\w*)$""))),D261))"),"//lrvl/zhbpqlnd/clnqtjz/rrn/rdmgtf/lzfntb")</f>
        <v>//lrvl/zhbpqlnd/clnqtjz/rrn/rdmgtf/lzfntb</v>
      </c>
      <c r="K262" s="2"/>
    </row>
    <row r="263">
      <c r="A263" s="1" t="s">
        <v>164</v>
      </c>
      <c r="B263" s="2">
        <f>IFERROR(__xludf.DUMMYFUNCTION("SPLIT(A263,"" "")"),103487.0)</f>
        <v>103487</v>
      </c>
      <c r="C263" s="2" t="str">
        <f>IFERROR(__xludf.DUMMYFUNCTION("""COMPUTED_VALUE"""),"scvllbjh.pnw")</f>
        <v>scvllbjh.pnw</v>
      </c>
      <c r="D263" s="2" t="str">
        <f>IFERROR(__xludf.DUMMYFUNCTION("IF(AND(B263=""$cd"",C263&lt;&gt;""..""),CONCATENATE(D262,""/"",C263),IF(C263="".."",MID(D262,1,LEN(D262)-LEN(REGEXEXTRACT(D262,""(/\w*)$""))),D262))"),"//lrvl/zhbpqlnd/clnqtjz/rrn/rdmgtf/lzfntb")</f>
        <v>//lrvl/zhbpqlnd/clnqtjz/rrn/rdmgtf/lzfntb</v>
      </c>
      <c r="K263" s="2"/>
    </row>
    <row r="264">
      <c r="A264" s="1" t="s">
        <v>651</v>
      </c>
      <c r="B264" s="2" t="str">
        <f>IFERROR(__xludf.DUMMYFUNCTION("SPLIT(A264,"" "")"),"$cd")</f>
        <v>$cd</v>
      </c>
      <c r="C264" s="2" t="str">
        <f>IFERROR(__xludf.DUMMYFUNCTION("""COMPUTED_VALUE"""),"gwnpsvw")</f>
        <v>gwnpsvw</v>
      </c>
      <c r="D264" s="2" t="str">
        <f>IFERROR(__xludf.DUMMYFUNCTION("IF(AND(B264=""$cd"",C264&lt;&gt;""..""),CONCATENATE(D263,""/"",C264),IF(C264="".."",MID(D263,1,LEN(D263)-LEN(REGEXEXTRACT(D263,""(/\w*)$""))),D263))"),"//lrvl/zhbpqlnd/clnqtjz/rrn/rdmgtf/lzfntb/gwnpsvw")</f>
        <v>//lrvl/zhbpqlnd/clnqtjz/rrn/rdmgtf/lzfntb/gwnpsvw</v>
      </c>
      <c r="K264" s="2"/>
    </row>
    <row r="265">
      <c r="A265" s="1" t="s">
        <v>609</v>
      </c>
      <c r="B265" s="2" t="str">
        <f>IFERROR(__xludf.DUMMYFUNCTION("SPLIT(A265,"" "")"),"$ls")</f>
        <v>$ls</v>
      </c>
      <c r="D265" s="2" t="str">
        <f>IFERROR(__xludf.DUMMYFUNCTION("IF(AND(B265=""$cd"",C265&lt;&gt;""..""),CONCATENATE(D264,""/"",C265),IF(C265="".."",MID(D264,1,LEN(D264)-LEN(REGEXEXTRACT(D264,""(/\w*)$""))),D264))"),"//lrvl/zhbpqlnd/clnqtjz/rrn/rdmgtf/lzfntb/gwnpsvw")</f>
        <v>//lrvl/zhbpqlnd/clnqtjz/rrn/rdmgtf/lzfntb/gwnpsvw</v>
      </c>
      <c r="K265" s="2"/>
    </row>
    <row r="266">
      <c r="A266" s="1" t="s">
        <v>166</v>
      </c>
      <c r="B266" s="2" t="str">
        <f>IFERROR(__xludf.DUMMYFUNCTION("SPLIT(A266,"" "")"),"dir")</f>
        <v>dir</v>
      </c>
      <c r="C266" s="2" t="str">
        <f>IFERROR(__xludf.DUMMYFUNCTION("""COMPUTED_VALUE"""),"lqnz")</f>
        <v>lqnz</v>
      </c>
      <c r="D266" s="2" t="str">
        <f>IFERROR(__xludf.DUMMYFUNCTION("IF(AND(B266=""$cd"",C266&lt;&gt;""..""),CONCATENATE(D265,""/"",C266),IF(C266="".."",MID(D265,1,LEN(D265)-LEN(REGEXEXTRACT(D265,""(/\w*)$""))),D265))"),"//lrvl/zhbpqlnd/clnqtjz/rrn/rdmgtf/lzfntb/gwnpsvw")</f>
        <v>//lrvl/zhbpqlnd/clnqtjz/rrn/rdmgtf/lzfntb/gwnpsvw</v>
      </c>
      <c r="K266" s="2"/>
    </row>
    <row r="267">
      <c r="A267" s="1" t="s">
        <v>167</v>
      </c>
      <c r="B267" s="2">
        <f>IFERROR(__xludf.DUMMYFUNCTION("SPLIT(A267,"" "")"),81937.0)</f>
        <v>81937</v>
      </c>
      <c r="C267" s="2" t="str">
        <f>IFERROR(__xludf.DUMMYFUNCTION("""COMPUTED_VALUE"""),"zbdp.gqb")</f>
        <v>zbdp.gqb</v>
      </c>
      <c r="D267" s="2" t="str">
        <f>IFERROR(__xludf.DUMMYFUNCTION("IF(AND(B267=""$cd"",C267&lt;&gt;""..""),CONCATENATE(D266,""/"",C267),IF(C267="".."",MID(D266,1,LEN(D266)-LEN(REGEXEXTRACT(D266,""(/\w*)$""))),D266))"),"//lrvl/zhbpqlnd/clnqtjz/rrn/rdmgtf/lzfntb/gwnpsvw")</f>
        <v>//lrvl/zhbpqlnd/clnqtjz/rrn/rdmgtf/lzfntb/gwnpsvw</v>
      </c>
      <c r="K267" s="2"/>
    </row>
    <row r="268">
      <c r="A268" s="1" t="s">
        <v>652</v>
      </c>
      <c r="B268" s="2" t="str">
        <f>IFERROR(__xludf.DUMMYFUNCTION("SPLIT(A268,"" "")"),"$cd")</f>
        <v>$cd</v>
      </c>
      <c r="C268" s="2" t="str">
        <f>IFERROR(__xludf.DUMMYFUNCTION("""COMPUTED_VALUE"""),"lqnz")</f>
        <v>lqnz</v>
      </c>
      <c r="D268" s="2" t="str">
        <f>IFERROR(__xludf.DUMMYFUNCTION("IF(AND(B268=""$cd"",C268&lt;&gt;""..""),CONCATENATE(D267,""/"",C268),IF(C268="".."",MID(D267,1,LEN(D267)-LEN(REGEXEXTRACT(D267,""(/\w*)$""))),D267))"),"//lrvl/zhbpqlnd/clnqtjz/rrn/rdmgtf/lzfntb/gwnpsvw/lqnz")</f>
        <v>//lrvl/zhbpqlnd/clnqtjz/rrn/rdmgtf/lzfntb/gwnpsvw/lqnz</v>
      </c>
      <c r="K268" s="2"/>
    </row>
    <row r="269">
      <c r="A269" s="1" t="s">
        <v>609</v>
      </c>
      <c r="B269" s="2" t="str">
        <f>IFERROR(__xludf.DUMMYFUNCTION("SPLIT(A269,"" "")"),"$ls")</f>
        <v>$ls</v>
      </c>
      <c r="D269" s="2" t="str">
        <f>IFERROR(__xludf.DUMMYFUNCTION("IF(AND(B269=""$cd"",C269&lt;&gt;""..""),CONCATENATE(D268,""/"",C269),IF(C269="".."",MID(D268,1,LEN(D268)-LEN(REGEXEXTRACT(D268,""(/\w*)$""))),D268))"),"//lrvl/zhbpqlnd/clnqtjz/rrn/rdmgtf/lzfntb/gwnpsvw/lqnz")</f>
        <v>//lrvl/zhbpqlnd/clnqtjz/rrn/rdmgtf/lzfntb/gwnpsvw/lqnz</v>
      </c>
      <c r="K269" s="2"/>
    </row>
    <row r="270">
      <c r="A270" s="1" t="s">
        <v>169</v>
      </c>
      <c r="B270" s="2">
        <f>IFERROR(__xludf.DUMMYFUNCTION("SPLIT(A270,"" "")"),27250.0)</f>
        <v>27250</v>
      </c>
      <c r="C270" s="2" t="str">
        <f>IFERROR(__xludf.DUMMYFUNCTION("""COMPUTED_VALUE"""),"zcgrgff")</f>
        <v>zcgrgff</v>
      </c>
      <c r="D270" s="2" t="str">
        <f>IFERROR(__xludf.DUMMYFUNCTION("IF(AND(B270=""$cd"",C270&lt;&gt;""..""),CONCATENATE(D269,""/"",C270),IF(C270="".."",MID(D269,1,LEN(D269)-LEN(REGEXEXTRACT(D269,""(/\w*)$""))),D269))"),"//lrvl/zhbpqlnd/clnqtjz/rrn/rdmgtf/lzfntb/gwnpsvw/lqnz")</f>
        <v>//lrvl/zhbpqlnd/clnqtjz/rrn/rdmgtf/lzfntb/gwnpsvw/lqnz</v>
      </c>
      <c r="K270" s="2"/>
    </row>
    <row r="271">
      <c r="A271" s="1" t="s">
        <v>612</v>
      </c>
      <c r="B271" s="2" t="str">
        <f>IFERROR(__xludf.DUMMYFUNCTION("SPLIT(A271,"" "")"),"$cd")</f>
        <v>$cd</v>
      </c>
      <c r="C271" s="2" t="str">
        <f>IFERROR(__xludf.DUMMYFUNCTION("""COMPUTED_VALUE"""),"..")</f>
        <v>..</v>
      </c>
      <c r="D271" s="2" t="str">
        <f>IFERROR(__xludf.DUMMYFUNCTION("IF(AND(B271=""$cd"",C271&lt;&gt;""..""),CONCATENATE(D270,""/"",C271),IF(C271="".."",MID(D270,1,LEN(D270)-LEN(REGEXEXTRACT(D270,""(/\w*)$""))),D270))"),"//lrvl/zhbpqlnd/clnqtjz/rrn/rdmgtf/lzfntb/gwnpsvw")</f>
        <v>//lrvl/zhbpqlnd/clnqtjz/rrn/rdmgtf/lzfntb/gwnpsvw</v>
      </c>
      <c r="K271" s="2"/>
    </row>
    <row r="272">
      <c r="A272" s="1" t="s">
        <v>612</v>
      </c>
      <c r="B272" s="2" t="str">
        <f>IFERROR(__xludf.DUMMYFUNCTION("SPLIT(A272,"" "")"),"$cd")</f>
        <v>$cd</v>
      </c>
      <c r="C272" s="2" t="str">
        <f>IFERROR(__xludf.DUMMYFUNCTION("""COMPUTED_VALUE"""),"..")</f>
        <v>..</v>
      </c>
      <c r="D272" s="2" t="str">
        <f>IFERROR(__xludf.DUMMYFUNCTION("IF(AND(B272=""$cd"",C272&lt;&gt;""..""),CONCATENATE(D271,""/"",C272),IF(C272="".."",MID(D271,1,LEN(D271)-LEN(REGEXEXTRACT(D271,""(/\w*)$""))),D271))"),"//lrvl/zhbpqlnd/clnqtjz/rrn/rdmgtf/lzfntb")</f>
        <v>//lrvl/zhbpqlnd/clnqtjz/rrn/rdmgtf/lzfntb</v>
      </c>
      <c r="K272" s="2"/>
    </row>
    <row r="273">
      <c r="A273" s="1" t="s">
        <v>653</v>
      </c>
      <c r="B273" s="2" t="str">
        <f>IFERROR(__xludf.DUMMYFUNCTION("SPLIT(A273,"" "")"),"$cd")</f>
        <v>$cd</v>
      </c>
      <c r="C273" s="2" t="str">
        <f>IFERROR(__xludf.DUMMYFUNCTION("""COMPUTED_VALUE"""),"rsgwzhp")</f>
        <v>rsgwzhp</v>
      </c>
      <c r="D273" s="2" t="str">
        <f>IFERROR(__xludf.DUMMYFUNCTION("IF(AND(B273=""$cd"",C273&lt;&gt;""..""),CONCATENATE(D272,""/"",C273),IF(C273="".."",MID(D272,1,LEN(D272)-LEN(REGEXEXTRACT(D272,""(/\w*)$""))),D272))"),"//lrvl/zhbpqlnd/clnqtjz/rrn/rdmgtf/lzfntb/rsgwzhp")</f>
        <v>//lrvl/zhbpqlnd/clnqtjz/rrn/rdmgtf/lzfntb/rsgwzhp</v>
      </c>
      <c r="K273" s="2"/>
    </row>
    <row r="274">
      <c r="A274" s="1" t="s">
        <v>609</v>
      </c>
      <c r="B274" s="2" t="str">
        <f>IFERROR(__xludf.DUMMYFUNCTION("SPLIT(A274,"" "")"),"$ls")</f>
        <v>$ls</v>
      </c>
      <c r="D274" s="2" t="str">
        <f>IFERROR(__xludf.DUMMYFUNCTION("IF(AND(B274=""$cd"",C274&lt;&gt;""..""),CONCATENATE(D273,""/"",C274),IF(C274="".."",MID(D273,1,LEN(D273)-LEN(REGEXEXTRACT(D273,""(/\w*)$""))),D273))"),"//lrvl/zhbpqlnd/clnqtjz/rrn/rdmgtf/lzfntb/rsgwzhp")</f>
        <v>//lrvl/zhbpqlnd/clnqtjz/rrn/rdmgtf/lzfntb/rsgwzhp</v>
      </c>
      <c r="K274" s="2"/>
    </row>
    <row r="275">
      <c r="A275" s="1" t="s">
        <v>171</v>
      </c>
      <c r="B275" s="2" t="str">
        <f>IFERROR(__xludf.DUMMYFUNCTION("SPLIT(A275,"" "")"),"dir")</f>
        <v>dir</v>
      </c>
      <c r="C275" s="2" t="str">
        <f>IFERROR(__xludf.DUMMYFUNCTION("""COMPUTED_VALUE"""),"hhz")</f>
        <v>hhz</v>
      </c>
      <c r="D275" s="2" t="str">
        <f>IFERROR(__xludf.DUMMYFUNCTION("IF(AND(B275=""$cd"",C275&lt;&gt;""..""),CONCATENATE(D274,""/"",C275),IF(C275="".."",MID(D274,1,LEN(D274)-LEN(REGEXEXTRACT(D274,""(/\w*)$""))),D274))"),"//lrvl/zhbpqlnd/clnqtjz/rrn/rdmgtf/lzfntb/rsgwzhp")</f>
        <v>//lrvl/zhbpqlnd/clnqtjz/rrn/rdmgtf/lzfntb/rsgwzhp</v>
      </c>
      <c r="K275" s="2"/>
    </row>
    <row r="276">
      <c r="A276" s="1" t="s">
        <v>654</v>
      </c>
      <c r="B276" s="2" t="str">
        <f>IFERROR(__xludf.DUMMYFUNCTION("SPLIT(A276,"" "")"),"$cd")</f>
        <v>$cd</v>
      </c>
      <c r="C276" s="2" t="str">
        <f>IFERROR(__xludf.DUMMYFUNCTION("""COMPUTED_VALUE"""),"hhz")</f>
        <v>hhz</v>
      </c>
      <c r="D276" s="2" t="str">
        <f>IFERROR(__xludf.DUMMYFUNCTION("IF(AND(B276=""$cd"",C276&lt;&gt;""..""),CONCATENATE(D275,""/"",C276),IF(C276="".."",MID(D275,1,LEN(D275)-LEN(REGEXEXTRACT(D275,""(/\w*)$""))),D275))"),"//lrvl/zhbpqlnd/clnqtjz/rrn/rdmgtf/lzfntb/rsgwzhp/hhz")</f>
        <v>//lrvl/zhbpqlnd/clnqtjz/rrn/rdmgtf/lzfntb/rsgwzhp/hhz</v>
      </c>
      <c r="K276" s="2"/>
    </row>
    <row r="277">
      <c r="A277" s="1" t="s">
        <v>609</v>
      </c>
      <c r="B277" s="2" t="str">
        <f>IFERROR(__xludf.DUMMYFUNCTION("SPLIT(A277,"" "")"),"$ls")</f>
        <v>$ls</v>
      </c>
      <c r="D277" s="2" t="str">
        <f>IFERROR(__xludf.DUMMYFUNCTION("IF(AND(B277=""$cd"",C277&lt;&gt;""..""),CONCATENATE(D276,""/"",C277),IF(C277="".."",MID(D276,1,LEN(D276)-LEN(REGEXEXTRACT(D276,""(/\w*)$""))),D276))"),"//lrvl/zhbpqlnd/clnqtjz/rrn/rdmgtf/lzfntb/rsgwzhp/hhz")</f>
        <v>//lrvl/zhbpqlnd/clnqtjz/rrn/rdmgtf/lzfntb/rsgwzhp/hhz</v>
      </c>
      <c r="K277" s="2"/>
    </row>
    <row r="278">
      <c r="A278" s="1" t="s">
        <v>173</v>
      </c>
      <c r="B278" s="2">
        <f>IFERROR(__xludf.DUMMYFUNCTION("SPLIT(A278,"" "")"),46435.0)</f>
        <v>46435</v>
      </c>
      <c r="C278" s="2" t="str">
        <f>IFERROR(__xludf.DUMMYFUNCTION("""COMPUTED_VALUE"""),"djvfz")</f>
        <v>djvfz</v>
      </c>
      <c r="D278" s="2" t="str">
        <f>IFERROR(__xludf.DUMMYFUNCTION("IF(AND(B278=""$cd"",C278&lt;&gt;""..""),CONCATENATE(D277,""/"",C278),IF(C278="".."",MID(D277,1,LEN(D277)-LEN(REGEXEXTRACT(D277,""(/\w*)$""))),D277))"),"//lrvl/zhbpqlnd/clnqtjz/rrn/rdmgtf/lzfntb/rsgwzhp/hhz")</f>
        <v>//lrvl/zhbpqlnd/clnqtjz/rrn/rdmgtf/lzfntb/rsgwzhp/hhz</v>
      </c>
      <c r="K278" s="2"/>
    </row>
    <row r="279">
      <c r="A279" s="1" t="s">
        <v>612</v>
      </c>
      <c r="B279" s="2" t="str">
        <f>IFERROR(__xludf.DUMMYFUNCTION("SPLIT(A279,"" "")"),"$cd")</f>
        <v>$cd</v>
      </c>
      <c r="C279" s="2" t="str">
        <f>IFERROR(__xludf.DUMMYFUNCTION("""COMPUTED_VALUE"""),"..")</f>
        <v>..</v>
      </c>
      <c r="D279" s="2" t="str">
        <f>IFERROR(__xludf.DUMMYFUNCTION("IF(AND(B279=""$cd"",C279&lt;&gt;""..""),CONCATENATE(D278,""/"",C279),IF(C279="".."",MID(D278,1,LEN(D278)-LEN(REGEXEXTRACT(D278,""(/\w*)$""))),D278))"),"//lrvl/zhbpqlnd/clnqtjz/rrn/rdmgtf/lzfntb/rsgwzhp")</f>
        <v>//lrvl/zhbpqlnd/clnqtjz/rrn/rdmgtf/lzfntb/rsgwzhp</v>
      </c>
      <c r="K279" s="2"/>
    </row>
    <row r="280">
      <c r="A280" s="1" t="s">
        <v>612</v>
      </c>
      <c r="B280" s="2" t="str">
        <f>IFERROR(__xludf.DUMMYFUNCTION("SPLIT(A280,"" "")"),"$cd")</f>
        <v>$cd</v>
      </c>
      <c r="C280" s="2" t="str">
        <f>IFERROR(__xludf.DUMMYFUNCTION("""COMPUTED_VALUE"""),"..")</f>
        <v>..</v>
      </c>
      <c r="D280" s="2" t="str">
        <f>IFERROR(__xludf.DUMMYFUNCTION("IF(AND(B280=""$cd"",C280&lt;&gt;""..""),CONCATENATE(D279,""/"",C280),IF(C280="".."",MID(D279,1,LEN(D279)-LEN(REGEXEXTRACT(D279,""(/\w*)$""))),D279))"),"//lrvl/zhbpqlnd/clnqtjz/rrn/rdmgtf/lzfntb")</f>
        <v>//lrvl/zhbpqlnd/clnqtjz/rrn/rdmgtf/lzfntb</v>
      </c>
      <c r="K280" s="2"/>
    </row>
    <row r="281">
      <c r="A281" s="1" t="s">
        <v>612</v>
      </c>
      <c r="B281" s="2" t="str">
        <f>IFERROR(__xludf.DUMMYFUNCTION("SPLIT(A281,"" "")"),"$cd")</f>
        <v>$cd</v>
      </c>
      <c r="C281" s="2" t="str">
        <f>IFERROR(__xludf.DUMMYFUNCTION("""COMPUTED_VALUE"""),"..")</f>
        <v>..</v>
      </c>
      <c r="D281" s="2" t="str">
        <f>IFERROR(__xludf.DUMMYFUNCTION("IF(AND(B281=""$cd"",C281&lt;&gt;""..""),CONCATENATE(D280,""/"",C281),IF(C281="".."",MID(D280,1,LEN(D280)-LEN(REGEXEXTRACT(D280,""(/\w*)$""))),D280))"),"//lrvl/zhbpqlnd/clnqtjz/rrn/rdmgtf")</f>
        <v>//lrvl/zhbpqlnd/clnqtjz/rrn/rdmgtf</v>
      </c>
      <c r="K281" s="2"/>
    </row>
    <row r="282">
      <c r="A282" s="1" t="s">
        <v>655</v>
      </c>
      <c r="B282" s="2" t="str">
        <f>IFERROR(__xludf.DUMMYFUNCTION("SPLIT(A282,"" "")"),"$cd")</f>
        <v>$cd</v>
      </c>
      <c r="C282" s="2" t="str">
        <f>IFERROR(__xludf.DUMMYFUNCTION("""COMPUTED_VALUE"""),"mjfwsmgd")</f>
        <v>mjfwsmgd</v>
      </c>
      <c r="D282" s="2" t="str">
        <f>IFERROR(__xludf.DUMMYFUNCTION("IF(AND(B282=""$cd"",C282&lt;&gt;""..""),CONCATENATE(D281,""/"",C282),IF(C282="".."",MID(D281,1,LEN(D281)-LEN(REGEXEXTRACT(D281,""(/\w*)$""))),D281))"),"//lrvl/zhbpqlnd/clnqtjz/rrn/rdmgtf/mjfwsmgd")</f>
        <v>//lrvl/zhbpqlnd/clnqtjz/rrn/rdmgtf/mjfwsmgd</v>
      </c>
      <c r="K282" s="2"/>
    </row>
    <row r="283">
      <c r="A283" s="1" t="s">
        <v>609</v>
      </c>
      <c r="B283" s="2" t="str">
        <f>IFERROR(__xludf.DUMMYFUNCTION("SPLIT(A283,"" "")"),"$ls")</f>
        <v>$ls</v>
      </c>
      <c r="D283" s="2" t="str">
        <f>IFERROR(__xludf.DUMMYFUNCTION("IF(AND(B283=""$cd"",C283&lt;&gt;""..""),CONCATENATE(D282,""/"",C283),IF(C283="".."",MID(D282,1,LEN(D282)-LEN(REGEXEXTRACT(D282,""(/\w*)$""))),D282))"),"//lrvl/zhbpqlnd/clnqtjz/rrn/rdmgtf/mjfwsmgd")</f>
        <v>//lrvl/zhbpqlnd/clnqtjz/rrn/rdmgtf/mjfwsmgd</v>
      </c>
      <c r="K283" s="2"/>
    </row>
    <row r="284">
      <c r="A284" s="1" t="s">
        <v>175</v>
      </c>
      <c r="B284" s="2">
        <f>IFERROR(__xludf.DUMMYFUNCTION("SPLIT(A284,"" "")"),25726.0)</f>
        <v>25726</v>
      </c>
      <c r="C284" s="2" t="str">
        <f>IFERROR(__xludf.DUMMYFUNCTION("""COMPUTED_VALUE"""),"clcvm")</f>
        <v>clcvm</v>
      </c>
      <c r="D284" s="2" t="str">
        <f>IFERROR(__xludf.DUMMYFUNCTION("IF(AND(B284=""$cd"",C284&lt;&gt;""..""),CONCATENATE(D283,""/"",C284),IF(C284="".."",MID(D283,1,LEN(D283)-LEN(REGEXEXTRACT(D283,""(/\w*)$""))),D283))"),"//lrvl/zhbpqlnd/clnqtjz/rrn/rdmgtf/mjfwsmgd")</f>
        <v>//lrvl/zhbpqlnd/clnqtjz/rrn/rdmgtf/mjfwsmgd</v>
      </c>
      <c r="K284" s="2"/>
    </row>
    <row r="285">
      <c r="A285" s="1" t="s">
        <v>176</v>
      </c>
      <c r="B285" s="2">
        <f>IFERROR(__xludf.DUMMYFUNCTION("SPLIT(A285,"" "")"),170085.0)</f>
        <v>170085</v>
      </c>
      <c r="C285" s="2" t="str">
        <f>IFERROR(__xludf.DUMMYFUNCTION("""COMPUTED_VALUE"""),"zbdp.gqb")</f>
        <v>zbdp.gqb</v>
      </c>
      <c r="D285" s="2" t="str">
        <f>IFERROR(__xludf.DUMMYFUNCTION("IF(AND(B285=""$cd"",C285&lt;&gt;""..""),CONCATENATE(D284,""/"",C285),IF(C285="".."",MID(D284,1,LEN(D284)-LEN(REGEXEXTRACT(D284,""(/\w*)$""))),D284))"),"//lrvl/zhbpqlnd/clnqtjz/rrn/rdmgtf/mjfwsmgd")</f>
        <v>//lrvl/zhbpqlnd/clnqtjz/rrn/rdmgtf/mjfwsmgd</v>
      </c>
      <c r="K285" s="2"/>
    </row>
    <row r="286">
      <c r="A286" s="1" t="s">
        <v>612</v>
      </c>
      <c r="B286" s="2" t="str">
        <f>IFERROR(__xludf.DUMMYFUNCTION("SPLIT(A286,"" "")"),"$cd")</f>
        <v>$cd</v>
      </c>
      <c r="C286" s="2" t="str">
        <f>IFERROR(__xludf.DUMMYFUNCTION("""COMPUTED_VALUE"""),"..")</f>
        <v>..</v>
      </c>
      <c r="D286" s="2" t="str">
        <f>IFERROR(__xludf.DUMMYFUNCTION("IF(AND(B286=""$cd"",C286&lt;&gt;""..""),CONCATENATE(D285,""/"",C286),IF(C286="".."",MID(D285,1,LEN(D285)-LEN(REGEXEXTRACT(D285,""(/\w*)$""))),D285))"),"//lrvl/zhbpqlnd/clnqtjz/rrn/rdmgtf")</f>
        <v>//lrvl/zhbpqlnd/clnqtjz/rrn/rdmgtf</v>
      </c>
      <c r="K286" s="2"/>
    </row>
    <row r="287">
      <c r="A287" s="1" t="s">
        <v>656</v>
      </c>
      <c r="B287" s="2" t="str">
        <f>IFERROR(__xludf.DUMMYFUNCTION("SPLIT(A287,"" "")"),"$cd")</f>
        <v>$cd</v>
      </c>
      <c r="C287" s="2" t="str">
        <f>IFERROR(__xludf.DUMMYFUNCTION("""COMPUTED_VALUE"""),"tqh")</f>
        <v>tqh</v>
      </c>
      <c r="D287" s="2" t="str">
        <f>IFERROR(__xludf.DUMMYFUNCTION("IF(AND(B287=""$cd"",C287&lt;&gt;""..""),CONCATENATE(D286,""/"",C287),IF(C287="".."",MID(D286,1,LEN(D286)-LEN(REGEXEXTRACT(D286,""(/\w*)$""))),D286))"),"//lrvl/zhbpqlnd/clnqtjz/rrn/rdmgtf/tqh")</f>
        <v>//lrvl/zhbpqlnd/clnqtjz/rrn/rdmgtf/tqh</v>
      </c>
      <c r="K287" s="2"/>
    </row>
    <row r="288">
      <c r="A288" s="1" t="s">
        <v>609</v>
      </c>
      <c r="B288" s="2" t="str">
        <f>IFERROR(__xludf.DUMMYFUNCTION("SPLIT(A288,"" "")"),"$ls")</f>
        <v>$ls</v>
      </c>
      <c r="D288" s="2" t="str">
        <f>IFERROR(__xludf.DUMMYFUNCTION("IF(AND(B288=""$cd"",C288&lt;&gt;""..""),CONCATENATE(D287,""/"",C288),IF(C288="".."",MID(D287,1,LEN(D287)-LEN(REGEXEXTRACT(D287,""(/\w*)$""))),D287))"),"//lrvl/zhbpqlnd/clnqtjz/rrn/rdmgtf/tqh")</f>
        <v>//lrvl/zhbpqlnd/clnqtjz/rrn/rdmgtf/tqh</v>
      </c>
      <c r="K288" s="2"/>
    </row>
    <row r="289">
      <c r="A289" s="1" t="s">
        <v>178</v>
      </c>
      <c r="B289" s="2">
        <f>IFERROR(__xludf.DUMMYFUNCTION("SPLIT(A289,"" "")"),111272.0)</f>
        <v>111272</v>
      </c>
      <c r="C289" s="2" t="str">
        <f>IFERROR(__xludf.DUMMYFUNCTION("""COMPUTED_VALUE"""),"gdq.llg")</f>
        <v>gdq.llg</v>
      </c>
      <c r="D289" s="2" t="str">
        <f>IFERROR(__xludf.DUMMYFUNCTION("IF(AND(B289=""$cd"",C289&lt;&gt;""..""),CONCATENATE(D288,""/"",C289),IF(C289="".."",MID(D288,1,LEN(D288)-LEN(REGEXEXTRACT(D288,""(/\w*)$""))),D288))"),"//lrvl/zhbpqlnd/clnqtjz/rrn/rdmgtf/tqh")</f>
        <v>//lrvl/zhbpqlnd/clnqtjz/rrn/rdmgtf/tqh</v>
      </c>
      <c r="K289" s="2"/>
    </row>
    <row r="290">
      <c r="A290" s="1" t="s">
        <v>179</v>
      </c>
      <c r="B290" s="2">
        <f>IFERROR(__xludf.DUMMYFUNCTION("SPLIT(A290,"" "")"),3215.0)</f>
        <v>3215</v>
      </c>
      <c r="C290" s="2" t="str">
        <f>IFERROR(__xludf.DUMMYFUNCTION("""COMPUTED_VALUE"""),"hdghs")</f>
        <v>hdghs</v>
      </c>
      <c r="D290" s="2" t="str">
        <f>IFERROR(__xludf.DUMMYFUNCTION("IF(AND(B290=""$cd"",C290&lt;&gt;""..""),CONCATENATE(D289,""/"",C290),IF(C290="".."",MID(D289,1,LEN(D289)-LEN(REGEXEXTRACT(D289,""(/\w*)$""))),D289))"),"//lrvl/zhbpqlnd/clnqtjz/rrn/rdmgtf/tqh")</f>
        <v>//lrvl/zhbpqlnd/clnqtjz/rrn/rdmgtf/tqh</v>
      </c>
      <c r="K290" s="2"/>
    </row>
    <row r="291">
      <c r="A291" s="1" t="s">
        <v>180</v>
      </c>
      <c r="B291" s="2" t="str">
        <f>IFERROR(__xludf.DUMMYFUNCTION("SPLIT(A291,"" "")"),"dir")</f>
        <v>dir</v>
      </c>
      <c r="C291" s="2" t="str">
        <f>IFERROR(__xludf.DUMMYFUNCTION("""COMPUTED_VALUE"""),"lpdcdr")</f>
        <v>lpdcdr</v>
      </c>
      <c r="D291" s="2" t="str">
        <f>IFERROR(__xludf.DUMMYFUNCTION("IF(AND(B291=""$cd"",C291&lt;&gt;""..""),CONCATENATE(D290,""/"",C291),IF(C291="".."",MID(D290,1,LEN(D290)-LEN(REGEXEXTRACT(D290,""(/\w*)$""))),D290))"),"//lrvl/zhbpqlnd/clnqtjz/rrn/rdmgtf/tqh")</f>
        <v>//lrvl/zhbpqlnd/clnqtjz/rrn/rdmgtf/tqh</v>
      </c>
      <c r="K291" s="2"/>
    </row>
    <row r="292">
      <c r="A292" s="1" t="s">
        <v>181</v>
      </c>
      <c r="B292" s="2" t="str">
        <f>IFERROR(__xludf.DUMMYFUNCTION("SPLIT(A292,"" "")"),"dir")</f>
        <v>dir</v>
      </c>
      <c r="C292" s="2" t="str">
        <f>IFERROR(__xludf.DUMMYFUNCTION("""COMPUTED_VALUE"""),"vhfr")</f>
        <v>vhfr</v>
      </c>
      <c r="D292" s="2" t="str">
        <f>IFERROR(__xludf.DUMMYFUNCTION("IF(AND(B292=""$cd"",C292&lt;&gt;""..""),CONCATENATE(D291,""/"",C292),IF(C292="".."",MID(D291,1,LEN(D291)-LEN(REGEXEXTRACT(D291,""(/\w*)$""))),D291))"),"//lrvl/zhbpqlnd/clnqtjz/rrn/rdmgtf/tqh")</f>
        <v>//lrvl/zhbpqlnd/clnqtjz/rrn/rdmgtf/tqh</v>
      </c>
      <c r="K292" s="2"/>
    </row>
    <row r="293">
      <c r="A293" s="1" t="s">
        <v>657</v>
      </c>
      <c r="B293" s="2" t="str">
        <f>IFERROR(__xludf.DUMMYFUNCTION("SPLIT(A293,"" "")"),"$cd")</f>
        <v>$cd</v>
      </c>
      <c r="C293" s="2" t="str">
        <f>IFERROR(__xludf.DUMMYFUNCTION("""COMPUTED_VALUE"""),"lpdcdr")</f>
        <v>lpdcdr</v>
      </c>
      <c r="D293" s="2" t="str">
        <f>IFERROR(__xludf.DUMMYFUNCTION("IF(AND(B293=""$cd"",C293&lt;&gt;""..""),CONCATENATE(D292,""/"",C293),IF(C293="".."",MID(D292,1,LEN(D292)-LEN(REGEXEXTRACT(D292,""(/\w*)$""))),D292))"),"//lrvl/zhbpqlnd/clnqtjz/rrn/rdmgtf/tqh/lpdcdr")</f>
        <v>//lrvl/zhbpqlnd/clnqtjz/rrn/rdmgtf/tqh/lpdcdr</v>
      </c>
      <c r="K293" s="2"/>
    </row>
    <row r="294">
      <c r="A294" s="1" t="s">
        <v>609</v>
      </c>
      <c r="B294" s="2" t="str">
        <f>IFERROR(__xludf.DUMMYFUNCTION("SPLIT(A294,"" "")"),"$ls")</f>
        <v>$ls</v>
      </c>
      <c r="D294" s="2" t="str">
        <f>IFERROR(__xludf.DUMMYFUNCTION("IF(AND(B294=""$cd"",C294&lt;&gt;""..""),CONCATENATE(D293,""/"",C294),IF(C294="".."",MID(D293,1,LEN(D293)-LEN(REGEXEXTRACT(D293,""(/\w*)$""))),D293))"),"//lrvl/zhbpqlnd/clnqtjz/rrn/rdmgtf/tqh/lpdcdr")</f>
        <v>//lrvl/zhbpqlnd/clnqtjz/rrn/rdmgtf/tqh/lpdcdr</v>
      </c>
      <c r="K294" s="2"/>
    </row>
    <row r="295">
      <c r="A295" s="1" t="s">
        <v>183</v>
      </c>
      <c r="B295" s="2">
        <f>IFERROR(__xludf.DUMMYFUNCTION("SPLIT(A295,"" "")"),203902.0)</f>
        <v>203902</v>
      </c>
      <c r="C295" s="2" t="str">
        <f>IFERROR(__xludf.DUMMYFUNCTION("""COMPUTED_VALUE"""),"hmqfdht")</f>
        <v>hmqfdht</v>
      </c>
      <c r="D295" s="2" t="str">
        <f>IFERROR(__xludf.DUMMYFUNCTION("IF(AND(B295=""$cd"",C295&lt;&gt;""..""),CONCATENATE(D294,""/"",C295),IF(C295="".."",MID(D294,1,LEN(D294)-LEN(REGEXEXTRACT(D294,""(/\w*)$""))),D294))"),"//lrvl/zhbpqlnd/clnqtjz/rrn/rdmgtf/tqh/lpdcdr")</f>
        <v>//lrvl/zhbpqlnd/clnqtjz/rrn/rdmgtf/tqh/lpdcdr</v>
      </c>
      <c r="K295" s="2"/>
    </row>
    <row r="296">
      <c r="A296" s="1" t="s">
        <v>612</v>
      </c>
      <c r="B296" s="2" t="str">
        <f>IFERROR(__xludf.DUMMYFUNCTION("SPLIT(A296,"" "")"),"$cd")</f>
        <v>$cd</v>
      </c>
      <c r="C296" s="2" t="str">
        <f>IFERROR(__xludf.DUMMYFUNCTION("""COMPUTED_VALUE"""),"..")</f>
        <v>..</v>
      </c>
      <c r="D296" s="2" t="str">
        <f>IFERROR(__xludf.DUMMYFUNCTION("IF(AND(B296=""$cd"",C296&lt;&gt;""..""),CONCATENATE(D295,""/"",C296),IF(C296="".."",MID(D295,1,LEN(D295)-LEN(REGEXEXTRACT(D295,""(/\w*)$""))),D295))"),"//lrvl/zhbpqlnd/clnqtjz/rrn/rdmgtf/tqh")</f>
        <v>//lrvl/zhbpqlnd/clnqtjz/rrn/rdmgtf/tqh</v>
      </c>
      <c r="K296" s="2"/>
    </row>
    <row r="297">
      <c r="A297" s="1" t="s">
        <v>658</v>
      </c>
      <c r="B297" s="2" t="str">
        <f>IFERROR(__xludf.DUMMYFUNCTION("SPLIT(A297,"" "")"),"$cd")</f>
        <v>$cd</v>
      </c>
      <c r="C297" s="2" t="str">
        <f>IFERROR(__xludf.DUMMYFUNCTION("""COMPUTED_VALUE"""),"vhfr")</f>
        <v>vhfr</v>
      </c>
      <c r="D297" s="2" t="str">
        <f>IFERROR(__xludf.DUMMYFUNCTION("IF(AND(B297=""$cd"",C297&lt;&gt;""..""),CONCATENATE(D296,""/"",C297),IF(C297="".."",MID(D296,1,LEN(D296)-LEN(REGEXEXTRACT(D296,""(/\w*)$""))),D296))"),"//lrvl/zhbpqlnd/clnqtjz/rrn/rdmgtf/tqh/vhfr")</f>
        <v>//lrvl/zhbpqlnd/clnqtjz/rrn/rdmgtf/tqh/vhfr</v>
      </c>
      <c r="K297" s="2"/>
    </row>
    <row r="298">
      <c r="A298" s="1" t="s">
        <v>609</v>
      </c>
      <c r="B298" s="2" t="str">
        <f>IFERROR(__xludf.DUMMYFUNCTION("SPLIT(A298,"" "")"),"$ls")</f>
        <v>$ls</v>
      </c>
      <c r="D298" s="2" t="str">
        <f>IFERROR(__xludf.DUMMYFUNCTION("IF(AND(B298=""$cd"",C298&lt;&gt;""..""),CONCATENATE(D297,""/"",C298),IF(C298="".."",MID(D297,1,LEN(D297)-LEN(REGEXEXTRACT(D297,""(/\w*)$""))),D297))"),"//lrvl/zhbpqlnd/clnqtjz/rrn/rdmgtf/tqh/vhfr")</f>
        <v>//lrvl/zhbpqlnd/clnqtjz/rrn/rdmgtf/tqh/vhfr</v>
      </c>
      <c r="K298" s="2"/>
    </row>
    <row r="299">
      <c r="A299" s="1" t="s">
        <v>185</v>
      </c>
      <c r="B299" s="2">
        <f>IFERROR(__xludf.DUMMYFUNCTION("SPLIT(A299,"" "")"),91584.0)</f>
        <v>91584</v>
      </c>
      <c r="C299" s="2" t="str">
        <f>IFERROR(__xludf.DUMMYFUNCTION("""COMPUTED_VALUE"""),"hmqfdht")</f>
        <v>hmqfdht</v>
      </c>
      <c r="D299" s="2" t="str">
        <f>IFERROR(__xludf.DUMMYFUNCTION("IF(AND(B299=""$cd"",C299&lt;&gt;""..""),CONCATENATE(D298,""/"",C299),IF(C299="".."",MID(D298,1,LEN(D298)-LEN(REGEXEXTRACT(D298,""(/\w*)$""))),D298))"),"//lrvl/zhbpqlnd/clnqtjz/rrn/rdmgtf/tqh/vhfr")</f>
        <v>//lrvl/zhbpqlnd/clnqtjz/rrn/rdmgtf/tqh/vhfr</v>
      </c>
      <c r="K299" s="2"/>
    </row>
    <row r="300">
      <c r="A300" s="1" t="s">
        <v>186</v>
      </c>
      <c r="B300" s="2" t="str">
        <f>IFERROR(__xludf.DUMMYFUNCTION("SPLIT(A300,"" "")"),"dir")</f>
        <v>dir</v>
      </c>
      <c r="C300" s="2" t="str">
        <f>IFERROR(__xludf.DUMMYFUNCTION("""COMPUTED_VALUE"""),"stmvj")</f>
        <v>stmvj</v>
      </c>
      <c r="D300" s="2" t="str">
        <f>IFERROR(__xludf.DUMMYFUNCTION("IF(AND(B300=""$cd"",C300&lt;&gt;""..""),CONCATENATE(D299,""/"",C300),IF(C300="".."",MID(D299,1,LEN(D299)-LEN(REGEXEXTRACT(D299,""(/\w*)$""))),D299))"),"//lrvl/zhbpqlnd/clnqtjz/rrn/rdmgtf/tqh/vhfr")</f>
        <v>//lrvl/zhbpqlnd/clnqtjz/rrn/rdmgtf/tqh/vhfr</v>
      </c>
      <c r="K300" s="2"/>
    </row>
    <row r="301">
      <c r="A301" s="1" t="s">
        <v>659</v>
      </c>
      <c r="B301" s="2" t="str">
        <f>IFERROR(__xludf.DUMMYFUNCTION("SPLIT(A301,"" "")"),"$cd")</f>
        <v>$cd</v>
      </c>
      <c r="C301" s="2" t="str">
        <f>IFERROR(__xludf.DUMMYFUNCTION("""COMPUTED_VALUE"""),"stmvj")</f>
        <v>stmvj</v>
      </c>
      <c r="D301" s="2" t="str">
        <f>IFERROR(__xludf.DUMMYFUNCTION("IF(AND(B301=""$cd"",C301&lt;&gt;""..""),CONCATENATE(D300,""/"",C301),IF(C301="".."",MID(D300,1,LEN(D300)-LEN(REGEXEXTRACT(D300,""(/\w*)$""))),D300))"),"//lrvl/zhbpqlnd/clnqtjz/rrn/rdmgtf/tqh/vhfr/stmvj")</f>
        <v>//lrvl/zhbpqlnd/clnqtjz/rrn/rdmgtf/tqh/vhfr/stmvj</v>
      </c>
      <c r="K301" s="2"/>
    </row>
    <row r="302">
      <c r="A302" s="1" t="s">
        <v>609</v>
      </c>
      <c r="B302" s="2" t="str">
        <f>IFERROR(__xludf.DUMMYFUNCTION("SPLIT(A302,"" "")"),"$ls")</f>
        <v>$ls</v>
      </c>
      <c r="D302" s="2" t="str">
        <f>IFERROR(__xludf.DUMMYFUNCTION("IF(AND(B302=""$cd"",C302&lt;&gt;""..""),CONCATENATE(D301,""/"",C302),IF(C302="".."",MID(D301,1,LEN(D301)-LEN(REGEXEXTRACT(D301,""(/\w*)$""))),D301))"),"//lrvl/zhbpqlnd/clnqtjz/rrn/rdmgtf/tqh/vhfr/stmvj")</f>
        <v>//lrvl/zhbpqlnd/clnqtjz/rrn/rdmgtf/tqh/vhfr/stmvj</v>
      </c>
      <c r="K302" s="2"/>
    </row>
    <row r="303">
      <c r="A303" s="1" t="s">
        <v>188</v>
      </c>
      <c r="B303" s="2">
        <f>IFERROR(__xludf.DUMMYFUNCTION("SPLIT(A303,"" "")"),315660.0)</f>
        <v>315660</v>
      </c>
      <c r="C303" s="2" t="str">
        <f>IFERROR(__xludf.DUMMYFUNCTION("""COMPUTED_VALUE"""),"wwpq.ffq")</f>
        <v>wwpq.ffq</v>
      </c>
      <c r="D303" s="2" t="str">
        <f>IFERROR(__xludf.DUMMYFUNCTION("IF(AND(B303=""$cd"",C303&lt;&gt;""..""),CONCATENATE(D302,""/"",C303),IF(C303="".."",MID(D302,1,LEN(D302)-LEN(REGEXEXTRACT(D302,""(/\w*)$""))),D302))"),"//lrvl/zhbpqlnd/clnqtjz/rrn/rdmgtf/tqh/vhfr/stmvj")</f>
        <v>//lrvl/zhbpqlnd/clnqtjz/rrn/rdmgtf/tqh/vhfr/stmvj</v>
      </c>
      <c r="K303" s="2"/>
    </row>
    <row r="304">
      <c r="A304" s="1" t="s">
        <v>612</v>
      </c>
      <c r="B304" s="2" t="str">
        <f>IFERROR(__xludf.DUMMYFUNCTION("SPLIT(A304,"" "")"),"$cd")</f>
        <v>$cd</v>
      </c>
      <c r="C304" s="2" t="str">
        <f>IFERROR(__xludf.DUMMYFUNCTION("""COMPUTED_VALUE"""),"..")</f>
        <v>..</v>
      </c>
      <c r="D304" s="2" t="str">
        <f>IFERROR(__xludf.DUMMYFUNCTION("IF(AND(B304=""$cd"",C304&lt;&gt;""..""),CONCATENATE(D303,""/"",C304),IF(C304="".."",MID(D303,1,LEN(D303)-LEN(REGEXEXTRACT(D303,""(/\w*)$""))),D303))"),"//lrvl/zhbpqlnd/clnqtjz/rrn/rdmgtf/tqh/vhfr")</f>
        <v>//lrvl/zhbpqlnd/clnqtjz/rrn/rdmgtf/tqh/vhfr</v>
      </c>
      <c r="K304" s="2"/>
    </row>
    <row r="305">
      <c r="A305" s="1" t="s">
        <v>612</v>
      </c>
      <c r="B305" s="2" t="str">
        <f>IFERROR(__xludf.DUMMYFUNCTION("SPLIT(A305,"" "")"),"$cd")</f>
        <v>$cd</v>
      </c>
      <c r="C305" s="2" t="str">
        <f>IFERROR(__xludf.DUMMYFUNCTION("""COMPUTED_VALUE"""),"..")</f>
        <v>..</v>
      </c>
      <c r="D305" s="2" t="str">
        <f>IFERROR(__xludf.DUMMYFUNCTION("IF(AND(B305=""$cd"",C305&lt;&gt;""..""),CONCATENATE(D304,""/"",C305),IF(C305="".."",MID(D304,1,LEN(D304)-LEN(REGEXEXTRACT(D304,""(/\w*)$""))),D304))"),"//lrvl/zhbpqlnd/clnqtjz/rrn/rdmgtf/tqh")</f>
        <v>//lrvl/zhbpqlnd/clnqtjz/rrn/rdmgtf/tqh</v>
      </c>
      <c r="K305" s="2"/>
    </row>
    <row r="306">
      <c r="A306" s="1" t="s">
        <v>612</v>
      </c>
      <c r="B306" s="2" t="str">
        <f>IFERROR(__xludf.DUMMYFUNCTION("SPLIT(A306,"" "")"),"$cd")</f>
        <v>$cd</v>
      </c>
      <c r="C306" s="2" t="str">
        <f>IFERROR(__xludf.DUMMYFUNCTION("""COMPUTED_VALUE"""),"..")</f>
        <v>..</v>
      </c>
      <c r="D306" s="2" t="str">
        <f>IFERROR(__xludf.DUMMYFUNCTION("IF(AND(B306=""$cd"",C306&lt;&gt;""..""),CONCATENATE(D305,""/"",C306),IF(C306="".."",MID(D305,1,LEN(D305)-LEN(REGEXEXTRACT(D305,""(/\w*)$""))),D305))"),"//lrvl/zhbpqlnd/clnqtjz/rrn/rdmgtf")</f>
        <v>//lrvl/zhbpqlnd/clnqtjz/rrn/rdmgtf</v>
      </c>
      <c r="K306" s="2"/>
    </row>
    <row r="307">
      <c r="A307" s="1" t="s">
        <v>612</v>
      </c>
      <c r="B307" s="2" t="str">
        <f>IFERROR(__xludf.DUMMYFUNCTION("SPLIT(A307,"" "")"),"$cd")</f>
        <v>$cd</v>
      </c>
      <c r="C307" s="2" t="str">
        <f>IFERROR(__xludf.DUMMYFUNCTION("""COMPUTED_VALUE"""),"..")</f>
        <v>..</v>
      </c>
      <c r="D307" s="2" t="str">
        <f>IFERROR(__xludf.DUMMYFUNCTION("IF(AND(B307=""$cd"",C307&lt;&gt;""..""),CONCATENATE(D306,""/"",C307),IF(C307="".."",MID(D306,1,LEN(D306)-LEN(REGEXEXTRACT(D306,""(/\w*)$""))),D306))"),"//lrvl/zhbpqlnd/clnqtjz/rrn")</f>
        <v>//lrvl/zhbpqlnd/clnqtjz/rrn</v>
      </c>
      <c r="K307" s="2"/>
    </row>
    <row r="308">
      <c r="A308" s="1" t="s">
        <v>660</v>
      </c>
      <c r="B308" s="2" t="str">
        <f>IFERROR(__xludf.DUMMYFUNCTION("SPLIT(A308,"" "")"),"$cd")</f>
        <v>$cd</v>
      </c>
      <c r="C308" s="2" t="str">
        <f>IFERROR(__xludf.DUMMYFUNCTION("""COMPUTED_VALUE"""),"rgrwp")</f>
        <v>rgrwp</v>
      </c>
      <c r="D308" s="2" t="str">
        <f>IFERROR(__xludf.DUMMYFUNCTION("IF(AND(B308=""$cd"",C308&lt;&gt;""..""),CONCATENATE(D307,""/"",C308),IF(C308="".."",MID(D307,1,LEN(D307)-LEN(REGEXEXTRACT(D307,""(/\w*)$""))),D307))"),"//lrvl/zhbpqlnd/clnqtjz/rrn/rgrwp")</f>
        <v>//lrvl/zhbpqlnd/clnqtjz/rrn/rgrwp</v>
      </c>
      <c r="K308" s="2"/>
    </row>
    <row r="309">
      <c r="A309" s="1" t="s">
        <v>609</v>
      </c>
      <c r="B309" s="2" t="str">
        <f>IFERROR(__xludf.DUMMYFUNCTION("SPLIT(A309,"" "")"),"$ls")</f>
        <v>$ls</v>
      </c>
      <c r="D309" s="2" t="str">
        <f>IFERROR(__xludf.DUMMYFUNCTION("IF(AND(B309=""$cd"",C309&lt;&gt;""..""),CONCATENATE(D308,""/"",C309),IF(C309="".."",MID(D308,1,LEN(D308)-LEN(REGEXEXTRACT(D308,""(/\w*)$""))),D308))"),"//lrvl/zhbpqlnd/clnqtjz/rrn/rgrwp")</f>
        <v>//lrvl/zhbpqlnd/clnqtjz/rrn/rgrwp</v>
      </c>
      <c r="K309" s="2"/>
    </row>
    <row r="310">
      <c r="A310" s="1" t="s">
        <v>190</v>
      </c>
      <c r="B310" s="2" t="str">
        <f>IFERROR(__xludf.DUMMYFUNCTION("SPLIT(A310,"" "")"),"dir")</f>
        <v>dir</v>
      </c>
      <c r="C310" s="2" t="str">
        <f>IFERROR(__xludf.DUMMYFUNCTION("""COMPUTED_VALUE"""),"dhwtfld")</f>
        <v>dhwtfld</v>
      </c>
      <c r="D310" s="2" t="str">
        <f>IFERROR(__xludf.DUMMYFUNCTION("IF(AND(B310=""$cd"",C310&lt;&gt;""..""),CONCATENATE(D309,""/"",C310),IF(C310="".."",MID(D309,1,LEN(D309)-LEN(REGEXEXTRACT(D309,""(/\w*)$""))),D309))"),"//lrvl/zhbpqlnd/clnqtjz/rrn/rgrwp")</f>
        <v>//lrvl/zhbpqlnd/clnqtjz/rrn/rgrwp</v>
      </c>
      <c r="K310" s="2"/>
    </row>
    <row r="311">
      <c r="A311" s="1" t="s">
        <v>191</v>
      </c>
      <c r="B311" s="2">
        <f>IFERROR(__xludf.DUMMYFUNCTION("SPLIT(A311,"" "")"),187439.0)</f>
        <v>187439</v>
      </c>
      <c r="C311" s="2" t="str">
        <f>IFERROR(__xludf.DUMMYFUNCTION("""COMPUTED_VALUE"""),"hmqfdht")</f>
        <v>hmqfdht</v>
      </c>
      <c r="D311" s="2" t="str">
        <f>IFERROR(__xludf.DUMMYFUNCTION("IF(AND(B311=""$cd"",C311&lt;&gt;""..""),CONCATENATE(D310,""/"",C311),IF(C311="".."",MID(D310,1,LEN(D310)-LEN(REGEXEXTRACT(D310,""(/\w*)$""))),D310))"),"//lrvl/zhbpqlnd/clnqtjz/rrn/rgrwp")</f>
        <v>//lrvl/zhbpqlnd/clnqtjz/rrn/rgrwp</v>
      </c>
      <c r="K311" s="2"/>
    </row>
    <row r="312">
      <c r="A312" s="1" t="s">
        <v>4</v>
      </c>
      <c r="B312" s="2" t="str">
        <f>IFERROR(__xludf.DUMMYFUNCTION("SPLIT(A312,"" "")"),"dir")</f>
        <v>dir</v>
      </c>
      <c r="C312" s="2" t="str">
        <f>IFERROR(__xludf.DUMMYFUNCTION("""COMPUTED_VALUE"""),"jnwr")</f>
        <v>jnwr</v>
      </c>
      <c r="D312" s="2" t="str">
        <f>IFERROR(__xludf.DUMMYFUNCTION("IF(AND(B312=""$cd"",C312&lt;&gt;""..""),CONCATENATE(D311,""/"",C312),IF(C312="".."",MID(D311,1,LEN(D311)-LEN(REGEXEXTRACT(D311,""(/\w*)$""))),D311))"),"//lrvl/zhbpqlnd/clnqtjz/rrn/rgrwp")</f>
        <v>//lrvl/zhbpqlnd/clnqtjz/rrn/rgrwp</v>
      </c>
      <c r="K312" s="2"/>
    </row>
    <row r="313">
      <c r="A313" s="1" t="s">
        <v>192</v>
      </c>
      <c r="B313" s="2" t="str">
        <f>IFERROR(__xludf.DUMMYFUNCTION("SPLIT(A313,"" "")"),"dir")</f>
        <v>dir</v>
      </c>
      <c r="C313" s="2" t="str">
        <f>IFERROR(__xludf.DUMMYFUNCTION("""COMPUTED_VALUE"""),"npr")</f>
        <v>npr</v>
      </c>
      <c r="D313" s="2" t="str">
        <f>IFERROR(__xludf.DUMMYFUNCTION("IF(AND(B313=""$cd"",C313&lt;&gt;""..""),CONCATENATE(D312,""/"",C313),IF(C313="".."",MID(D312,1,LEN(D312)-LEN(REGEXEXTRACT(D312,""(/\w*)$""))),D312))"),"//lrvl/zhbpqlnd/clnqtjz/rrn/rgrwp")</f>
        <v>//lrvl/zhbpqlnd/clnqtjz/rrn/rgrwp</v>
      </c>
      <c r="K313" s="2"/>
    </row>
    <row r="314">
      <c r="A314" s="1" t="s">
        <v>193</v>
      </c>
      <c r="B314" s="2" t="str">
        <f>IFERROR(__xludf.DUMMYFUNCTION("SPLIT(A314,"" "")"),"dir")</f>
        <v>dir</v>
      </c>
      <c r="C314" s="2" t="str">
        <f>IFERROR(__xludf.DUMMYFUNCTION("""COMPUTED_VALUE"""),"sdsppq")</f>
        <v>sdsppq</v>
      </c>
      <c r="D314" s="2" t="str">
        <f>IFERROR(__xludf.DUMMYFUNCTION("IF(AND(B314=""$cd"",C314&lt;&gt;""..""),CONCATENATE(D313,""/"",C314),IF(C314="".."",MID(D313,1,LEN(D313)-LEN(REGEXEXTRACT(D313,""(/\w*)$""))),D313))"),"//lrvl/zhbpqlnd/clnqtjz/rrn/rgrwp")</f>
        <v>//lrvl/zhbpqlnd/clnqtjz/rrn/rgrwp</v>
      </c>
      <c r="K314" s="2"/>
    </row>
    <row r="315">
      <c r="A315" s="1" t="s">
        <v>194</v>
      </c>
      <c r="B315" s="2">
        <f>IFERROR(__xludf.DUMMYFUNCTION("SPLIT(A315,"" "")"),228581.0)</f>
        <v>228581</v>
      </c>
      <c r="C315" s="2" t="str">
        <f>IFERROR(__xludf.DUMMYFUNCTION("""COMPUTED_VALUE"""),"twd.nnc")</f>
        <v>twd.nnc</v>
      </c>
      <c r="D315" s="2" t="str">
        <f>IFERROR(__xludf.DUMMYFUNCTION("IF(AND(B315=""$cd"",C315&lt;&gt;""..""),CONCATENATE(D314,""/"",C315),IF(C315="".."",MID(D314,1,LEN(D314)-LEN(REGEXEXTRACT(D314,""(/\w*)$""))),D314))"),"//lrvl/zhbpqlnd/clnqtjz/rrn/rgrwp")</f>
        <v>//lrvl/zhbpqlnd/clnqtjz/rrn/rgrwp</v>
      </c>
      <c r="K315" s="2"/>
    </row>
    <row r="316">
      <c r="A316" s="1" t="s">
        <v>195</v>
      </c>
      <c r="B316" s="2">
        <f>IFERROR(__xludf.DUMMYFUNCTION("SPLIT(A316,"" "")"),42349.0)</f>
        <v>42349</v>
      </c>
      <c r="C316" s="2" t="str">
        <f>IFERROR(__xludf.DUMMYFUNCTION("""COMPUTED_VALUE"""),"wbf.cwb")</f>
        <v>wbf.cwb</v>
      </c>
      <c r="D316" s="2" t="str">
        <f>IFERROR(__xludf.DUMMYFUNCTION("IF(AND(B316=""$cd"",C316&lt;&gt;""..""),CONCATENATE(D315,""/"",C316),IF(C316="".."",MID(D315,1,LEN(D315)-LEN(REGEXEXTRACT(D315,""(/\w*)$""))),D315))"),"//lrvl/zhbpqlnd/clnqtjz/rrn/rgrwp")</f>
        <v>//lrvl/zhbpqlnd/clnqtjz/rrn/rgrwp</v>
      </c>
      <c r="K316" s="2"/>
    </row>
    <row r="317">
      <c r="A317" s="1" t="s">
        <v>196</v>
      </c>
      <c r="B317" s="2">
        <f>IFERROR(__xludf.DUMMYFUNCTION("SPLIT(A317,"" "")"),194162.0)</f>
        <v>194162</v>
      </c>
      <c r="C317" s="2" t="str">
        <f>IFERROR(__xludf.DUMMYFUNCTION("""COMPUTED_VALUE"""),"zbdp.gqb")</f>
        <v>zbdp.gqb</v>
      </c>
      <c r="D317" s="2" t="str">
        <f>IFERROR(__xludf.DUMMYFUNCTION("IF(AND(B317=""$cd"",C317&lt;&gt;""..""),CONCATENATE(D316,""/"",C317),IF(C317="".."",MID(D316,1,LEN(D316)-LEN(REGEXEXTRACT(D316,""(/\w*)$""))),D316))"),"//lrvl/zhbpqlnd/clnqtjz/rrn/rgrwp")</f>
        <v>//lrvl/zhbpqlnd/clnqtjz/rrn/rgrwp</v>
      </c>
      <c r="K317" s="2"/>
    </row>
    <row r="318">
      <c r="A318" s="1" t="s">
        <v>197</v>
      </c>
      <c r="B318" s="2">
        <f>IFERROR(__xludf.DUMMYFUNCTION("SPLIT(A318,"" "")"),224441.0)</f>
        <v>224441</v>
      </c>
      <c r="C318" s="2" t="str">
        <f>IFERROR(__xludf.DUMMYFUNCTION("""COMPUTED_VALUE"""),"zcgrgff.qpg")</f>
        <v>zcgrgff.qpg</v>
      </c>
      <c r="D318" s="2" t="str">
        <f>IFERROR(__xludf.DUMMYFUNCTION("IF(AND(B318=""$cd"",C318&lt;&gt;""..""),CONCATENATE(D317,""/"",C318),IF(C318="".."",MID(D317,1,LEN(D317)-LEN(REGEXEXTRACT(D317,""(/\w*)$""))),D317))"),"//lrvl/zhbpqlnd/clnqtjz/rrn/rgrwp")</f>
        <v>//lrvl/zhbpqlnd/clnqtjz/rrn/rgrwp</v>
      </c>
      <c r="K318" s="2"/>
    </row>
    <row r="319">
      <c r="A319" s="1" t="s">
        <v>661</v>
      </c>
      <c r="B319" s="2" t="str">
        <f>IFERROR(__xludf.DUMMYFUNCTION("SPLIT(A319,"" "")"),"$cd")</f>
        <v>$cd</v>
      </c>
      <c r="C319" s="2" t="str">
        <f>IFERROR(__xludf.DUMMYFUNCTION("""COMPUTED_VALUE"""),"dhwtfld")</f>
        <v>dhwtfld</v>
      </c>
      <c r="D319" s="2" t="str">
        <f>IFERROR(__xludf.DUMMYFUNCTION("IF(AND(B319=""$cd"",C319&lt;&gt;""..""),CONCATENATE(D318,""/"",C319),IF(C319="".."",MID(D318,1,LEN(D318)-LEN(REGEXEXTRACT(D318,""(/\w*)$""))),D318))"),"//lrvl/zhbpqlnd/clnqtjz/rrn/rgrwp/dhwtfld")</f>
        <v>//lrvl/zhbpqlnd/clnqtjz/rrn/rgrwp/dhwtfld</v>
      </c>
      <c r="K319" s="2"/>
    </row>
    <row r="320">
      <c r="A320" s="1" t="s">
        <v>609</v>
      </c>
      <c r="B320" s="2" t="str">
        <f>IFERROR(__xludf.DUMMYFUNCTION("SPLIT(A320,"" "")"),"$ls")</f>
        <v>$ls</v>
      </c>
      <c r="D320" s="2" t="str">
        <f>IFERROR(__xludf.DUMMYFUNCTION("IF(AND(B320=""$cd"",C320&lt;&gt;""..""),CONCATENATE(D319,""/"",C320),IF(C320="".."",MID(D319,1,LEN(D319)-LEN(REGEXEXTRACT(D319,""(/\w*)$""))),D319))"),"//lrvl/zhbpqlnd/clnqtjz/rrn/rgrwp/dhwtfld")</f>
        <v>//lrvl/zhbpqlnd/clnqtjz/rrn/rgrwp/dhwtfld</v>
      </c>
      <c r="K320" s="2"/>
    </row>
    <row r="321">
      <c r="A321" s="1" t="s">
        <v>199</v>
      </c>
      <c r="B321" s="2">
        <f>IFERROR(__xludf.DUMMYFUNCTION("SPLIT(A321,"" "")"),152381.0)</f>
        <v>152381</v>
      </c>
      <c r="C321" s="2" t="str">
        <f>IFERROR(__xludf.DUMMYFUNCTION("""COMPUTED_VALUE"""),"dqdrd")</f>
        <v>dqdrd</v>
      </c>
      <c r="D321" s="2" t="str">
        <f>IFERROR(__xludf.DUMMYFUNCTION("IF(AND(B321=""$cd"",C321&lt;&gt;""..""),CONCATENATE(D320,""/"",C321),IF(C321="".."",MID(D320,1,LEN(D320)-LEN(REGEXEXTRACT(D320,""(/\w*)$""))),D320))"),"//lrvl/zhbpqlnd/clnqtjz/rrn/rgrwp/dhwtfld")</f>
        <v>//lrvl/zhbpqlnd/clnqtjz/rrn/rgrwp/dhwtfld</v>
      </c>
      <c r="K321" s="2"/>
    </row>
    <row r="322">
      <c r="A322" s="1" t="s">
        <v>612</v>
      </c>
      <c r="B322" s="2" t="str">
        <f>IFERROR(__xludf.DUMMYFUNCTION("SPLIT(A322,"" "")"),"$cd")</f>
        <v>$cd</v>
      </c>
      <c r="C322" s="2" t="str">
        <f>IFERROR(__xludf.DUMMYFUNCTION("""COMPUTED_VALUE"""),"..")</f>
        <v>..</v>
      </c>
      <c r="D322" s="2" t="str">
        <f>IFERROR(__xludf.DUMMYFUNCTION("IF(AND(B322=""$cd"",C322&lt;&gt;""..""),CONCATENATE(D321,""/"",C322),IF(C322="".."",MID(D321,1,LEN(D321)-LEN(REGEXEXTRACT(D321,""(/\w*)$""))),D321))"),"//lrvl/zhbpqlnd/clnqtjz/rrn/rgrwp")</f>
        <v>//lrvl/zhbpqlnd/clnqtjz/rrn/rgrwp</v>
      </c>
      <c r="K322" s="2"/>
    </row>
    <row r="323">
      <c r="A323" s="1" t="s">
        <v>614</v>
      </c>
      <c r="B323" s="2" t="str">
        <f>IFERROR(__xludf.DUMMYFUNCTION("SPLIT(A323,"" "")"),"$cd")</f>
        <v>$cd</v>
      </c>
      <c r="C323" s="2" t="str">
        <f>IFERROR(__xludf.DUMMYFUNCTION("""COMPUTED_VALUE"""),"jnwr")</f>
        <v>jnwr</v>
      </c>
      <c r="D323" s="2" t="str">
        <f>IFERROR(__xludf.DUMMYFUNCTION("IF(AND(B323=""$cd"",C323&lt;&gt;""..""),CONCATENATE(D322,""/"",C323),IF(C323="".."",MID(D322,1,LEN(D322)-LEN(REGEXEXTRACT(D322,""(/\w*)$""))),D322))"),"//lrvl/zhbpqlnd/clnqtjz/rrn/rgrwp/jnwr")</f>
        <v>//lrvl/zhbpqlnd/clnqtjz/rrn/rgrwp/jnwr</v>
      </c>
      <c r="K323" s="2"/>
    </row>
    <row r="324">
      <c r="A324" s="1" t="s">
        <v>609</v>
      </c>
      <c r="B324" s="2" t="str">
        <f>IFERROR(__xludf.DUMMYFUNCTION("SPLIT(A324,"" "")"),"$ls")</f>
        <v>$ls</v>
      </c>
      <c r="D324" s="2" t="str">
        <f>IFERROR(__xludf.DUMMYFUNCTION("IF(AND(B324=""$cd"",C324&lt;&gt;""..""),CONCATENATE(D323,""/"",C324),IF(C324="".."",MID(D323,1,LEN(D323)-LEN(REGEXEXTRACT(D323,""(/\w*)$""))),D323))"),"//lrvl/zhbpqlnd/clnqtjz/rrn/rgrwp/jnwr")</f>
        <v>//lrvl/zhbpqlnd/clnqtjz/rrn/rgrwp/jnwr</v>
      </c>
      <c r="K324" s="2"/>
    </row>
    <row r="325">
      <c r="A325" s="1" t="s">
        <v>200</v>
      </c>
      <c r="B325" s="2">
        <f>IFERROR(__xludf.DUMMYFUNCTION("SPLIT(A325,"" "")"),229758.0)</f>
        <v>229758</v>
      </c>
      <c r="C325" s="2" t="str">
        <f>IFERROR(__xludf.DUMMYFUNCTION("""COMPUTED_VALUE"""),"hmvw.gdz")</f>
        <v>hmvw.gdz</v>
      </c>
      <c r="D325" s="2" t="str">
        <f>IFERROR(__xludf.DUMMYFUNCTION("IF(AND(B325=""$cd"",C325&lt;&gt;""..""),CONCATENATE(D324,""/"",C325),IF(C325="".."",MID(D324,1,LEN(D324)-LEN(REGEXEXTRACT(D324,""(/\w*)$""))),D324))"),"//lrvl/zhbpqlnd/clnqtjz/rrn/rgrwp/jnwr")</f>
        <v>//lrvl/zhbpqlnd/clnqtjz/rrn/rgrwp/jnwr</v>
      </c>
      <c r="K325" s="2"/>
    </row>
    <row r="326">
      <c r="A326" s="1" t="s">
        <v>201</v>
      </c>
      <c r="B326" s="2">
        <f>IFERROR(__xludf.DUMMYFUNCTION("SPLIT(A326,"" "")"),92710.0)</f>
        <v>92710</v>
      </c>
      <c r="C326" s="2" t="str">
        <f>IFERROR(__xludf.DUMMYFUNCTION("""COMPUTED_VALUE"""),"mzsfcvgv.cdd")</f>
        <v>mzsfcvgv.cdd</v>
      </c>
      <c r="D326" s="2" t="str">
        <f>IFERROR(__xludf.DUMMYFUNCTION("IF(AND(B326=""$cd"",C326&lt;&gt;""..""),CONCATENATE(D325,""/"",C326),IF(C326="".."",MID(D325,1,LEN(D325)-LEN(REGEXEXTRACT(D325,""(/\w*)$""))),D325))"),"//lrvl/zhbpqlnd/clnqtjz/rrn/rgrwp/jnwr")</f>
        <v>//lrvl/zhbpqlnd/clnqtjz/rrn/rgrwp/jnwr</v>
      </c>
      <c r="K326" s="2"/>
    </row>
    <row r="327">
      <c r="A327" s="1" t="s">
        <v>202</v>
      </c>
      <c r="B327" s="2">
        <f>IFERROR(__xludf.DUMMYFUNCTION("SPLIT(A327,"" "")"),79954.0)</f>
        <v>79954</v>
      </c>
      <c r="C327" s="2" t="str">
        <f>IFERROR(__xludf.DUMMYFUNCTION("""COMPUTED_VALUE"""),"stjtn.gft")</f>
        <v>stjtn.gft</v>
      </c>
      <c r="D327" s="2" t="str">
        <f>IFERROR(__xludf.DUMMYFUNCTION("IF(AND(B327=""$cd"",C327&lt;&gt;""..""),CONCATENATE(D326,""/"",C327),IF(C327="".."",MID(D326,1,LEN(D326)-LEN(REGEXEXTRACT(D326,""(/\w*)$""))),D326))"),"//lrvl/zhbpqlnd/clnqtjz/rrn/rgrwp/jnwr")</f>
        <v>//lrvl/zhbpqlnd/clnqtjz/rrn/rgrwp/jnwr</v>
      </c>
      <c r="K327" s="2"/>
    </row>
    <row r="328">
      <c r="A328" s="1" t="s">
        <v>203</v>
      </c>
      <c r="B328" s="2">
        <f>IFERROR(__xludf.DUMMYFUNCTION("SPLIT(A328,"" "")"),89831.0)</f>
        <v>89831</v>
      </c>
      <c r="C328" s="2" t="str">
        <f>IFERROR(__xludf.DUMMYFUNCTION("""COMPUTED_VALUE"""),"zbdp.gqb")</f>
        <v>zbdp.gqb</v>
      </c>
      <c r="D328" s="2" t="str">
        <f>IFERROR(__xludf.DUMMYFUNCTION("IF(AND(B328=""$cd"",C328&lt;&gt;""..""),CONCATENATE(D327,""/"",C328),IF(C328="".."",MID(D327,1,LEN(D327)-LEN(REGEXEXTRACT(D327,""(/\w*)$""))),D327))"),"//lrvl/zhbpqlnd/clnqtjz/rrn/rgrwp/jnwr")</f>
        <v>//lrvl/zhbpqlnd/clnqtjz/rrn/rgrwp/jnwr</v>
      </c>
      <c r="K328" s="2"/>
    </row>
    <row r="329">
      <c r="A329" s="1" t="s">
        <v>612</v>
      </c>
      <c r="B329" s="2" t="str">
        <f>IFERROR(__xludf.DUMMYFUNCTION("SPLIT(A329,"" "")"),"$cd")</f>
        <v>$cd</v>
      </c>
      <c r="C329" s="2" t="str">
        <f>IFERROR(__xludf.DUMMYFUNCTION("""COMPUTED_VALUE"""),"..")</f>
        <v>..</v>
      </c>
      <c r="D329" s="2" t="str">
        <f>IFERROR(__xludf.DUMMYFUNCTION("IF(AND(B329=""$cd"",C329&lt;&gt;""..""),CONCATENATE(D328,""/"",C329),IF(C329="".."",MID(D328,1,LEN(D328)-LEN(REGEXEXTRACT(D328,""(/\w*)$""))),D328))"),"//lrvl/zhbpqlnd/clnqtjz/rrn/rgrwp")</f>
        <v>//lrvl/zhbpqlnd/clnqtjz/rrn/rgrwp</v>
      </c>
      <c r="K329" s="2"/>
    </row>
    <row r="330">
      <c r="A330" s="1" t="s">
        <v>662</v>
      </c>
      <c r="B330" s="2" t="str">
        <f>IFERROR(__xludf.DUMMYFUNCTION("SPLIT(A330,"" "")"),"$cd")</f>
        <v>$cd</v>
      </c>
      <c r="C330" s="2" t="str">
        <f>IFERROR(__xludf.DUMMYFUNCTION("""COMPUTED_VALUE"""),"npr")</f>
        <v>npr</v>
      </c>
      <c r="D330" s="2" t="str">
        <f>IFERROR(__xludf.DUMMYFUNCTION("IF(AND(B330=""$cd"",C330&lt;&gt;""..""),CONCATENATE(D329,""/"",C330),IF(C330="".."",MID(D329,1,LEN(D329)-LEN(REGEXEXTRACT(D329,""(/\w*)$""))),D329))"),"//lrvl/zhbpqlnd/clnqtjz/rrn/rgrwp/npr")</f>
        <v>//lrvl/zhbpqlnd/clnqtjz/rrn/rgrwp/npr</v>
      </c>
      <c r="K330" s="2"/>
    </row>
    <row r="331">
      <c r="A331" s="1" t="s">
        <v>609</v>
      </c>
      <c r="B331" s="2" t="str">
        <f>IFERROR(__xludf.DUMMYFUNCTION("SPLIT(A331,"" "")"),"$ls")</f>
        <v>$ls</v>
      </c>
      <c r="D331" s="2" t="str">
        <f>IFERROR(__xludf.DUMMYFUNCTION("IF(AND(B331=""$cd"",C331&lt;&gt;""..""),CONCATENATE(D330,""/"",C331),IF(C331="".."",MID(D330,1,LEN(D330)-LEN(REGEXEXTRACT(D330,""(/\w*)$""))),D330))"),"//lrvl/zhbpqlnd/clnqtjz/rrn/rgrwp/npr")</f>
        <v>//lrvl/zhbpqlnd/clnqtjz/rrn/rgrwp/npr</v>
      </c>
      <c r="K331" s="2"/>
    </row>
    <row r="332">
      <c r="A332" s="1" t="s">
        <v>205</v>
      </c>
      <c r="B332" s="2">
        <f>IFERROR(__xludf.DUMMYFUNCTION("SPLIT(A332,"" "")"),52767.0)</f>
        <v>52767</v>
      </c>
      <c r="C332" s="2" t="str">
        <f>IFERROR(__xludf.DUMMYFUNCTION("""COMPUTED_VALUE"""),"hlvpfw.rqb")</f>
        <v>hlvpfw.rqb</v>
      </c>
      <c r="D332" s="2" t="str">
        <f>IFERROR(__xludf.DUMMYFUNCTION("IF(AND(B332=""$cd"",C332&lt;&gt;""..""),CONCATENATE(D331,""/"",C332),IF(C332="".."",MID(D331,1,LEN(D331)-LEN(REGEXEXTRACT(D331,""(/\w*)$""))),D331))"),"//lrvl/zhbpqlnd/clnqtjz/rrn/rgrwp/npr")</f>
        <v>//lrvl/zhbpqlnd/clnqtjz/rrn/rgrwp/npr</v>
      </c>
      <c r="K332" s="2"/>
    </row>
    <row r="333">
      <c r="A333" s="1" t="s">
        <v>206</v>
      </c>
      <c r="B333" s="2" t="str">
        <f>IFERROR(__xludf.DUMMYFUNCTION("SPLIT(A333,"" "")"),"dir")</f>
        <v>dir</v>
      </c>
      <c r="C333" s="2" t="str">
        <f>IFERROR(__xludf.DUMMYFUNCTION("""COMPUTED_VALUE"""),"nrbjzvgq")</f>
        <v>nrbjzvgq</v>
      </c>
      <c r="D333" s="2" t="str">
        <f>IFERROR(__xludf.DUMMYFUNCTION("IF(AND(B333=""$cd"",C333&lt;&gt;""..""),CONCATENATE(D332,""/"",C333),IF(C333="".."",MID(D332,1,LEN(D332)-LEN(REGEXEXTRACT(D332,""(/\w*)$""))),D332))"),"//lrvl/zhbpqlnd/clnqtjz/rrn/rgrwp/npr")</f>
        <v>//lrvl/zhbpqlnd/clnqtjz/rrn/rgrwp/npr</v>
      </c>
      <c r="K333" s="2"/>
    </row>
    <row r="334">
      <c r="A334" s="1" t="s">
        <v>207</v>
      </c>
      <c r="B334" s="2">
        <f>IFERROR(__xludf.DUMMYFUNCTION("SPLIT(A334,"" "")"),270579.0)</f>
        <v>270579</v>
      </c>
      <c r="C334" s="2" t="str">
        <f>IFERROR(__xludf.DUMMYFUNCTION("""COMPUTED_VALUE"""),"pbsq.msg")</f>
        <v>pbsq.msg</v>
      </c>
      <c r="D334" s="2" t="str">
        <f>IFERROR(__xludf.DUMMYFUNCTION("IF(AND(B334=""$cd"",C334&lt;&gt;""..""),CONCATENATE(D333,""/"",C334),IF(C334="".."",MID(D333,1,LEN(D333)-LEN(REGEXEXTRACT(D333,""(/\w*)$""))),D333))"),"//lrvl/zhbpqlnd/clnqtjz/rrn/rgrwp/npr")</f>
        <v>//lrvl/zhbpqlnd/clnqtjz/rrn/rgrwp/npr</v>
      </c>
      <c r="K334" s="2"/>
    </row>
    <row r="335">
      <c r="A335" s="1" t="s">
        <v>208</v>
      </c>
      <c r="B335" s="2">
        <f>IFERROR(__xludf.DUMMYFUNCTION("SPLIT(A335,"" "")"),240181.0)</f>
        <v>240181</v>
      </c>
      <c r="C335" s="2" t="str">
        <f>IFERROR(__xludf.DUMMYFUNCTION("""COMPUTED_VALUE"""),"slfdb.bqt")</f>
        <v>slfdb.bqt</v>
      </c>
      <c r="D335" s="2" t="str">
        <f>IFERROR(__xludf.DUMMYFUNCTION("IF(AND(B335=""$cd"",C335&lt;&gt;""..""),CONCATENATE(D334,""/"",C335),IF(C335="".."",MID(D334,1,LEN(D334)-LEN(REGEXEXTRACT(D334,""(/\w*)$""))),D334))"),"//lrvl/zhbpqlnd/clnqtjz/rrn/rgrwp/npr")</f>
        <v>//lrvl/zhbpqlnd/clnqtjz/rrn/rgrwp/npr</v>
      </c>
      <c r="K335" s="2"/>
    </row>
    <row r="336">
      <c r="A336" s="1" t="s">
        <v>209</v>
      </c>
      <c r="B336" s="2" t="str">
        <f>IFERROR(__xludf.DUMMYFUNCTION("SPLIT(A336,"" "")"),"dir")</f>
        <v>dir</v>
      </c>
      <c r="C336" s="2" t="str">
        <f>IFERROR(__xludf.DUMMYFUNCTION("""COMPUTED_VALUE"""),"znbwnh")</f>
        <v>znbwnh</v>
      </c>
      <c r="D336" s="2" t="str">
        <f>IFERROR(__xludf.DUMMYFUNCTION("IF(AND(B336=""$cd"",C336&lt;&gt;""..""),CONCATENATE(D335,""/"",C336),IF(C336="".."",MID(D335,1,LEN(D335)-LEN(REGEXEXTRACT(D335,""(/\w*)$""))),D335))"),"//lrvl/zhbpqlnd/clnqtjz/rrn/rgrwp/npr")</f>
        <v>//lrvl/zhbpqlnd/clnqtjz/rrn/rgrwp/npr</v>
      </c>
      <c r="K336" s="2"/>
    </row>
    <row r="337">
      <c r="A337" s="1" t="s">
        <v>663</v>
      </c>
      <c r="B337" s="2" t="str">
        <f>IFERROR(__xludf.DUMMYFUNCTION("SPLIT(A337,"" "")"),"$cd")</f>
        <v>$cd</v>
      </c>
      <c r="C337" s="2" t="str">
        <f>IFERROR(__xludf.DUMMYFUNCTION("""COMPUTED_VALUE"""),"nrbjzvgq")</f>
        <v>nrbjzvgq</v>
      </c>
      <c r="D337" s="2" t="str">
        <f>IFERROR(__xludf.DUMMYFUNCTION("IF(AND(B337=""$cd"",C337&lt;&gt;""..""),CONCATENATE(D336,""/"",C337),IF(C337="".."",MID(D336,1,LEN(D336)-LEN(REGEXEXTRACT(D336,""(/\w*)$""))),D336))"),"//lrvl/zhbpqlnd/clnqtjz/rrn/rgrwp/npr/nrbjzvgq")</f>
        <v>//lrvl/zhbpqlnd/clnqtjz/rrn/rgrwp/npr/nrbjzvgq</v>
      </c>
      <c r="K337" s="2"/>
    </row>
    <row r="338">
      <c r="A338" s="1" t="s">
        <v>609</v>
      </c>
      <c r="B338" s="2" t="str">
        <f>IFERROR(__xludf.DUMMYFUNCTION("SPLIT(A338,"" "")"),"$ls")</f>
        <v>$ls</v>
      </c>
      <c r="D338" s="2" t="str">
        <f>IFERROR(__xludf.DUMMYFUNCTION("IF(AND(B338=""$cd"",C338&lt;&gt;""..""),CONCATENATE(D337,""/"",C338),IF(C338="".."",MID(D337,1,LEN(D337)-LEN(REGEXEXTRACT(D337,""(/\w*)$""))),D337))"),"//lrvl/zhbpqlnd/clnqtjz/rrn/rgrwp/npr/nrbjzvgq")</f>
        <v>//lrvl/zhbpqlnd/clnqtjz/rrn/rgrwp/npr/nrbjzvgq</v>
      </c>
      <c r="K338" s="2"/>
    </row>
    <row r="339">
      <c r="A339" s="1" t="s">
        <v>211</v>
      </c>
      <c r="B339" s="2">
        <f>IFERROR(__xludf.DUMMYFUNCTION("SPLIT(A339,"" "")"),295237.0)</f>
        <v>295237</v>
      </c>
      <c r="C339" s="2" t="str">
        <f>IFERROR(__xludf.DUMMYFUNCTION("""COMPUTED_VALUE"""),"bwqqvn")</f>
        <v>bwqqvn</v>
      </c>
      <c r="D339" s="2" t="str">
        <f>IFERROR(__xludf.DUMMYFUNCTION("IF(AND(B339=""$cd"",C339&lt;&gt;""..""),CONCATENATE(D338,""/"",C339),IF(C339="".."",MID(D338,1,LEN(D338)-LEN(REGEXEXTRACT(D338,""(/\w*)$""))),D338))"),"//lrvl/zhbpqlnd/clnqtjz/rrn/rgrwp/npr/nrbjzvgq")</f>
        <v>//lrvl/zhbpqlnd/clnqtjz/rrn/rgrwp/npr/nrbjzvgq</v>
      </c>
      <c r="K339" s="2"/>
    </row>
    <row r="340">
      <c r="A340" s="1" t="s">
        <v>212</v>
      </c>
      <c r="B340" s="2">
        <f>IFERROR(__xludf.DUMMYFUNCTION("SPLIT(A340,"" "")"),229608.0)</f>
        <v>229608</v>
      </c>
      <c r="C340" s="2" t="str">
        <f>IFERROR(__xludf.DUMMYFUNCTION("""COMPUTED_VALUE"""),"dhrjnvtt.lvm")</f>
        <v>dhrjnvtt.lvm</v>
      </c>
      <c r="D340" s="2" t="str">
        <f>IFERROR(__xludf.DUMMYFUNCTION("IF(AND(B340=""$cd"",C340&lt;&gt;""..""),CONCATENATE(D339,""/"",C340),IF(C340="".."",MID(D339,1,LEN(D339)-LEN(REGEXEXTRACT(D339,""(/\w*)$""))),D339))"),"//lrvl/zhbpqlnd/clnqtjz/rrn/rgrwp/npr/nrbjzvgq")</f>
        <v>//lrvl/zhbpqlnd/clnqtjz/rrn/rgrwp/npr/nrbjzvgq</v>
      </c>
      <c r="K340" s="2"/>
    </row>
    <row r="341">
      <c r="A341" s="1" t="s">
        <v>213</v>
      </c>
      <c r="B341" s="2">
        <f>IFERROR(__xludf.DUMMYFUNCTION("SPLIT(A341,"" "")"),55391.0)</f>
        <v>55391</v>
      </c>
      <c r="C341" s="2" t="str">
        <f>IFERROR(__xludf.DUMMYFUNCTION("""COMPUTED_VALUE"""),"nlvn")</f>
        <v>nlvn</v>
      </c>
      <c r="D341" s="2" t="str">
        <f>IFERROR(__xludf.DUMMYFUNCTION("IF(AND(B341=""$cd"",C341&lt;&gt;""..""),CONCATENATE(D340,""/"",C341),IF(C341="".."",MID(D340,1,LEN(D340)-LEN(REGEXEXTRACT(D340,""(/\w*)$""))),D340))"),"//lrvl/zhbpqlnd/clnqtjz/rrn/rgrwp/npr/nrbjzvgq")</f>
        <v>//lrvl/zhbpqlnd/clnqtjz/rrn/rgrwp/npr/nrbjzvgq</v>
      </c>
      <c r="K341" s="2"/>
    </row>
    <row r="342">
      <c r="A342" s="1" t="s">
        <v>46</v>
      </c>
      <c r="B342" s="2" t="str">
        <f>IFERROR(__xludf.DUMMYFUNCTION("SPLIT(A342,"" "")"),"dir")</f>
        <v>dir</v>
      </c>
      <c r="C342" s="2" t="str">
        <f>IFERROR(__xludf.DUMMYFUNCTION("""COMPUTED_VALUE"""),"zcgrgff")</f>
        <v>zcgrgff</v>
      </c>
      <c r="D342" s="2" t="str">
        <f>IFERROR(__xludf.DUMMYFUNCTION("IF(AND(B342=""$cd"",C342&lt;&gt;""..""),CONCATENATE(D341,""/"",C342),IF(C342="".."",MID(D341,1,LEN(D341)-LEN(REGEXEXTRACT(D341,""(/\w*)$""))),D341))"),"//lrvl/zhbpqlnd/clnqtjz/rrn/rgrwp/npr/nrbjzvgq")</f>
        <v>//lrvl/zhbpqlnd/clnqtjz/rrn/rgrwp/npr/nrbjzvgq</v>
      </c>
      <c r="K342" s="2"/>
    </row>
    <row r="343">
      <c r="A343" s="1" t="s">
        <v>625</v>
      </c>
      <c r="B343" s="2" t="str">
        <f>IFERROR(__xludf.DUMMYFUNCTION("SPLIT(A343,"" "")"),"$cd")</f>
        <v>$cd</v>
      </c>
      <c r="C343" s="2" t="str">
        <f>IFERROR(__xludf.DUMMYFUNCTION("""COMPUTED_VALUE"""),"zcgrgff")</f>
        <v>zcgrgff</v>
      </c>
      <c r="D343" s="2" t="str">
        <f>IFERROR(__xludf.DUMMYFUNCTION("IF(AND(B343=""$cd"",C343&lt;&gt;""..""),CONCATENATE(D342,""/"",C343),IF(C343="".."",MID(D342,1,LEN(D342)-LEN(REGEXEXTRACT(D342,""(/\w*)$""))),D342))"),"//lrvl/zhbpqlnd/clnqtjz/rrn/rgrwp/npr/nrbjzvgq/zcgrgff")</f>
        <v>//lrvl/zhbpqlnd/clnqtjz/rrn/rgrwp/npr/nrbjzvgq/zcgrgff</v>
      </c>
      <c r="K343" s="2"/>
    </row>
    <row r="344">
      <c r="A344" s="1" t="s">
        <v>609</v>
      </c>
      <c r="B344" s="2" t="str">
        <f>IFERROR(__xludf.DUMMYFUNCTION("SPLIT(A344,"" "")"),"$ls")</f>
        <v>$ls</v>
      </c>
      <c r="D344" s="2" t="str">
        <f>IFERROR(__xludf.DUMMYFUNCTION("IF(AND(B344=""$cd"",C344&lt;&gt;""..""),CONCATENATE(D343,""/"",C344),IF(C344="".."",MID(D343,1,LEN(D343)-LEN(REGEXEXTRACT(D343,""(/\w*)$""))),D343))"),"//lrvl/zhbpqlnd/clnqtjz/rrn/rgrwp/npr/nrbjzvgq/zcgrgff")</f>
        <v>//lrvl/zhbpqlnd/clnqtjz/rrn/rgrwp/npr/nrbjzvgq/zcgrgff</v>
      </c>
      <c r="K344" s="2"/>
    </row>
    <row r="345">
      <c r="A345" s="1" t="s">
        <v>214</v>
      </c>
      <c r="B345" s="2">
        <f>IFERROR(__xludf.DUMMYFUNCTION("SPLIT(A345,"" "")"),124604.0)</f>
        <v>124604</v>
      </c>
      <c r="C345" s="2" t="str">
        <f>IFERROR(__xludf.DUMMYFUNCTION("""COMPUTED_VALUE"""),"hlvpfw.mlw")</f>
        <v>hlvpfw.mlw</v>
      </c>
      <c r="D345" s="2" t="str">
        <f>IFERROR(__xludf.DUMMYFUNCTION("IF(AND(B345=""$cd"",C345&lt;&gt;""..""),CONCATENATE(D344,""/"",C345),IF(C345="".."",MID(D344,1,LEN(D344)-LEN(REGEXEXTRACT(D344,""(/\w*)$""))),D344))"),"//lrvl/zhbpqlnd/clnqtjz/rrn/rgrwp/npr/nrbjzvgq/zcgrgff")</f>
        <v>//lrvl/zhbpqlnd/clnqtjz/rrn/rgrwp/npr/nrbjzvgq/zcgrgff</v>
      </c>
      <c r="K345" s="2"/>
    </row>
    <row r="346">
      <c r="A346" s="1" t="s">
        <v>612</v>
      </c>
      <c r="B346" s="2" t="str">
        <f>IFERROR(__xludf.DUMMYFUNCTION("SPLIT(A346,"" "")"),"$cd")</f>
        <v>$cd</v>
      </c>
      <c r="C346" s="2" t="str">
        <f>IFERROR(__xludf.DUMMYFUNCTION("""COMPUTED_VALUE"""),"..")</f>
        <v>..</v>
      </c>
      <c r="D346" s="2" t="str">
        <f>IFERROR(__xludf.DUMMYFUNCTION("IF(AND(B346=""$cd"",C346&lt;&gt;""..""),CONCATENATE(D345,""/"",C346),IF(C346="".."",MID(D345,1,LEN(D345)-LEN(REGEXEXTRACT(D345,""(/\w*)$""))),D345))"),"//lrvl/zhbpqlnd/clnqtjz/rrn/rgrwp/npr/nrbjzvgq")</f>
        <v>//lrvl/zhbpqlnd/clnqtjz/rrn/rgrwp/npr/nrbjzvgq</v>
      </c>
      <c r="K346" s="2"/>
    </row>
    <row r="347">
      <c r="A347" s="1" t="s">
        <v>612</v>
      </c>
      <c r="B347" s="2" t="str">
        <f>IFERROR(__xludf.DUMMYFUNCTION("SPLIT(A347,"" "")"),"$cd")</f>
        <v>$cd</v>
      </c>
      <c r="C347" s="2" t="str">
        <f>IFERROR(__xludf.DUMMYFUNCTION("""COMPUTED_VALUE"""),"..")</f>
        <v>..</v>
      </c>
      <c r="D347" s="2" t="str">
        <f>IFERROR(__xludf.DUMMYFUNCTION("IF(AND(B347=""$cd"",C347&lt;&gt;""..""),CONCATENATE(D346,""/"",C347),IF(C347="".."",MID(D346,1,LEN(D346)-LEN(REGEXEXTRACT(D346,""(/\w*)$""))),D346))"),"//lrvl/zhbpqlnd/clnqtjz/rrn/rgrwp/npr")</f>
        <v>//lrvl/zhbpqlnd/clnqtjz/rrn/rgrwp/npr</v>
      </c>
      <c r="K347" s="2"/>
    </row>
    <row r="348">
      <c r="A348" s="1" t="s">
        <v>664</v>
      </c>
      <c r="B348" s="2" t="str">
        <f>IFERROR(__xludf.DUMMYFUNCTION("SPLIT(A348,"" "")"),"$cd")</f>
        <v>$cd</v>
      </c>
      <c r="C348" s="2" t="str">
        <f>IFERROR(__xludf.DUMMYFUNCTION("""COMPUTED_VALUE"""),"znbwnh")</f>
        <v>znbwnh</v>
      </c>
      <c r="D348" s="2" t="str">
        <f>IFERROR(__xludf.DUMMYFUNCTION("IF(AND(B348=""$cd"",C348&lt;&gt;""..""),CONCATENATE(D347,""/"",C348),IF(C348="".."",MID(D347,1,LEN(D347)-LEN(REGEXEXTRACT(D347,""(/\w*)$""))),D347))"),"//lrvl/zhbpqlnd/clnqtjz/rrn/rgrwp/npr/znbwnh")</f>
        <v>//lrvl/zhbpqlnd/clnqtjz/rrn/rgrwp/npr/znbwnh</v>
      </c>
      <c r="K348" s="2"/>
    </row>
    <row r="349">
      <c r="A349" s="1" t="s">
        <v>609</v>
      </c>
      <c r="B349" s="2" t="str">
        <f>IFERROR(__xludf.DUMMYFUNCTION("SPLIT(A349,"" "")"),"$ls")</f>
        <v>$ls</v>
      </c>
      <c r="D349" s="2" t="str">
        <f>IFERROR(__xludf.DUMMYFUNCTION("IF(AND(B349=""$cd"",C349&lt;&gt;""..""),CONCATENATE(D348,""/"",C349),IF(C349="".."",MID(D348,1,LEN(D348)-LEN(REGEXEXTRACT(D348,""(/\w*)$""))),D348))"),"//lrvl/zhbpqlnd/clnqtjz/rrn/rgrwp/npr/znbwnh")</f>
        <v>//lrvl/zhbpqlnd/clnqtjz/rrn/rgrwp/npr/znbwnh</v>
      </c>
      <c r="K349" s="2"/>
    </row>
    <row r="350">
      <c r="A350" s="1" t="s">
        <v>216</v>
      </c>
      <c r="B350" s="2">
        <f>IFERROR(__xludf.DUMMYFUNCTION("SPLIT(A350,"" "")"),228293.0)</f>
        <v>228293</v>
      </c>
      <c r="C350" s="2" t="str">
        <f>IFERROR(__xludf.DUMMYFUNCTION("""COMPUTED_VALUE"""),"zcgrgff")</f>
        <v>zcgrgff</v>
      </c>
      <c r="D350" s="2" t="str">
        <f>IFERROR(__xludf.DUMMYFUNCTION("IF(AND(B350=""$cd"",C350&lt;&gt;""..""),CONCATENATE(D349,""/"",C350),IF(C350="".."",MID(D349,1,LEN(D349)-LEN(REGEXEXTRACT(D349,""(/\w*)$""))),D349))"),"//lrvl/zhbpqlnd/clnqtjz/rrn/rgrwp/npr/znbwnh")</f>
        <v>//lrvl/zhbpqlnd/clnqtjz/rrn/rgrwp/npr/znbwnh</v>
      </c>
      <c r="K350" s="2"/>
    </row>
    <row r="351">
      <c r="A351" s="1" t="s">
        <v>612</v>
      </c>
      <c r="B351" s="2" t="str">
        <f>IFERROR(__xludf.DUMMYFUNCTION("SPLIT(A351,"" "")"),"$cd")</f>
        <v>$cd</v>
      </c>
      <c r="C351" s="2" t="str">
        <f>IFERROR(__xludf.DUMMYFUNCTION("""COMPUTED_VALUE"""),"..")</f>
        <v>..</v>
      </c>
      <c r="D351" s="2" t="str">
        <f>IFERROR(__xludf.DUMMYFUNCTION("IF(AND(B351=""$cd"",C351&lt;&gt;""..""),CONCATENATE(D350,""/"",C351),IF(C351="".."",MID(D350,1,LEN(D350)-LEN(REGEXEXTRACT(D350,""(/\w*)$""))),D350))"),"//lrvl/zhbpqlnd/clnqtjz/rrn/rgrwp/npr")</f>
        <v>//lrvl/zhbpqlnd/clnqtjz/rrn/rgrwp/npr</v>
      </c>
      <c r="K351" s="2"/>
    </row>
    <row r="352">
      <c r="A352" s="1" t="s">
        <v>612</v>
      </c>
      <c r="B352" s="2" t="str">
        <f>IFERROR(__xludf.DUMMYFUNCTION("SPLIT(A352,"" "")"),"$cd")</f>
        <v>$cd</v>
      </c>
      <c r="C352" s="2" t="str">
        <f>IFERROR(__xludf.DUMMYFUNCTION("""COMPUTED_VALUE"""),"..")</f>
        <v>..</v>
      </c>
      <c r="D352" s="2" t="str">
        <f>IFERROR(__xludf.DUMMYFUNCTION("IF(AND(B352=""$cd"",C352&lt;&gt;""..""),CONCATENATE(D351,""/"",C352),IF(C352="".."",MID(D351,1,LEN(D351)-LEN(REGEXEXTRACT(D351,""(/\w*)$""))),D351))"),"//lrvl/zhbpqlnd/clnqtjz/rrn/rgrwp")</f>
        <v>//lrvl/zhbpqlnd/clnqtjz/rrn/rgrwp</v>
      </c>
      <c r="K352" s="2"/>
    </row>
    <row r="353">
      <c r="A353" s="1" t="s">
        <v>665</v>
      </c>
      <c r="B353" s="2" t="str">
        <f>IFERROR(__xludf.DUMMYFUNCTION("SPLIT(A353,"" "")"),"$cd")</f>
        <v>$cd</v>
      </c>
      <c r="C353" s="2" t="str">
        <f>IFERROR(__xludf.DUMMYFUNCTION("""COMPUTED_VALUE"""),"sdsppq")</f>
        <v>sdsppq</v>
      </c>
      <c r="D353" s="2" t="str">
        <f>IFERROR(__xludf.DUMMYFUNCTION("IF(AND(B353=""$cd"",C353&lt;&gt;""..""),CONCATENATE(D352,""/"",C353),IF(C353="".."",MID(D352,1,LEN(D352)-LEN(REGEXEXTRACT(D352,""(/\w*)$""))),D352))"),"//lrvl/zhbpqlnd/clnqtjz/rrn/rgrwp/sdsppq")</f>
        <v>//lrvl/zhbpqlnd/clnqtjz/rrn/rgrwp/sdsppq</v>
      </c>
      <c r="K353" s="2"/>
    </row>
    <row r="354">
      <c r="A354" s="1" t="s">
        <v>609</v>
      </c>
      <c r="B354" s="2" t="str">
        <f>IFERROR(__xludf.DUMMYFUNCTION("SPLIT(A354,"" "")"),"$ls")</f>
        <v>$ls</v>
      </c>
      <c r="D354" s="2" t="str">
        <f>IFERROR(__xludf.DUMMYFUNCTION("IF(AND(B354=""$cd"",C354&lt;&gt;""..""),CONCATENATE(D353,""/"",C354),IF(C354="".."",MID(D353,1,LEN(D353)-LEN(REGEXEXTRACT(D353,""(/\w*)$""))),D353))"),"//lrvl/zhbpqlnd/clnqtjz/rrn/rgrwp/sdsppq")</f>
        <v>//lrvl/zhbpqlnd/clnqtjz/rrn/rgrwp/sdsppq</v>
      </c>
      <c r="K354" s="2"/>
    </row>
    <row r="355">
      <c r="A355" s="1" t="s">
        <v>218</v>
      </c>
      <c r="B355" s="2">
        <f>IFERROR(__xludf.DUMMYFUNCTION("SPLIT(A355,"" "")"),235741.0)</f>
        <v>235741</v>
      </c>
      <c r="C355" s="2" t="str">
        <f>IFERROR(__xludf.DUMMYFUNCTION("""COMPUTED_VALUE"""),"bcsdzpfj.lvd")</f>
        <v>bcsdzpfj.lvd</v>
      </c>
      <c r="D355" s="2" t="str">
        <f>IFERROR(__xludf.DUMMYFUNCTION("IF(AND(B355=""$cd"",C355&lt;&gt;""..""),CONCATENATE(D354,""/"",C355),IF(C355="".."",MID(D354,1,LEN(D354)-LEN(REGEXEXTRACT(D354,""(/\w*)$""))),D354))"),"//lrvl/zhbpqlnd/clnqtjz/rrn/rgrwp/sdsppq")</f>
        <v>//lrvl/zhbpqlnd/clnqtjz/rrn/rgrwp/sdsppq</v>
      </c>
      <c r="K355" s="2"/>
    </row>
    <row r="356">
      <c r="A356" s="1" t="s">
        <v>4</v>
      </c>
      <c r="B356" s="2" t="str">
        <f>IFERROR(__xludf.DUMMYFUNCTION("SPLIT(A356,"" "")"),"dir")</f>
        <v>dir</v>
      </c>
      <c r="C356" s="2" t="str">
        <f>IFERROR(__xludf.DUMMYFUNCTION("""COMPUTED_VALUE"""),"jnwr")</f>
        <v>jnwr</v>
      </c>
      <c r="D356" s="2" t="str">
        <f>IFERROR(__xludf.DUMMYFUNCTION("IF(AND(B356=""$cd"",C356&lt;&gt;""..""),CONCATENATE(D355,""/"",C356),IF(C356="".."",MID(D355,1,LEN(D355)-LEN(REGEXEXTRACT(D355,""(/\w*)$""))),D355))"),"//lrvl/zhbpqlnd/clnqtjz/rrn/rgrwp/sdsppq")</f>
        <v>//lrvl/zhbpqlnd/clnqtjz/rrn/rgrwp/sdsppq</v>
      </c>
      <c r="K356" s="2"/>
    </row>
    <row r="357">
      <c r="A357" s="1" t="s">
        <v>219</v>
      </c>
      <c r="B357" s="2" t="str">
        <f>IFERROR(__xludf.DUMMYFUNCTION("SPLIT(A357,"" "")"),"dir")</f>
        <v>dir</v>
      </c>
      <c r="C357" s="2" t="str">
        <f>IFERROR(__xludf.DUMMYFUNCTION("""COMPUTED_VALUE"""),"njtrhrfm")</f>
        <v>njtrhrfm</v>
      </c>
      <c r="D357" s="2" t="str">
        <f>IFERROR(__xludf.DUMMYFUNCTION("IF(AND(B357=""$cd"",C357&lt;&gt;""..""),CONCATENATE(D356,""/"",C357),IF(C357="".."",MID(D356,1,LEN(D356)-LEN(REGEXEXTRACT(D356,""(/\w*)$""))),D356))"),"//lrvl/zhbpqlnd/clnqtjz/rrn/rgrwp/sdsppq")</f>
        <v>//lrvl/zhbpqlnd/clnqtjz/rrn/rgrwp/sdsppq</v>
      </c>
      <c r="K357" s="2"/>
    </row>
    <row r="358">
      <c r="A358" s="1" t="s">
        <v>220</v>
      </c>
      <c r="B358" s="2" t="str">
        <f>IFERROR(__xludf.DUMMYFUNCTION("SPLIT(A358,"" "")"),"dir")</f>
        <v>dir</v>
      </c>
      <c r="C358" s="2" t="str">
        <f>IFERROR(__xludf.DUMMYFUNCTION("""COMPUTED_VALUE"""),"tvq")</f>
        <v>tvq</v>
      </c>
      <c r="D358" s="2" t="str">
        <f>IFERROR(__xludf.DUMMYFUNCTION("IF(AND(B358=""$cd"",C358&lt;&gt;""..""),CONCATENATE(D357,""/"",C358),IF(C358="".."",MID(D357,1,LEN(D357)-LEN(REGEXEXTRACT(D357,""(/\w*)$""))),D357))"),"//lrvl/zhbpqlnd/clnqtjz/rrn/rgrwp/sdsppq")</f>
        <v>//lrvl/zhbpqlnd/clnqtjz/rrn/rgrwp/sdsppq</v>
      </c>
      <c r="K358" s="2"/>
    </row>
    <row r="359">
      <c r="A359" s="1" t="s">
        <v>221</v>
      </c>
      <c r="B359" s="2" t="str">
        <f>IFERROR(__xludf.DUMMYFUNCTION("SPLIT(A359,"" "")"),"dir")</f>
        <v>dir</v>
      </c>
      <c r="C359" s="2" t="str">
        <f>IFERROR(__xludf.DUMMYFUNCTION("""COMPUTED_VALUE"""),"wshgn")</f>
        <v>wshgn</v>
      </c>
      <c r="D359" s="2" t="str">
        <f>IFERROR(__xludf.DUMMYFUNCTION("IF(AND(B359=""$cd"",C359&lt;&gt;""..""),CONCATENATE(D358,""/"",C359),IF(C359="".."",MID(D358,1,LEN(D358)-LEN(REGEXEXTRACT(D358,""(/\w*)$""))),D358))"),"//lrvl/zhbpqlnd/clnqtjz/rrn/rgrwp/sdsppq")</f>
        <v>//lrvl/zhbpqlnd/clnqtjz/rrn/rgrwp/sdsppq</v>
      </c>
      <c r="K359" s="2"/>
    </row>
    <row r="360">
      <c r="A360" s="1" t="s">
        <v>614</v>
      </c>
      <c r="B360" s="2" t="str">
        <f>IFERROR(__xludf.DUMMYFUNCTION("SPLIT(A360,"" "")"),"$cd")</f>
        <v>$cd</v>
      </c>
      <c r="C360" s="2" t="str">
        <f>IFERROR(__xludf.DUMMYFUNCTION("""COMPUTED_VALUE"""),"jnwr")</f>
        <v>jnwr</v>
      </c>
      <c r="D360" s="2" t="str">
        <f>IFERROR(__xludf.DUMMYFUNCTION("IF(AND(B360=""$cd"",C360&lt;&gt;""..""),CONCATENATE(D359,""/"",C360),IF(C360="".."",MID(D359,1,LEN(D359)-LEN(REGEXEXTRACT(D359,""(/\w*)$""))),D359))"),"//lrvl/zhbpqlnd/clnqtjz/rrn/rgrwp/sdsppq/jnwr")</f>
        <v>//lrvl/zhbpqlnd/clnqtjz/rrn/rgrwp/sdsppq/jnwr</v>
      </c>
      <c r="K360" s="2"/>
    </row>
    <row r="361">
      <c r="A361" s="1" t="s">
        <v>609</v>
      </c>
      <c r="B361" s="2" t="str">
        <f>IFERROR(__xludf.DUMMYFUNCTION("SPLIT(A361,"" "")"),"$ls")</f>
        <v>$ls</v>
      </c>
      <c r="D361" s="2" t="str">
        <f>IFERROR(__xludf.DUMMYFUNCTION("IF(AND(B361=""$cd"",C361&lt;&gt;""..""),CONCATENATE(D360,""/"",C361),IF(C361="".."",MID(D360,1,LEN(D360)-LEN(REGEXEXTRACT(D360,""(/\w*)$""))),D360))"),"//lrvl/zhbpqlnd/clnqtjz/rrn/rgrwp/sdsppq/jnwr")</f>
        <v>//lrvl/zhbpqlnd/clnqtjz/rrn/rgrwp/sdsppq/jnwr</v>
      </c>
      <c r="K361" s="2"/>
    </row>
    <row r="362">
      <c r="A362" s="1" t="s">
        <v>222</v>
      </c>
      <c r="B362" s="2">
        <f>IFERROR(__xludf.DUMMYFUNCTION("SPLIT(A362,"" "")"),273541.0)</f>
        <v>273541</v>
      </c>
      <c r="C362" s="2" t="str">
        <f>IFERROR(__xludf.DUMMYFUNCTION("""COMPUTED_VALUE"""),"brcps")</f>
        <v>brcps</v>
      </c>
      <c r="D362" s="2" t="str">
        <f>IFERROR(__xludf.DUMMYFUNCTION("IF(AND(B362=""$cd"",C362&lt;&gt;""..""),CONCATENATE(D361,""/"",C362),IF(C362="".."",MID(D361,1,LEN(D361)-LEN(REGEXEXTRACT(D361,""(/\w*)$""))),D361))"),"//lrvl/zhbpqlnd/clnqtjz/rrn/rgrwp/sdsppq/jnwr")</f>
        <v>//lrvl/zhbpqlnd/clnqtjz/rrn/rgrwp/sdsppq/jnwr</v>
      </c>
      <c r="K362" s="2"/>
    </row>
    <row r="363">
      <c r="A363" s="1" t="s">
        <v>223</v>
      </c>
      <c r="B363" s="2" t="str">
        <f>IFERROR(__xludf.DUMMYFUNCTION("SPLIT(A363,"" "")"),"dir")</f>
        <v>dir</v>
      </c>
      <c r="C363" s="2" t="str">
        <f>IFERROR(__xludf.DUMMYFUNCTION("""COMPUTED_VALUE"""),"gjt")</f>
        <v>gjt</v>
      </c>
      <c r="D363" s="2" t="str">
        <f>IFERROR(__xludf.DUMMYFUNCTION("IF(AND(B363=""$cd"",C363&lt;&gt;""..""),CONCATENATE(D362,""/"",C363),IF(C363="".."",MID(D362,1,LEN(D362)-LEN(REGEXEXTRACT(D362,""(/\w*)$""))),D362))"),"//lrvl/zhbpqlnd/clnqtjz/rrn/rgrwp/sdsppq/jnwr")</f>
        <v>//lrvl/zhbpqlnd/clnqtjz/rrn/rgrwp/sdsppq/jnwr</v>
      </c>
      <c r="K363" s="2"/>
    </row>
    <row r="364">
      <c r="A364" s="1" t="s">
        <v>50</v>
      </c>
      <c r="B364" s="2" t="str">
        <f>IFERROR(__xludf.DUMMYFUNCTION("SPLIT(A364,"" "")"),"dir")</f>
        <v>dir</v>
      </c>
      <c r="C364" s="2" t="str">
        <f>IFERROR(__xludf.DUMMYFUNCTION("""COMPUTED_VALUE"""),"hlvpfw")</f>
        <v>hlvpfw</v>
      </c>
      <c r="D364" s="2" t="str">
        <f>IFERROR(__xludf.DUMMYFUNCTION("IF(AND(B364=""$cd"",C364&lt;&gt;""..""),CONCATENATE(D363,""/"",C364),IF(C364="".."",MID(D363,1,LEN(D363)-LEN(REGEXEXTRACT(D363,""(/\w*)$""))),D363))"),"//lrvl/zhbpqlnd/clnqtjz/rrn/rgrwp/sdsppq/jnwr")</f>
        <v>//lrvl/zhbpqlnd/clnqtjz/rrn/rgrwp/sdsppq/jnwr</v>
      </c>
      <c r="K364" s="2"/>
    </row>
    <row r="365">
      <c r="A365" s="1" t="s">
        <v>224</v>
      </c>
      <c r="B365" s="2" t="str">
        <f>IFERROR(__xludf.DUMMYFUNCTION("SPLIT(A365,"" "")"),"dir")</f>
        <v>dir</v>
      </c>
      <c r="C365" s="2" t="str">
        <f>IFERROR(__xludf.DUMMYFUNCTION("""COMPUTED_VALUE"""),"nbsdvpnj")</f>
        <v>nbsdvpnj</v>
      </c>
      <c r="D365" s="2" t="str">
        <f>IFERROR(__xludf.DUMMYFUNCTION("IF(AND(B365=""$cd"",C365&lt;&gt;""..""),CONCATENATE(D364,""/"",C365),IF(C365="".."",MID(D364,1,LEN(D364)-LEN(REGEXEXTRACT(D364,""(/\w*)$""))),D364))"),"//lrvl/zhbpqlnd/clnqtjz/rrn/rgrwp/sdsppq/jnwr")</f>
        <v>//lrvl/zhbpqlnd/clnqtjz/rrn/rgrwp/sdsppq/jnwr</v>
      </c>
      <c r="K365" s="2"/>
    </row>
    <row r="366">
      <c r="A366" s="1" t="s">
        <v>46</v>
      </c>
      <c r="B366" s="2" t="str">
        <f>IFERROR(__xludf.DUMMYFUNCTION("SPLIT(A366,"" "")"),"dir")</f>
        <v>dir</v>
      </c>
      <c r="C366" s="2" t="str">
        <f>IFERROR(__xludf.DUMMYFUNCTION("""COMPUTED_VALUE"""),"zcgrgff")</f>
        <v>zcgrgff</v>
      </c>
      <c r="D366" s="2" t="str">
        <f>IFERROR(__xludf.DUMMYFUNCTION("IF(AND(B366=""$cd"",C366&lt;&gt;""..""),CONCATENATE(D365,""/"",C366),IF(C366="".."",MID(D365,1,LEN(D365)-LEN(REGEXEXTRACT(D365,""(/\w*)$""))),D365))"),"//lrvl/zhbpqlnd/clnqtjz/rrn/rgrwp/sdsppq/jnwr")</f>
        <v>//lrvl/zhbpqlnd/clnqtjz/rrn/rgrwp/sdsppq/jnwr</v>
      </c>
      <c r="K366" s="2"/>
    </row>
    <row r="367">
      <c r="A367" s="1" t="s">
        <v>666</v>
      </c>
      <c r="B367" s="2" t="str">
        <f>IFERROR(__xludf.DUMMYFUNCTION("SPLIT(A367,"" "")"),"$cd")</f>
        <v>$cd</v>
      </c>
      <c r="C367" s="2" t="str">
        <f>IFERROR(__xludf.DUMMYFUNCTION("""COMPUTED_VALUE"""),"gjt")</f>
        <v>gjt</v>
      </c>
      <c r="D367" s="2" t="str">
        <f>IFERROR(__xludf.DUMMYFUNCTION("IF(AND(B367=""$cd"",C367&lt;&gt;""..""),CONCATENATE(D366,""/"",C367),IF(C367="".."",MID(D366,1,LEN(D366)-LEN(REGEXEXTRACT(D366,""(/\w*)$""))),D366))"),"//lrvl/zhbpqlnd/clnqtjz/rrn/rgrwp/sdsppq/jnwr/gjt")</f>
        <v>//lrvl/zhbpqlnd/clnqtjz/rrn/rgrwp/sdsppq/jnwr/gjt</v>
      </c>
      <c r="K367" s="2"/>
    </row>
    <row r="368">
      <c r="A368" s="1" t="s">
        <v>609</v>
      </c>
      <c r="B368" s="2" t="str">
        <f>IFERROR(__xludf.DUMMYFUNCTION("SPLIT(A368,"" "")"),"$ls")</f>
        <v>$ls</v>
      </c>
      <c r="D368" s="2" t="str">
        <f>IFERROR(__xludf.DUMMYFUNCTION("IF(AND(B368=""$cd"",C368&lt;&gt;""..""),CONCATENATE(D367,""/"",C368),IF(C368="".."",MID(D367,1,LEN(D367)-LEN(REGEXEXTRACT(D367,""(/\w*)$""))),D367))"),"//lrvl/zhbpqlnd/clnqtjz/rrn/rgrwp/sdsppq/jnwr/gjt")</f>
        <v>//lrvl/zhbpqlnd/clnqtjz/rrn/rgrwp/sdsppq/jnwr/gjt</v>
      </c>
      <c r="K368" s="2"/>
    </row>
    <row r="369">
      <c r="A369" s="1" t="s">
        <v>226</v>
      </c>
      <c r="B369" s="2">
        <f>IFERROR(__xludf.DUMMYFUNCTION("SPLIT(A369,"" "")"),184707.0)</f>
        <v>184707</v>
      </c>
      <c r="C369" s="2" t="str">
        <f>IFERROR(__xludf.DUMMYFUNCTION("""COMPUTED_VALUE"""),"zbdp.gqb")</f>
        <v>zbdp.gqb</v>
      </c>
      <c r="D369" s="2" t="str">
        <f>IFERROR(__xludf.DUMMYFUNCTION("IF(AND(B369=""$cd"",C369&lt;&gt;""..""),CONCATENATE(D368,""/"",C369),IF(C369="".."",MID(D368,1,LEN(D368)-LEN(REGEXEXTRACT(D368,""(/\w*)$""))),D368))"),"//lrvl/zhbpqlnd/clnqtjz/rrn/rgrwp/sdsppq/jnwr/gjt")</f>
        <v>//lrvl/zhbpqlnd/clnqtjz/rrn/rgrwp/sdsppq/jnwr/gjt</v>
      </c>
      <c r="K369" s="2"/>
    </row>
    <row r="370">
      <c r="A370" s="1" t="s">
        <v>612</v>
      </c>
      <c r="B370" s="2" t="str">
        <f>IFERROR(__xludf.DUMMYFUNCTION("SPLIT(A370,"" "")"),"$cd")</f>
        <v>$cd</v>
      </c>
      <c r="C370" s="2" t="str">
        <f>IFERROR(__xludf.DUMMYFUNCTION("""COMPUTED_VALUE"""),"..")</f>
        <v>..</v>
      </c>
      <c r="D370" s="2" t="str">
        <f>IFERROR(__xludf.DUMMYFUNCTION("IF(AND(B370=""$cd"",C370&lt;&gt;""..""),CONCATENATE(D369,""/"",C370),IF(C370="".."",MID(D369,1,LEN(D369)-LEN(REGEXEXTRACT(D369,""(/\w*)$""))),D369))"),"//lrvl/zhbpqlnd/clnqtjz/rrn/rgrwp/sdsppq/jnwr")</f>
        <v>//lrvl/zhbpqlnd/clnqtjz/rrn/rgrwp/sdsppq/jnwr</v>
      </c>
      <c r="K370" s="2"/>
    </row>
    <row r="371">
      <c r="A371" s="1" t="s">
        <v>622</v>
      </c>
      <c r="B371" s="2" t="str">
        <f>IFERROR(__xludf.DUMMYFUNCTION("SPLIT(A371,"" "")"),"$cd")</f>
        <v>$cd</v>
      </c>
      <c r="C371" s="2" t="str">
        <f>IFERROR(__xludf.DUMMYFUNCTION("""COMPUTED_VALUE"""),"hlvpfw")</f>
        <v>hlvpfw</v>
      </c>
      <c r="D371" s="2" t="str">
        <f>IFERROR(__xludf.DUMMYFUNCTION("IF(AND(B371=""$cd"",C371&lt;&gt;""..""),CONCATENATE(D370,""/"",C371),IF(C371="".."",MID(D370,1,LEN(D370)-LEN(REGEXEXTRACT(D370,""(/\w*)$""))),D370))"),"//lrvl/zhbpqlnd/clnqtjz/rrn/rgrwp/sdsppq/jnwr/hlvpfw")</f>
        <v>//lrvl/zhbpqlnd/clnqtjz/rrn/rgrwp/sdsppq/jnwr/hlvpfw</v>
      </c>
      <c r="K371" s="2"/>
    </row>
    <row r="372">
      <c r="A372" s="1" t="s">
        <v>609</v>
      </c>
      <c r="B372" s="2" t="str">
        <f>IFERROR(__xludf.DUMMYFUNCTION("SPLIT(A372,"" "")"),"$ls")</f>
        <v>$ls</v>
      </c>
      <c r="D372" s="2" t="str">
        <f>IFERROR(__xludf.DUMMYFUNCTION("IF(AND(B372=""$cd"",C372&lt;&gt;""..""),CONCATENATE(D371,""/"",C372),IF(C372="".."",MID(D371,1,LEN(D371)-LEN(REGEXEXTRACT(D371,""(/\w*)$""))),D371))"),"//lrvl/zhbpqlnd/clnqtjz/rrn/rgrwp/sdsppq/jnwr/hlvpfw")</f>
        <v>//lrvl/zhbpqlnd/clnqtjz/rrn/rgrwp/sdsppq/jnwr/hlvpfw</v>
      </c>
      <c r="K372" s="2"/>
    </row>
    <row r="373">
      <c r="A373" s="1" t="s">
        <v>227</v>
      </c>
      <c r="B373" s="2">
        <f>IFERROR(__xludf.DUMMYFUNCTION("SPLIT(A373,"" "")"),242810.0)</f>
        <v>242810</v>
      </c>
      <c r="C373" s="2" t="str">
        <f>IFERROR(__xludf.DUMMYFUNCTION("""COMPUTED_VALUE"""),"zcgrgff")</f>
        <v>zcgrgff</v>
      </c>
      <c r="D373" s="2" t="str">
        <f>IFERROR(__xludf.DUMMYFUNCTION("IF(AND(B373=""$cd"",C373&lt;&gt;""..""),CONCATENATE(D372,""/"",C373),IF(C373="".."",MID(D372,1,LEN(D372)-LEN(REGEXEXTRACT(D372,""(/\w*)$""))),D372))"),"//lrvl/zhbpqlnd/clnqtjz/rrn/rgrwp/sdsppq/jnwr/hlvpfw")</f>
        <v>//lrvl/zhbpqlnd/clnqtjz/rrn/rgrwp/sdsppq/jnwr/hlvpfw</v>
      </c>
      <c r="K373" s="2"/>
    </row>
    <row r="374">
      <c r="A374" s="1" t="s">
        <v>612</v>
      </c>
      <c r="B374" s="2" t="str">
        <f>IFERROR(__xludf.DUMMYFUNCTION("SPLIT(A374,"" "")"),"$cd")</f>
        <v>$cd</v>
      </c>
      <c r="C374" s="2" t="str">
        <f>IFERROR(__xludf.DUMMYFUNCTION("""COMPUTED_VALUE"""),"..")</f>
        <v>..</v>
      </c>
      <c r="D374" s="2" t="str">
        <f>IFERROR(__xludf.DUMMYFUNCTION("IF(AND(B374=""$cd"",C374&lt;&gt;""..""),CONCATENATE(D373,""/"",C374),IF(C374="".."",MID(D373,1,LEN(D373)-LEN(REGEXEXTRACT(D373,""(/\w*)$""))),D373))"),"//lrvl/zhbpqlnd/clnqtjz/rrn/rgrwp/sdsppq/jnwr")</f>
        <v>//lrvl/zhbpqlnd/clnqtjz/rrn/rgrwp/sdsppq/jnwr</v>
      </c>
      <c r="K374" s="2"/>
    </row>
    <row r="375">
      <c r="A375" s="1" t="s">
        <v>667</v>
      </c>
      <c r="B375" s="2" t="str">
        <f>IFERROR(__xludf.DUMMYFUNCTION("SPLIT(A375,"" "")"),"$cd")</f>
        <v>$cd</v>
      </c>
      <c r="C375" s="2" t="str">
        <f>IFERROR(__xludf.DUMMYFUNCTION("""COMPUTED_VALUE"""),"nbsdvpnj")</f>
        <v>nbsdvpnj</v>
      </c>
      <c r="D375" s="2" t="str">
        <f>IFERROR(__xludf.DUMMYFUNCTION("IF(AND(B375=""$cd"",C375&lt;&gt;""..""),CONCATENATE(D374,""/"",C375),IF(C375="".."",MID(D374,1,LEN(D374)-LEN(REGEXEXTRACT(D374,""(/\w*)$""))),D374))"),"//lrvl/zhbpqlnd/clnqtjz/rrn/rgrwp/sdsppq/jnwr/nbsdvpnj")</f>
        <v>//lrvl/zhbpqlnd/clnqtjz/rrn/rgrwp/sdsppq/jnwr/nbsdvpnj</v>
      </c>
      <c r="K375" s="2"/>
    </row>
    <row r="376">
      <c r="A376" s="1" t="s">
        <v>609</v>
      </c>
      <c r="B376" s="2" t="str">
        <f>IFERROR(__xludf.DUMMYFUNCTION("SPLIT(A376,"" "")"),"$ls")</f>
        <v>$ls</v>
      </c>
      <c r="D376" s="2" t="str">
        <f>IFERROR(__xludf.DUMMYFUNCTION("IF(AND(B376=""$cd"",C376&lt;&gt;""..""),CONCATENATE(D375,""/"",C376),IF(C376="".."",MID(D375,1,LEN(D375)-LEN(REGEXEXTRACT(D375,""(/\w*)$""))),D375))"),"//lrvl/zhbpqlnd/clnqtjz/rrn/rgrwp/sdsppq/jnwr/nbsdvpnj")</f>
        <v>//lrvl/zhbpqlnd/clnqtjz/rrn/rgrwp/sdsppq/jnwr/nbsdvpnj</v>
      </c>
      <c r="K376" s="2"/>
    </row>
    <row r="377">
      <c r="A377" s="1" t="s">
        <v>229</v>
      </c>
      <c r="B377" s="2">
        <f>IFERROR(__xludf.DUMMYFUNCTION("SPLIT(A377,"" "")"),181797.0)</f>
        <v>181797</v>
      </c>
      <c r="C377" s="2" t="str">
        <f>IFERROR(__xludf.DUMMYFUNCTION("""COMPUTED_VALUE"""),"hlvpfw.gsd")</f>
        <v>hlvpfw.gsd</v>
      </c>
      <c r="D377" s="2" t="str">
        <f>IFERROR(__xludf.DUMMYFUNCTION("IF(AND(B377=""$cd"",C377&lt;&gt;""..""),CONCATENATE(D376,""/"",C377),IF(C377="".."",MID(D376,1,LEN(D376)-LEN(REGEXEXTRACT(D376,""(/\w*)$""))),D376))"),"//lrvl/zhbpqlnd/clnqtjz/rrn/rgrwp/sdsppq/jnwr/nbsdvpnj")</f>
        <v>//lrvl/zhbpqlnd/clnqtjz/rrn/rgrwp/sdsppq/jnwr/nbsdvpnj</v>
      </c>
      <c r="K377" s="2"/>
    </row>
    <row r="378">
      <c r="A378" s="1" t="s">
        <v>230</v>
      </c>
      <c r="B378" s="2">
        <f>IFERROR(__xludf.DUMMYFUNCTION("SPLIT(A378,"" "")"),294284.0)</f>
        <v>294284</v>
      </c>
      <c r="C378" s="2" t="str">
        <f>IFERROR(__xludf.DUMMYFUNCTION("""COMPUTED_VALUE"""),"hmqfdht")</f>
        <v>hmqfdht</v>
      </c>
      <c r="D378" s="2" t="str">
        <f>IFERROR(__xludf.DUMMYFUNCTION("IF(AND(B378=""$cd"",C378&lt;&gt;""..""),CONCATENATE(D377,""/"",C378),IF(C378="".."",MID(D377,1,LEN(D377)-LEN(REGEXEXTRACT(D377,""(/\w*)$""))),D377))"),"//lrvl/zhbpqlnd/clnqtjz/rrn/rgrwp/sdsppq/jnwr/nbsdvpnj")</f>
        <v>//lrvl/zhbpqlnd/clnqtjz/rrn/rgrwp/sdsppq/jnwr/nbsdvpnj</v>
      </c>
      <c r="K378" s="2"/>
    </row>
    <row r="379">
      <c r="A379" s="1" t="s">
        <v>231</v>
      </c>
      <c r="B379" s="2">
        <f>IFERROR(__xludf.DUMMYFUNCTION("SPLIT(A379,"" "")"),215098.0)</f>
        <v>215098</v>
      </c>
      <c r="C379" s="2" t="str">
        <f>IFERROR(__xludf.DUMMYFUNCTION("""COMPUTED_VALUE"""),"mqbclwwq")</f>
        <v>mqbclwwq</v>
      </c>
      <c r="D379" s="2" t="str">
        <f>IFERROR(__xludf.DUMMYFUNCTION("IF(AND(B379=""$cd"",C379&lt;&gt;""..""),CONCATENATE(D378,""/"",C379),IF(C379="".."",MID(D378,1,LEN(D378)-LEN(REGEXEXTRACT(D378,""(/\w*)$""))),D378))"),"//lrvl/zhbpqlnd/clnqtjz/rrn/rgrwp/sdsppq/jnwr/nbsdvpnj")</f>
        <v>//lrvl/zhbpqlnd/clnqtjz/rrn/rgrwp/sdsppq/jnwr/nbsdvpnj</v>
      </c>
      <c r="K379" s="2"/>
    </row>
    <row r="380">
      <c r="A380" s="1" t="s">
        <v>612</v>
      </c>
      <c r="B380" s="2" t="str">
        <f>IFERROR(__xludf.DUMMYFUNCTION("SPLIT(A380,"" "")"),"$cd")</f>
        <v>$cd</v>
      </c>
      <c r="C380" s="2" t="str">
        <f>IFERROR(__xludf.DUMMYFUNCTION("""COMPUTED_VALUE"""),"..")</f>
        <v>..</v>
      </c>
      <c r="D380" s="2" t="str">
        <f>IFERROR(__xludf.DUMMYFUNCTION("IF(AND(B380=""$cd"",C380&lt;&gt;""..""),CONCATENATE(D379,""/"",C380),IF(C380="".."",MID(D379,1,LEN(D379)-LEN(REGEXEXTRACT(D379,""(/\w*)$""))),D379))"),"//lrvl/zhbpqlnd/clnqtjz/rrn/rgrwp/sdsppq/jnwr")</f>
        <v>//lrvl/zhbpqlnd/clnqtjz/rrn/rgrwp/sdsppq/jnwr</v>
      </c>
      <c r="K380" s="2"/>
    </row>
    <row r="381">
      <c r="A381" s="1" t="s">
        <v>625</v>
      </c>
      <c r="B381" s="2" t="str">
        <f>IFERROR(__xludf.DUMMYFUNCTION("SPLIT(A381,"" "")"),"$cd")</f>
        <v>$cd</v>
      </c>
      <c r="C381" s="2" t="str">
        <f>IFERROR(__xludf.DUMMYFUNCTION("""COMPUTED_VALUE"""),"zcgrgff")</f>
        <v>zcgrgff</v>
      </c>
      <c r="D381" s="2" t="str">
        <f>IFERROR(__xludf.DUMMYFUNCTION("IF(AND(B381=""$cd"",C381&lt;&gt;""..""),CONCATENATE(D380,""/"",C381),IF(C381="".."",MID(D380,1,LEN(D380)-LEN(REGEXEXTRACT(D380,""(/\w*)$""))),D380))"),"//lrvl/zhbpqlnd/clnqtjz/rrn/rgrwp/sdsppq/jnwr/zcgrgff")</f>
        <v>//lrvl/zhbpqlnd/clnqtjz/rrn/rgrwp/sdsppq/jnwr/zcgrgff</v>
      </c>
      <c r="K381" s="2"/>
    </row>
    <row r="382">
      <c r="A382" s="1" t="s">
        <v>609</v>
      </c>
      <c r="B382" s="2" t="str">
        <f>IFERROR(__xludf.DUMMYFUNCTION("SPLIT(A382,"" "")"),"$ls")</f>
        <v>$ls</v>
      </c>
      <c r="D382" s="2" t="str">
        <f>IFERROR(__xludf.DUMMYFUNCTION("IF(AND(B382=""$cd"",C382&lt;&gt;""..""),CONCATENATE(D381,""/"",C382),IF(C382="".."",MID(D381,1,LEN(D381)-LEN(REGEXEXTRACT(D381,""(/\w*)$""))),D381))"),"//lrvl/zhbpqlnd/clnqtjz/rrn/rgrwp/sdsppq/jnwr/zcgrgff")</f>
        <v>//lrvl/zhbpqlnd/clnqtjz/rrn/rgrwp/sdsppq/jnwr/zcgrgff</v>
      </c>
      <c r="K382" s="2"/>
    </row>
    <row r="383">
      <c r="A383" s="1" t="s">
        <v>232</v>
      </c>
      <c r="B383" s="2">
        <f>IFERROR(__xludf.DUMMYFUNCTION("SPLIT(A383,"" "")"),188814.0)</f>
        <v>188814</v>
      </c>
      <c r="C383" s="2" t="str">
        <f>IFERROR(__xludf.DUMMYFUNCTION("""COMPUTED_VALUE"""),"hmqfdht")</f>
        <v>hmqfdht</v>
      </c>
      <c r="D383" s="2" t="str">
        <f>IFERROR(__xludf.DUMMYFUNCTION("IF(AND(B383=""$cd"",C383&lt;&gt;""..""),CONCATENATE(D382,""/"",C383),IF(C383="".."",MID(D382,1,LEN(D382)-LEN(REGEXEXTRACT(D382,""(/\w*)$""))),D382))"),"//lrvl/zhbpqlnd/clnqtjz/rrn/rgrwp/sdsppq/jnwr/zcgrgff")</f>
        <v>//lrvl/zhbpqlnd/clnqtjz/rrn/rgrwp/sdsppq/jnwr/zcgrgff</v>
      </c>
      <c r="K383" s="2"/>
    </row>
    <row r="384">
      <c r="A384" s="1" t="s">
        <v>612</v>
      </c>
      <c r="B384" s="2" t="str">
        <f>IFERROR(__xludf.DUMMYFUNCTION("SPLIT(A384,"" "")"),"$cd")</f>
        <v>$cd</v>
      </c>
      <c r="C384" s="2" t="str">
        <f>IFERROR(__xludf.DUMMYFUNCTION("""COMPUTED_VALUE"""),"..")</f>
        <v>..</v>
      </c>
      <c r="D384" s="2" t="str">
        <f>IFERROR(__xludf.DUMMYFUNCTION("IF(AND(B384=""$cd"",C384&lt;&gt;""..""),CONCATENATE(D383,""/"",C384),IF(C384="".."",MID(D383,1,LEN(D383)-LEN(REGEXEXTRACT(D383,""(/\w*)$""))),D383))"),"//lrvl/zhbpqlnd/clnqtjz/rrn/rgrwp/sdsppq/jnwr")</f>
        <v>//lrvl/zhbpqlnd/clnqtjz/rrn/rgrwp/sdsppq/jnwr</v>
      </c>
      <c r="K384" s="2"/>
    </row>
    <row r="385">
      <c r="A385" s="1" t="s">
        <v>612</v>
      </c>
      <c r="B385" s="2" t="str">
        <f>IFERROR(__xludf.DUMMYFUNCTION("SPLIT(A385,"" "")"),"$cd")</f>
        <v>$cd</v>
      </c>
      <c r="C385" s="2" t="str">
        <f>IFERROR(__xludf.DUMMYFUNCTION("""COMPUTED_VALUE"""),"..")</f>
        <v>..</v>
      </c>
      <c r="D385" s="2" t="str">
        <f>IFERROR(__xludf.DUMMYFUNCTION("IF(AND(B385=""$cd"",C385&lt;&gt;""..""),CONCATENATE(D384,""/"",C385),IF(C385="".."",MID(D384,1,LEN(D384)-LEN(REGEXEXTRACT(D384,""(/\w*)$""))),D384))"),"//lrvl/zhbpqlnd/clnqtjz/rrn/rgrwp/sdsppq")</f>
        <v>//lrvl/zhbpqlnd/clnqtjz/rrn/rgrwp/sdsppq</v>
      </c>
      <c r="K385" s="2"/>
    </row>
    <row r="386">
      <c r="A386" s="1" t="s">
        <v>668</v>
      </c>
      <c r="B386" s="2" t="str">
        <f>IFERROR(__xludf.DUMMYFUNCTION("SPLIT(A386,"" "")"),"$cd")</f>
        <v>$cd</v>
      </c>
      <c r="C386" s="2" t="str">
        <f>IFERROR(__xludf.DUMMYFUNCTION("""COMPUTED_VALUE"""),"njtrhrfm")</f>
        <v>njtrhrfm</v>
      </c>
      <c r="D386" s="2" t="str">
        <f>IFERROR(__xludf.DUMMYFUNCTION("IF(AND(B386=""$cd"",C386&lt;&gt;""..""),CONCATENATE(D385,""/"",C386),IF(C386="".."",MID(D385,1,LEN(D385)-LEN(REGEXEXTRACT(D385,""(/\w*)$""))),D385))"),"//lrvl/zhbpqlnd/clnqtjz/rrn/rgrwp/sdsppq/njtrhrfm")</f>
        <v>//lrvl/zhbpqlnd/clnqtjz/rrn/rgrwp/sdsppq/njtrhrfm</v>
      </c>
      <c r="K386" s="2"/>
    </row>
    <row r="387">
      <c r="A387" s="1" t="s">
        <v>609</v>
      </c>
      <c r="B387" s="2" t="str">
        <f>IFERROR(__xludf.DUMMYFUNCTION("SPLIT(A387,"" "")"),"$ls")</f>
        <v>$ls</v>
      </c>
      <c r="D387" s="2" t="str">
        <f>IFERROR(__xludf.DUMMYFUNCTION("IF(AND(B387=""$cd"",C387&lt;&gt;""..""),CONCATENATE(D386,""/"",C387),IF(C387="".."",MID(D386,1,LEN(D386)-LEN(REGEXEXTRACT(D386,""(/\w*)$""))),D386))"),"//lrvl/zhbpqlnd/clnqtjz/rrn/rgrwp/sdsppq/njtrhrfm")</f>
        <v>//lrvl/zhbpqlnd/clnqtjz/rrn/rgrwp/sdsppq/njtrhrfm</v>
      </c>
      <c r="K387" s="2"/>
    </row>
    <row r="388">
      <c r="A388" s="1" t="s">
        <v>234</v>
      </c>
      <c r="B388" s="2" t="str">
        <f>IFERROR(__xludf.DUMMYFUNCTION("SPLIT(A388,"" "")"),"dir")</f>
        <v>dir</v>
      </c>
      <c r="C388" s="2" t="str">
        <f>IFERROR(__xludf.DUMMYFUNCTION("""COMPUTED_VALUE"""),"dqpjdztt")</f>
        <v>dqpjdztt</v>
      </c>
      <c r="D388" s="2" t="str">
        <f>IFERROR(__xludf.DUMMYFUNCTION("IF(AND(B388=""$cd"",C388&lt;&gt;""..""),CONCATENATE(D387,""/"",C388),IF(C388="".."",MID(D387,1,LEN(D387)-LEN(REGEXEXTRACT(D387,""(/\w*)$""))),D387))"),"//lrvl/zhbpqlnd/clnqtjz/rrn/rgrwp/sdsppq/njtrhrfm")</f>
        <v>//lrvl/zhbpqlnd/clnqtjz/rrn/rgrwp/sdsppq/njtrhrfm</v>
      </c>
      <c r="K388" s="2"/>
    </row>
    <row r="389">
      <c r="A389" s="1" t="s">
        <v>669</v>
      </c>
      <c r="B389" s="2" t="str">
        <f>IFERROR(__xludf.DUMMYFUNCTION("SPLIT(A389,"" "")"),"$cd")</f>
        <v>$cd</v>
      </c>
      <c r="C389" s="2" t="str">
        <f>IFERROR(__xludf.DUMMYFUNCTION("""COMPUTED_VALUE"""),"dqpjdztt")</f>
        <v>dqpjdztt</v>
      </c>
      <c r="D389" s="2" t="str">
        <f>IFERROR(__xludf.DUMMYFUNCTION("IF(AND(B389=""$cd"",C389&lt;&gt;""..""),CONCATENATE(D388,""/"",C389),IF(C389="".."",MID(D388,1,LEN(D388)-LEN(REGEXEXTRACT(D388,""(/\w*)$""))),D388))"),"//lrvl/zhbpqlnd/clnqtjz/rrn/rgrwp/sdsppq/njtrhrfm/dqpjdztt")</f>
        <v>//lrvl/zhbpqlnd/clnqtjz/rrn/rgrwp/sdsppq/njtrhrfm/dqpjdztt</v>
      </c>
      <c r="K389" s="2"/>
    </row>
    <row r="390">
      <c r="A390" s="1" t="s">
        <v>609</v>
      </c>
      <c r="B390" s="2" t="str">
        <f>IFERROR(__xludf.DUMMYFUNCTION("SPLIT(A390,"" "")"),"$ls")</f>
        <v>$ls</v>
      </c>
      <c r="D390" s="2" t="str">
        <f>IFERROR(__xludf.DUMMYFUNCTION("IF(AND(B390=""$cd"",C390&lt;&gt;""..""),CONCATENATE(D389,""/"",C390),IF(C390="".."",MID(D389,1,LEN(D389)-LEN(REGEXEXTRACT(D389,""(/\w*)$""))),D389))"),"//lrvl/zhbpqlnd/clnqtjz/rrn/rgrwp/sdsppq/njtrhrfm/dqpjdztt")</f>
        <v>//lrvl/zhbpqlnd/clnqtjz/rrn/rgrwp/sdsppq/njtrhrfm/dqpjdztt</v>
      </c>
      <c r="K390" s="2"/>
    </row>
    <row r="391">
      <c r="A391" s="1" t="s">
        <v>236</v>
      </c>
      <c r="B391" s="2">
        <f>IFERROR(__xludf.DUMMYFUNCTION("SPLIT(A391,"" "")"),178036.0)</f>
        <v>178036</v>
      </c>
      <c r="C391" s="2" t="str">
        <f>IFERROR(__xludf.DUMMYFUNCTION("""COMPUTED_VALUE"""),"vwg")</f>
        <v>vwg</v>
      </c>
      <c r="D391" s="2" t="str">
        <f>IFERROR(__xludf.DUMMYFUNCTION("IF(AND(B391=""$cd"",C391&lt;&gt;""..""),CONCATENATE(D390,""/"",C391),IF(C391="".."",MID(D390,1,LEN(D390)-LEN(REGEXEXTRACT(D390,""(/\w*)$""))),D390))"),"//lrvl/zhbpqlnd/clnqtjz/rrn/rgrwp/sdsppq/njtrhrfm/dqpjdztt")</f>
        <v>//lrvl/zhbpqlnd/clnqtjz/rrn/rgrwp/sdsppq/njtrhrfm/dqpjdztt</v>
      </c>
      <c r="K391" s="2"/>
    </row>
    <row r="392">
      <c r="A392" s="1" t="s">
        <v>612</v>
      </c>
      <c r="B392" s="2" t="str">
        <f>IFERROR(__xludf.DUMMYFUNCTION("SPLIT(A392,"" "")"),"$cd")</f>
        <v>$cd</v>
      </c>
      <c r="C392" s="2" t="str">
        <f>IFERROR(__xludf.DUMMYFUNCTION("""COMPUTED_VALUE"""),"..")</f>
        <v>..</v>
      </c>
      <c r="D392" s="2" t="str">
        <f>IFERROR(__xludf.DUMMYFUNCTION("IF(AND(B392=""$cd"",C392&lt;&gt;""..""),CONCATENATE(D391,""/"",C392),IF(C392="".."",MID(D391,1,LEN(D391)-LEN(REGEXEXTRACT(D391,""(/\w*)$""))),D391))"),"//lrvl/zhbpqlnd/clnqtjz/rrn/rgrwp/sdsppq/njtrhrfm")</f>
        <v>//lrvl/zhbpqlnd/clnqtjz/rrn/rgrwp/sdsppq/njtrhrfm</v>
      </c>
      <c r="K392" s="2"/>
    </row>
    <row r="393">
      <c r="A393" s="1" t="s">
        <v>612</v>
      </c>
      <c r="B393" s="2" t="str">
        <f>IFERROR(__xludf.DUMMYFUNCTION("SPLIT(A393,"" "")"),"$cd")</f>
        <v>$cd</v>
      </c>
      <c r="C393" s="2" t="str">
        <f>IFERROR(__xludf.DUMMYFUNCTION("""COMPUTED_VALUE"""),"..")</f>
        <v>..</v>
      </c>
      <c r="D393" s="2" t="str">
        <f>IFERROR(__xludf.DUMMYFUNCTION("IF(AND(B393=""$cd"",C393&lt;&gt;""..""),CONCATENATE(D392,""/"",C393),IF(C393="".."",MID(D392,1,LEN(D392)-LEN(REGEXEXTRACT(D392,""(/\w*)$""))),D392))"),"//lrvl/zhbpqlnd/clnqtjz/rrn/rgrwp/sdsppq")</f>
        <v>//lrvl/zhbpqlnd/clnqtjz/rrn/rgrwp/sdsppq</v>
      </c>
      <c r="K393" s="2"/>
    </row>
    <row r="394">
      <c r="A394" s="1" t="s">
        <v>670</v>
      </c>
      <c r="B394" s="2" t="str">
        <f>IFERROR(__xludf.DUMMYFUNCTION("SPLIT(A394,"" "")"),"$cd")</f>
        <v>$cd</v>
      </c>
      <c r="C394" s="2" t="str">
        <f>IFERROR(__xludf.DUMMYFUNCTION("""COMPUTED_VALUE"""),"tvq")</f>
        <v>tvq</v>
      </c>
      <c r="D394" s="2" t="str">
        <f>IFERROR(__xludf.DUMMYFUNCTION("IF(AND(B394=""$cd"",C394&lt;&gt;""..""),CONCATENATE(D393,""/"",C394),IF(C394="".."",MID(D393,1,LEN(D393)-LEN(REGEXEXTRACT(D393,""(/\w*)$""))),D393))"),"//lrvl/zhbpqlnd/clnqtjz/rrn/rgrwp/sdsppq/tvq")</f>
        <v>//lrvl/zhbpqlnd/clnqtjz/rrn/rgrwp/sdsppq/tvq</v>
      </c>
      <c r="K394" s="2"/>
    </row>
    <row r="395">
      <c r="A395" s="1" t="s">
        <v>609</v>
      </c>
      <c r="B395" s="2" t="str">
        <f>IFERROR(__xludf.DUMMYFUNCTION("SPLIT(A395,"" "")"),"$ls")</f>
        <v>$ls</v>
      </c>
      <c r="D395" s="2" t="str">
        <f>IFERROR(__xludf.DUMMYFUNCTION("IF(AND(B395=""$cd"",C395&lt;&gt;""..""),CONCATENATE(D394,""/"",C395),IF(C395="".."",MID(D394,1,LEN(D394)-LEN(REGEXEXTRACT(D394,""(/\w*)$""))),D394))"),"//lrvl/zhbpqlnd/clnqtjz/rrn/rgrwp/sdsppq/tvq")</f>
        <v>//lrvl/zhbpqlnd/clnqtjz/rrn/rgrwp/sdsppq/tvq</v>
      </c>
      <c r="K395" s="2"/>
    </row>
    <row r="396">
      <c r="A396" s="1" t="s">
        <v>238</v>
      </c>
      <c r="B396" s="2">
        <f>IFERROR(__xludf.DUMMYFUNCTION("SPLIT(A396,"" "")"),233085.0)</f>
        <v>233085</v>
      </c>
      <c r="C396" s="2" t="str">
        <f>IFERROR(__xludf.DUMMYFUNCTION("""COMPUTED_VALUE"""),"rmq.zgq")</f>
        <v>rmq.zgq</v>
      </c>
      <c r="D396" s="2" t="str">
        <f>IFERROR(__xludf.DUMMYFUNCTION("IF(AND(B396=""$cd"",C396&lt;&gt;""..""),CONCATENATE(D395,""/"",C396),IF(C396="".."",MID(D395,1,LEN(D395)-LEN(REGEXEXTRACT(D395,""(/\w*)$""))),D395))"),"//lrvl/zhbpqlnd/clnqtjz/rrn/rgrwp/sdsppq/tvq")</f>
        <v>//lrvl/zhbpqlnd/clnqtjz/rrn/rgrwp/sdsppq/tvq</v>
      </c>
      <c r="K396" s="2"/>
    </row>
    <row r="397">
      <c r="A397" s="1" t="s">
        <v>239</v>
      </c>
      <c r="B397" s="2">
        <f>IFERROR(__xludf.DUMMYFUNCTION("SPLIT(A397,"" "")"),215613.0)</f>
        <v>215613</v>
      </c>
      <c r="C397" s="2" t="str">
        <f>IFERROR(__xludf.DUMMYFUNCTION("""COMPUTED_VALUE"""),"slzdbm.wvf")</f>
        <v>slzdbm.wvf</v>
      </c>
      <c r="D397" s="2" t="str">
        <f>IFERROR(__xludf.DUMMYFUNCTION("IF(AND(B397=""$cd"",C397&lt;&gt;""..""),CONCATENATE(D396,""/"",C397),IF(C397="".."",MID(D396,1,LEN(D396)-LEN(REGEXEXTRACT(D396,""(/\w*)$""))),D396))"),"//lrvl/zhbpqlnd/clnqtjz/rrn/rgrwp/sdsppq/tvq")</f>
        <v>//lrvl/zhbpqlnd/clnqtjz/rrn/rgrwp/sdsppq/tvq</v>
      </c>
      <c r="K397" s="2"/>
    </row>
    <row r="398">
      <c r="A398" s="1" t="s">
        <v>612</v>
      </c>
      <c r="B398" s="2" t="str">
        <f>IFERROR(__xludf.DUMMYFUNCTION("SPLIT(A398,"" "")"),"$cd")</f>
        <v>$cd</v>
      </c>
      <c r="C398" s="2" t="str">
        <f>IFERROR(__xludf.DUMMYFUNCTION("""COMPUTED_VALUE"""),"..")</f>
        <v>..</v>
      </c>
      <c r="D398" s="2" t="str">
        <f>IFERROR(__xludf.DUMMYFUNCTION("IF(AND(B398=""$cd"",C398&lt;&gt;""..""),CONCATENATE(D397,""/"",C398),IF(C398="".."",MID(D397,1,LEN(D397)-LEN(REGEXEXTRACT(D397,""(/\w*)$""))),D397))"),"//lrvl/zhbpqlnd/clnqtjz/rrn/rgrwp/sdsppq")</f>
        <v>//lrvl/zhbpqlnd/clnqtjz/rrn/rgrwp/sdsppq</v>
      </c>
      <c r="K398" s="2"/>
    </row>
    <row r="399">
      <c r="A399" s="1" t="s">
        <v>671</v>
      </c>
      <c r="B399" s="2" t="str">
        <f>IFERROR(__xludf.DUMMYFUNCTION("SPLIT(A399,"" "")"),"$cd")</f>
        <v>$cd</v>
      </c>
      <c r="C399" s="2" t="str">
        <f>IFERROR(__xludf.DUMMYFUNCTION("""COMPUTED_VALUE"""),"wshgn")</f>
        <v>wshgn</v>
      </c>
      <c r="D399" s="2" t="str">
        <f>IFERROR(__xludf.DUMMYFUNCTION("IF(AND(B399=""$cd"",C399&lt;&gt;""..""),CONCATENATE(D398,""/"",C399),IF(C399="".."",MID(D398,1,LEN(D398)-LEN(REGEXEXTRACT(D398,""(/\w*)$""))),D398))"),"//lrvl/zhbpqlnd/clnqtjz/rrn/rgrwp/sdsppq/wshgn")</f>
        <v>//lrvl/zhbpqlnd/clnqtjz/rrn/rgrwp/sdsppq/wshgn</v>
      </c>
      <c r="K399" s="2"/>
    </row>
    <row r="400">
      <c r="A400" s="1" t="s">
        <v>609</v>
      </c>
      <c r="B400" s="2" t="str">
        <f>IFERROR(__xludf.DUMMYFUNCTION("SPLIT(A400,"" "")"),"$ls")</f>
        <v>$ls</v>
      </c>
      <c r="D400" s="2" t="str">
        <f>IFERROR(__xludf.DUMMYFUNCTION("IF(AND(B400=""$cd"",C400&lt;&gt;""..""),CONCATENATE(D399,""/"",C400),IF(C400="".."",MID(D399,1,LEN(D399)-LEN(REGEXEXTRACT(D399,""(/\w*)$""))),D399))"),"//lrvl/zhbpqlnd/clnqtjz/rrn/rgrwp/sdsppq/wshgn")</f>
        <v>//lrvl/zhbpqlnd/clnqtjz/rrn/rgrwp/sdsppq/wshgn</v>
      </c>
      <c r="K400" s="2"/>
    </row>
    <row r="401">
      <c r="A401" s="1" t="s">
        <v>241</v>
      </c>
      <c r="B401" s="2">
        <f>IFERROR(__xludf.DUMMYFUNCTION("SPLIT(A401,"" "")"),209007.0)</f>
        <v>209007</v>
      </c>
      <c r="C401" s="2" t="str">
        <f>IFERROR(__xludf.DUMMYFUNCTION("""COMPUTED_VALUE"""),"jnwr.hsr")</f>
        <v>jnwr.hsr</v>
      </c>
      <c r="D401" s="2" t="str">
        <f>IFERROR(__xludf.DUMMYFUNCTION("IF(AND(B401=""$cd"",C401&lt;&gt;""..""),CONCATENATE(D400,""/"",C401),IF(C401="".."",MID(D400,1,LEN(D400)-LEN(REGEXEXTRACT(D400,""(/\w*)$""))),D400))"),"//lrvl/zhbpqlnd/clnqtjz/rrn/rgrwp/sdsppq/wshgn")</f>
        <v>//lrvl/zhbpqlnd/clnqtjz/rrn/rgrwp/sdsppq/wshgn</v>
      </c>
      <c r="K401" s="2"/>
    </row>
    <row r="402">
      <c r="A402" s="1" t="s">
        <v>242</v>
      </c>
      <c r="B402" s="2" t="str">
        <f>IFERROR(__xludf.DUMMYFUNCTION("SPLIT(A402,"" "")"),"dir")</f>
        <v>dir</v>
      </c>
      <c r="C402" s="2" t="str">
        <f>IFERROR(__xludf.DUMMYFUNCTION("""COMPUTED_VALUE"""),"ntrlll")</f>
        <v>ntrlll</v>
      </c>
      <c r="D402" s="2" t="str">
        <f>IFERROR(__xludf.DUMMYFUNCTION("IF(AND(B402=""$cd"",C402&lt;&gt;""..""),CONCATENATE(D401,""/"",C402),IF(C402="".."",MID(D401,1,LEN(D401)-LEN(REGEXEXTRACT(D401,""(/\w*)$""))),D401))"),"//lrvl/zhbpqlnd/clnqtjz/rrn/rgrwp/sdsppq/wshgn")</f>
        <v>//lrvl/zhbpqlnd/clnqtjz/rrn/rgrwp/sdsppq/wshgn</v>
      </c>
      <c r="K402" s="2"/>
    </row>
    <row r="403">
      <c r="A403" s="1" t="s">
        <v>672</v>
      </c>
      <c r="B403" s="2" t="str">
        <f>IFERROR(__xludf.DUMMYFUNCTION("SPLIT(A403,"" "")"),"$cd")</f>
        <v>$cd</v>
      </c>
      <c r="C403" s="2" t="str">
        <f>IFERROR(__xludf.DUMMYFUNCTION("""COMPUTED_VALUE"""),"ntrlll")</f>
        <v>ntrlll</v>
      </c>
      <c r="D403" s="2" t="str">
        <f>IFERROR(__xludf.DUMMYFUNCTION("IF(AND(B403=""$cd"",C403&lt;&gt;""..""),CONCATENATE(D402,""/"",C403),IF(C403="".."",MID(D402,1,LEN(D402)-LEN(REGEXEXTRACT(D402,""(/\w*)$""))),D402))"),"//lrvl/zhbpqlnd/clnqtjz/rrn/rgrwp/sdsppq/wshgn/ntrlll")</f>
        <v>//lrvl/zhbpqlnd/clnqtjz/rrn/rgrwp/sdsppq/wshgn/ntrlll</v>
      </c>
      <c r="K403" s="2"/>
    </row>
    <row r="404">
      <c r="A404" s="1" t="s">
        <v>609</v>
      </c>
      <c r="B404" s="2" t="str">
        <f>IFERROR(__xludf.DUMMYFUNCTION("SPLIT(A404,"" "")"),"$ls")</f>
        <v>$ls</v>
      </c>
      <c r="D404" s="2" t="str">
        <f>IFERROR(__xludf.DUMMYFUNCTION("IF(AND(B404=""$cd"",C404&lt;&gt;""..""),CONCATENATE(D403,""/"",C404),IF(C404="".."",MID(D403,1,LEN(D403)-LEN(REGEXEXTRACT(D403,""(/\w*)$""))),D403))"),"//lrvl/zhbpqlnd/clnqtjz/rrn/rgrwp/sdsppq/wshgn/ntrlll")</f>
        <v>//lrvl/zhbpqlnd/clnqtjz/rrn/rgrwp/sdsppq/wshgn/ntrlll</v>
      </c>
      <c r="K404" s="2"/>
    </row>
    <row r="405">
      <c r="A405" s="1" t="s">
        <v>244</v>
      </c>
      <c r="B405" s="2">
        <f>IFERROR(__xludf.DUMMYFUNCTION("SPLIT(A405,"" "")"),245558.0)</f>
        <v>245558</v>
      </c>
      <c r="C405" s="2" t="str">
        <f>IFERROR(__xludf.DUMMYFUNCTION("""COMPUTED_VALUE"""),"jnwr.tbr")</f>
        <v>jnwr.tbr</v>
      </c>
      <c r="D405" s="2" t="str">
        <f>IFERROR(__xludf.DUMMYFUNCTION("IF(AND(B405=""$cd"",C405&lt;&gt;""..""),CONCATENATE(D404,""/"",C405),IF(C405="".."",MID(D404,1,LEN(D404)-LEN(REGEXEXTRACT(D404,""(/\w*)$""))),D404))"),"//lrvl/zhbpqlnd/clnqtjz/rrn/rgrwp/sdsppq/wshgn/ntrlll")</f>
        <v>//lrvl/zhbpqlnd/clnqtjz/rrn/rgrwp/sdsppq/wshgn/ntrlll</v>
      </c>
      <c r="K405" s="2"/>
    </row>
    <row r="406">
      <c r="A406" s="1" t="s">
        <v>612</v>
      </c>
      <c r="B406" s="2" t="str">
        <f>IFERROR(__xludf.DUMMYFUNCTION("SPLIT(A406,"" "")"),"$cd")</f>
        <v>$cd</v>
      </c>
      <c r="C406" s="2" t="str">
        <f>IFERROR(__xludf.DUMMYFUNCTION("""COMPUTED_VALUE"""),"..")</f>
        <v>..</v>
      </c>
      <c r="D406" s="2" t="str">
        <f>IFERROR(__xludf.DUMMYFUNCTION("IF(AND(B406=""$cd"",C406&lt;&gt;""..""),CONCATENATE(D405,""/"",C406),IF(C406="".."",MID(D405,1,LEN(D405)-LEN(REGEXEXTRACT(D405,""(/\w*)$""))),D405))"),"//lrvl/zhbpqlnd/clnqtjz/rrn/rgrwp/sdsppq/wshgn")</f>
        <v>//lrvl/zhbpqlnd/clnqtjz/rrn/rgrwp/sdsppq/wshgn</v>
      </c>
      <c r="K406" s="2"/>
    </row>
    <row r="407">
      <c r="A407" s="1" t="s">
        <v>612</v>
      </c>
      <c r="B407" s="2" t="str">
        <f>IFERROR(__xludf.DUMMYFUNCTION("SPLIT(A407,"" "")"),"$cd")</f>
        <v>$cd</v>
      </c>
      <c r="C407" s="2" t="str">
        <f>IFERROR(__xludf.DUMMYFUNCTION("""COMPUTED_VALUE"""),"..")</f>
        <v>..</v>
      </c>
      <c r="D407" s="2" t="str">
        <f>IFERROR(__xludf.DUMMYFUNCTION("IF(AND(B407=""$cd"",C407&lt;&gt;""..""),CONCATENATE(D406,""/"",C407),IF(C407="".."",MID(D406,1,LEN(D406)-LEN(REGEXEXTRACT(D406,""(/\w*)$""))),D406))"),"//lrvl/zhbpqlnd/clnqtjz/rrn/rgrwp/sdsppq")</f>
        <v>//lrvl/zhbpqlnd/clnqtjz/rrn/rgrwp/sdsppq</v>
      </c>
      <c r="K407" s="2"/>
    </row>
    <row r="408">
      <c r="A408" s="1" t="s">
        <v>612</v>
      </c>
      <c r="B408" s="2" t="str">
        <f>IFERROR(__xludf.DUMMYFUNCTION("SPLIT(A408,"" "")"),"$cd")</f>
        <v>$cd</v>
      </c>
      <c r="C408" s="2" t="str">
        <f>IFERROR(__xludf.DUMMYFUNCTION("""COMPUTED_VALUE"""),"..")</f>
        <v>..</v>
      </c>
      <c r="D408" s="2" t="str">
        <f>IFERROR(__xludf.DUMMYFUNCTION("IF(AND(B408=""$cd"",C408&lt;&gt;""..""),CONCATENATE(D407,""/"",C408),IF(C408="".."",MID(D407,1,LEN(D407)-LEN(REGEXEXTRACT(D407,""(/\w*)$""))),D407))"),"//lrvl/zhbpqlnd/clnqtjz/rrn/rgrwp")</f>
        <v>//lrvl/zhbpqlnd/clnqtjz/rrn/rgrwp</v>
      </c>
      <c r="K408" s="2"/>
    </row>
    <row r="409">
      <c r="A409" s="1" t="s">
        <v>612</v>
      </c>
      <c r="B409" s="2" t="str">
        <f>IFERROR(__xludf.DUMMYFUNCTION("SPLIT(A409,"" "")"),"$cd")</f>
        <v>$cd</v>
      </c>
      <c r="C409" s="2" t="str">
        <f>IFERROR(__xludf.DUMMYFUNCTION("""COMPUTED_VALUE"""),"..")</f>
        <v>..</v>
      </c>
      <c r="D409" s="2" t="str">
        <f>IFERROR(__xludf.DUMMYFUNCTION("IF(AND(B409=""$cd"",C409&lt;&gt;""..""),CONCATENATE(D408,""/"",C409),IF(C409="".."",MID(D408,1,LEN(D408)-LEN(REGEXEXTRACT(D408,""(/\w*)$""))),D408))"),"//lrvl/zhbpqlnd/clnqtjz/rrn")</f>
        <v>//lrvl/zhbpqlnd/clnqtjz/rrn</v>
      </c>
      <c r="K409" s="2"/>
    </row>
    <row r="410">
      <c r="A410" s="1" t="s">
        <v>612</v>
      </c>
      <c r="B410" s="2" t="str">
        <f>IFERROR(__xludf.DUMMYFUNCTION("SPLIT(A410,"" "")"),"$cd")</f>
        <v>$cd</v>
      </c>
      <c r="C410" s="2" t="str">
        <f>IFERROR(__xludf.DUMMYFUNCTION("""COMPUTED_VALUE"""),"..")</f>
        <v>..</v>
      </c>
      <c r="D410" s="2" t="str">
        <f>IFERROR(__xludf.DUMMYFUNCTION("IF(AND(B410=""$cd"",C410&lt;&gt;""..""),CONCATENATE(D409,""/"",C410),IF(C410="".."",MID(D409,1,LEN(D409)-LEN(REGEXEXTRACT(D409,""(/\w*)$""))),D409))"),"//lrvl/zhbpqlnd/clnqtjz")</f>
        <v>//lrvl/zhbpqlnd/clnqtjz</v>
      </c>
      <c r="K410" s="2"/>
    </row>
    <row r="411">
      <c r="A411" s="1" t="s">
        <v>612</v>
      </c>
      <c r="B411" s="2" t="str">
        <f>IFERROR(__xludf.DUMMYFUNCTION("SPLIT(A411,"" "")"),"$cd")</f>
        <v>$cd</v>
      </c>
      <c r="C411" s="2" t="str">
        <f>IFERROR(__xludf.DUMMYFUNCTION("""COMPUTED_VALUE"""),"..")</f>
        <v>..</v>
      </c>
      <c r="D411" s="2" t="str">
        <f>IFERROR(__xludf.DUMMYFUNCTION("IF(AND(B411=""$cd"",C411&lt;&gt;""..""),CONCATENATE(D410,""/"",C411),IF(C411="".."",MID(D410,1,LEN(D410)-LEN(REGEXEXTRACT(D410,""(/\w*)$""))),D410))"),"//lrvl/zhbpqlnd")</f>
        <v>//lrvl/zhbpqlnd</v>
      </c>
      <c r="K411" s="2"/>
    </row>
    <row r="412">
      <c r="A412" s="1" t="s">
        <v>673</v>
      </c>
      <c r="B412" s="2" t="str">
        <f>IFERROR(__xludf.DUMMYFUNCTION("SPLIT(A412,"" "")"),"$cd")</f>
        <v>$cd</v>
      </c>
      <c r="C412" s="2" t="str">
        <f>IFERROR(__xludf.DUMMYFUNCTION("""COMPUTED_VALUE"""),"fdsqmnn")</f>
        <v>fdsqmnn</v>
      </c>
      <c r="D412" s="2" t="str">
        <f>IFERROR(__xludf.DUMMYFUNCTION("IF(AND(B412=""$cd"",C412&lt;&gt;""..""),CONCATENATE(D411,""/"",C412),IF(C412="".."",MID(D411,1,LEN(D411)-LEN(REGEXEXTRACT(D411,""(/\w*)$""))),D411))"),"//lrvl/zhbpqlnd/fdsqmnn")</f>
        <v>//lrvl/zhbpqlnd/fdsqmnn</v>
      </c>
      <c r="K412" s="2"/>
    </row>
    <row r="413">
      <c r="A413" s="1" t="s">
        <v>609</v>
      </c>
      <c r="B413" s="2" t="str">
        <f>IFERROR(__xludf.DUMMYFUNCTION("SPLIT(A413,"" "")"),"$ls")</f>
        <v>$ls</v>
      </c>
      <c r="D413" s="2" t="str">
        <f>IFERROR(__xludf.DUMMYFUNCTION("IF(AND(B413=""$cd"",C413&lt;&gt;""..""),CONCATENATE(D412,""/"",C413),IF(C413="".."",MID(D412,1,LEN(D412)-LEN(REGEXEXTRACT(D412,""(/\w*)$""))),D412))"),"//lrvl/zhbpqlnd/fdsqmnn")</f>
        <v>//lrvl/zhbpqlnd/fdsqmnn</v>
      </c>
      <c r="K413" s="2"/>
    </row>
    <row r="414">
      <c r="A414" s="1" t="s">
        <v>246</v>
      </c>
      <c r="B414" s="2" t="str">
        <f>IFERROR(__xludf.DUMMYFUNCTION("SPLIT(A414,"" "")"),"dir")</f>
        <v>dir</v>
      </c>
      <c r="C414" s="2" t="str">
        <f>IFERROR(__xludf.DUMMYFUNCTION("""COMPUTED_VALUE"""),"dfl")</f>
        <v>dfl</v>
      </c>
      <c r="D414" s="2" t="str">
        <f>IFERROR(__xludf.DUMMYFUNCTION("IF(AND(B414=""$cd"",C414&lt;&gt;""..""),CONCATENATE(D413,""/"",C414),IF(C414="".."",MID(D413,1,LEN(D413)-LEN(REGEXEXTRACT(D413,""(/\w*)$""))),D413))"),"//lrvl/zhbpqlnd/fdsqmnn")</f>
        <v>//lrvl/zhbpqlnd/fdsqmnn</v>
      </c>
      <c r="K414" s="2"/>
    </row>
    <row r="415">
      <c r="A415" s="1" t="s">
        <v>247</v>
      </c>
      <c r="B415" s="2" t="str">
        <f>IFERROR(__xludf.DUMMYFUNCTION("SPLIT(A415,"" "")"),"dir")</f>
        <v>dir</v>
      </c>
      <c r="C415" s="2" t="str">
        <f>IFERROR(__xludf.DUMMYFUNCTION("""COMPUTED_VALUE"""),"hqffnmq")</f>
        <v>hqffnmq</v>
      </c>
      <c r="D415" s="2" t="str">
        <f>IFERROR(__xludf.DUMMYFUNCTION("IF(AND(B415=""$cd"",C415&lt;&gt;""..""),CONCATENATE(D414,""/"",C415),IF(C415="".."",MID(D414,1,LEN(D414)-LEN(REGEXEXTRACT(D414,""(/\w*)$""))),D414))"),"//lrvl/zhbpqlnd/fdsqmnn")</f>
        <v>//lrvl/zhbpqlnd/fdsqmnn</v>
      </c>
      <c r="K415" s="2"/>
    </row>
    <row r="416">
      <c r="A416" s="1" t="s">
        <v>248</v>
      </c>
      <c r="B416" s="2">
        <f>IFERROR(__xludf.DUMMYFUNCTION("SPLIT(A416,"" "")"),268076.0)</f>
        <v>268076</v>
      </c>
      <c r="C416" s="2" t="str">
        <f>IFERROR(__xludf.DUMMYFUNCTION("""COMPUTED_VALUE"""),"zcgrgff.cfm")</f>
        <v>zcgrgff.cfm</v>
      </c>
      <c r="D416" s="2" t="str">
        <f>IFERROR(__xludf.DUMMYFUNCTION("IF(AND(B416=""$cd"",C416&lt;&gt;""..""),CONCATENATE(D415,""/"",C416),IF(C416="".."",MID(D415,1,LEN(D415)-LEN(REGEXEXTRACT(D415,""(/\w*)$""))),D415))"),"//lrvl/zhbpqlnd/fdsqmnn")</f>
        <v>//lrvl/zhbpqlnd/fdsqmnn</v>
      </c>
      <c r="K416" s="2"/>
    </row>
    <row r="417">
      <c r="A417" s="1" t="s">
        <v>249</v>
      </c>
      <c r="B417" s="2" t="str">
        <f>IFERROR(__xludf.DUMMYFUNCTION("SPLIT(A417,"" "")"),"dir")</f>
        <v>dir</v>
      </c>
      <c r="C417" s="2" t="str">
        <f>IFERROR(__xludf.DUMMYFUNCTION("""COMPUTED_VALUE"""),"ztc")</f>
        <v>ztc</v>
      </c>
      <c r="D417" s="2" t="str">
        <f>IFERROR(__xludf.DUMMYFUNCTION("IF(AND(B417=""$cd"",C417&lt;&gt;""..""),CONCATENATE(D416,""/"",C417),IF(C417="".."",MID(D416,1,LEN(D416)-LEN(REGEXEXTRACT(D416,""(/\w*)$""))),D416))"),"//lrvl/zhbpqlnd/fdsqmnn")</f>
        <v>//lrvl/zhbpqlnd/fdsqmnn</v>
      </c>
      <c r="K417" s="2"/>
    </row>
    <row r="418">
      <c r="A418" s="1" t="s">
        <v>674</v>
      </c>
      <c r="B418" s="2" t="str">
        <f>IFERROR(__xludf.DUMMYFUNCTION("SPLIT(A418,"" "")"),"$cd")</f>
        <v>$cd</v>
      </c>
      <c r="C418" s="2" t="str">
        <f>IFERROR(__xludf.DUMMYFUNCTION("""COMPUTED_VALUE"""),"dfl")</f>
        <v>dfl</v>
      </c>
      <c r="D418" s="2" t="str">
        <f>IFERROR(__xludf.DUMMYFUNCTION("IF(AND(B418=""$cd"",C418&lt;&gt;""..""),CONCATENATE(D417,""/"",C418),IF(C418="".."",MID(D417,1,LEN(D417)-LEN(REGEXEXTRACT(D417,""(/\w*)$""))),D417))"),"//lrvl/zhbpqlnd/fdsqmnn/dfl")</f>
        <v>//lrvl/zhbpqlnd/fdsqmnn/dfl</v>
      </c>
      <c r="K418" s="2"/>
    </row>
    <row r="419">
      <c r="A419" s="1" t="s">
        <v>609</v>
      </c>
      <c r="B419" s="2" t="str">
        <f>IFERROR(__xludf.DUMMYFUNCTION("SPLIT(A419,"" "")"),"$ls")</f>
        <v>$ls</v>
      </c>
      <c r="D419" s="2" t="str">
        <f>IFERROR(__xludf.DUMMYFUNCTION("IF(AND(B419=""$cd"",C419&lt;&gt;""..""),CONCATENATE(D418,""/"",C419),IF(C419="".."",MID(D418,1,LEN(D418)-LEN(REGEXEXTRACT(D418,""(/\w*)$""))),D418))"),"//lrvl/zhbpqlnd/fdsqmnn/dfl")</f>
        <v>//lrvl/zhbpqlnd/fdsqmnn/dfl</v>
      </c>
      <c r="K419" s="2"/>
    </row>
    <row r="420">
      <c r="A420" s="1" t="s">
        <v>251</v>
      </c>
      <c r="B420" s="2">
        <f>IFERROR(__xludf.DUMMYFUNCTION("SPLIT(A420,"" "")"),5553.0)</f>
        <v>5553</v>
      </c>
      <c r="C420" s="2" t="str">
        <f>IFERROR(__xludf.DUMMYFUNCTION("""COMPUTED_VALUE"""),"bbvqpgf")</f>
        <v>bbvqpgf</v>
      </c>
      <c r="D420" s="2" t="str">
        <f>IFERROR(__xludf.DUMMYFUNCTION("IF(AND(B420=""$cd"",C420&lt;&gt;""..""),CONCATENATE(D419,""/"",C420),IF(C420="".."",MID(D419,1,LEN(D419)-LEN(REGEXEXTRACT(D419,""(/\w*)$""))),D419))"),"//lrvl/zhbpqlnd/fdsqmnn/dfl")</f>
        <v>//lrvl/zhbpqlnd/fdsqmnn/dfl</v>
      </c>
      <c r="K420" s="2"/>
    </row>
    <row r="421">
      <c r="A421" s="1" t="s">
        <v>252</v>
      </c>
      <c r="B421" s="2">
        <f>IFERROR(__xludf.DUMMYFUNCTION("SPLIT(A421,"" "")"),128390.0)</f>
        <v>128390</v>
      </c>
      <c r="C421" s="2" t="str">
        <f>IFERROR(__xludf.DUMMYFUNCTION("""COMPUTED_VALUE"""),"lqtvvc.tdj")</f>
        <v>lqtvvc.tdj</v>
      </c>
      <c r="D421" s="2" t="str">
        <f>IFERROR(__xludf.DUMMYFUNCTION("IF(AND(B421=""$cd"",C421&lt;&gt;""..""),CONCATENATE(D420,""/"",C421),IF(C421="".."",MID(D420,1,LEN(D420)-LEN(REGEXEXTRACT(D420,""(/\w*)$""))),D420))"),"//lrvl/zhbpqlnd/fdsqmnn/dfl")</f>
        <v>//lrvl/zhbpqlnd/fdsqmnn/dfl</v>
      </c>
      <c r="K421" s="2"/>
    </row>
    <row r="422">
      <c r="A422" s="1" t="s">
        <v>253</v>
      </c>
      <c r="B422" s="2">
        <f>IFERROR(__xludf.DUMMYFUNCTION("SPLIT(A422,"" "")"),190189.0)</f>
        <v>190189</v>
      </c>
      <c r="C422" s="2" t="str">
        <f>IFERROR(__xludf.DUMMYFUNCTION("""COMPUTED_VALUE"""),"vnmfcdws")</f>
        <v>vnmfcdws</v>
      </c>
      <c r="D422" s="2" t="str">
        <f>IFERROR(__xludf.DUMMYFUNCTION("IF(AND(B422=""$cd"",C422&lt;&gt;""..""),CONCATENATE(D421,""/"",C422),IF(C422="".."",MID(D421,1,LEN(D421)-LEN(REGEXEXTRACT(D421,""(/\w*)$""))),D421))"),"//lrvl/zhbpqlnd/fdsqmnn/dfl")</f>
        <v>//lrvl/zhbpqlnd/fdsqmnn/dfl</v>
      </c>
      <c r="K422" s="2"/>
    </row>
    <row r="423">
      <c r="A423" s="1" t="s">
        <v>612</v>
      </c>
      <c r="B423" s="2" t="str">
        <f>IFERROR(__xludf.DUMMYFUNCTION("SPLIT(A423,"" "")"),"$cd")</f>
        <v>$cd</v>
      </c>
      <c r="C423" s="2" t="str">
        <f>IFERROR(__xludf.DUMMYFUNCTION("""COMPUTED_VALUE"""),"..")</f>
        <v>..</v>
      </c>
      <c r="D423" s="2" t="str">
        <f>IFERROR(__xludf.DUMMYFUNCTION("IF(AND(B423=""$cd"",C423&lt;&gt;""..""),CONCATENATE(D422,""/"",C423),IF(C423="".."",MID(D422,1,LEN(D422)-LEN(REGEXEXTRACT(D422,""(/\w*)$""))),D422))"),"//lrvl/zhbpqlnd/fdsqmnn")</f>
        <v>//lrvl/zhbpqlnd/fdsqmnn</v>
      </c>
      <c r="K423" s="2"/>
    </row>
    <row r="424">
      <c r="A424" s="1" t="s">
        <v>675</v>
      </c>
      <c r="B424" s="2" t="str">
        <f>IFERROR(__xludf.DUMMYFUNCTION("SPLIT(A424,"" "")"),"$cd")</f>
        <v>$cd</v>
      </c>
      <c r="C424" s="2" t="str">
        <f>IFERROR(__xludf.DUMMYFUNCTION("""COMPUTED_VALUE"""),"hqffnmq")</f>
        <v>hqffnmq</v>
      </c>
      <c r="D424" s="2" t="str">
        <f>IFERROR(__xludf.DUMMYFUNCTION("IF(AND(B424=""$cd"",C424&lt;&gt;""..""),CONCATENATE(D423,""/"",C424),IF(C424="".."",MID(D423,1,LEN(D423)-LEN(REGEXEXTRACT(D423,""(/\w*)$""))),D423))"),"//lrvl/zhbpqlnd/fdsqmnn/hqffnmq")</f>
        <v>//lrvl/zhbpqlnd/fdsqmnn/hqffnmq</v>
      </c>
      <c r="K424" s="2"/>
    </row>
    <row r="425">
      <c r="A425" s="1" t="s">
        <v>609</v>
      </c>
      <c r="B425" s="2" t="str">
        <f>IFERROR(__xludf.DUMMYFUNCTION("SPLIT(A425,"" "")"),"$ls")</f>
        <v>$ls</v>
      </c>
      <c r="D425" s="2" t="str">
        <f>IFERROR(__xludf.DUMMYFUNCTION("IF(AND(B425=""$cd"",C425&lt;&gt;""..""),CONCATENATE(D424,""/"",C425),IF(C425="".."",MID(D424,1,LEN(D424)-LEN(REGEXEXTRACT(D424,""(/\w*)$""))),D424))"),"//lrvl/zhbpqlnd/fdsqmnn/hqffnmq")</f>
        <v>//lrvl/zhbpqlnd/fdsqmnn/hqffnmq</v>
      </c>
      <c r="K425" s="2"/>
    </row>
    <row r="426">
      <c r="A426" s="1" t="s">
        <v>255</v>
      </c>
      <c r="B426" s="2">
        <f>IFERROR(__xludf.DUMMYFUNCTION("SPLIT(A426,"" "")"),28438.0)</f>
        <v>28438</v>
      </c>
      <c r="C426" s="2" t="str">
        <f>IFERROR(__xludf.DUMMYFUNCTION("""COMPUTED_VALUE"""),"ssssrhwz")</f>
        <v>ssssrhwz</v>
      </c>
      <c r="D426" s="2" t="str">
        <f>IFERROR(__xludf.DUMMYFUNCTION("IF(AND(B426=""$cd"",C426&lt;&gt;""..""),CONCATENATE(D425,""/"",C426),IF(C426="".."",MID(D425,1,LEN(D425)-LEN(REGEXEXTRACT(D425,""(/\w*)$""))),D425))"),"//lrvl/zhbpqlnd/fdsqmnn/hqffnmq")</f>
        <v>//lrvl/zhbpqlnd/fdsqmnn/hqffnmq</v>
      </c>
      <c r="K426" s="2"/>
    </row>
    <row r="427">
      <c r="A427" s="1" t="s">
        <v>612</v>
      </c>
      <c r="B427" s="2" t="str">
        <f>IFERROR(__xludf.DUMMYFUNCTION("SPLIT(A427,"" "")"),"$cd")</f>
        <v>$cd</v>
      </c>
      <c r="C427" s="2" t="str">
        <f>IFERROR(__xludf.DUMMYFUNCTION("""COMPUTED_VALUE"""),"..")</f>
        <v>..</v>
      </c>
      <c r="D427" s="2" t="str">
        <f>IFERROR(__xludf.DUMMYFUNCTION("IF(AND(B427=""$cd"",C427&lt;&gt;""..""),CONCATENATE(D426,""/"",C427),IF(C427="".."",MID(D426,1,LEN(D426)-LEN(REGEXEXTRACT(D426,""(/\w*)$""))),D426))"),"//lrvl/zhbpqlnd/fdsqmnn")</f>
        <v>//lrvl/zhbpqlnd/fdsqmnn</v>
      </c>
      <c r="K427" s="2"/>
    </row>
    <row r="428">
      <c r="A428" s="1" t="s">
        <v>676</v>
      </c>
      <c r="B428" s="2" t="str">
        <f>IFERROR(__xludf.DUMMYFUNCTION("SPLIT(A428,"" "")"),"$cd")</f>
        <v>$cd</v>
      </c>
      <c r="C428" s="2" t="str">
        <f>IFERROR(__xludf.DUMMYFUNCTION("""COMPUTED_VALUE"""),"ztc")</f>
        <v>ztc</v>
      </c>
      <c r="D428" s="2" t="str">
        <f>IFERROR(__xludf.DUMMYFUNCTION("IF(AND(B428=""$cd"",C428&lt;&gt;""..""),CONCATENATE(D427,""/"",C428),IF(C428="".."",MID(D427,1,LEN(D427)-LEN(REGEXEXTRACT(D427,""(/\w*)$""))),D427))"),"//lrvl/zhbpqlnd/fdsqmnn/ztc")</f>
        <v>//lrvl/zhbpqlnd/fdsqmnn/ztc</v>
      </c>
      <c r="K428" s="2"/>
    </row>
    <row r="429">
      <c r="A429" s="1" t="s">
        <v>609</v>
      </c>
      <c r="B429" s="2" t="str">
        <f>IFERROR(__xludf.DUMMYFUNCTION("SPLIT(A429,"" "")"),"$ls")</f>
        <v>$ls</v>
      </c>
      <c r="D429" s="2" t="str">
        <f>IFERROR(__xludf.DUMMYFUNCTION("IF(AND(B429=""$cd"",C429&lt;&gt;""..""),CONCATENATE(D428,""/"",C429),IF(C429="".."",MID(D428,1,LEN(D428)-LEN(REGEXEXTRACT(D428,""(/\w*)$""))),D428))"),"//lrvl/zhbpqlnd/fdsqmnn/ztc")</f>
        <v>//lrvl/zhbpqlnd/fdsqmnn/ztc</v>
      </c>
      <c r="K429" s="2"/>
    </row>
    <row r="430">
      <c r="A430" s="1" t="s">
        <v>257</v>
      </c>
      <c r="B430" s="2">
        <f>IFERROR(__xludf.DUMMYFUNCTION("SPLIT(A430,"" "")"),247470.0)</f>
        <v>247470</v>
      </c>
      <c r="C430" s="2" t="str">
        <f>IFERROR(__xludf.DUMMYFUNCTION("""COMPUTED_VALUE"""),"slfdb.bqt")</f>
        <v>slfdb.bqt</v>
      </c>
      <c r="D430" s="2" t="str">
        <f>IFERROR(__xludf.DUMMYFUNCTION("IF(AND(B430=""$cd"",C430&lt;&gt;""..""),CONCATENATE(D429,""/"",C430),IF(C430="".."",MID(D429,1,LEN(D429)-LEN(REGEXEXTRACT(D429,""(/\w*)$""))),D429))"),"//lrvl/zhbpqlnd/fdsqmnn/ztc")</f>
        <v>//lrvl/zhbpqlnd/fdsqmnn/ztc</v>
      </c>
      <c r="K430" s="2"/>
    </row>
    <row r="431">
      <c r="A431" s="1" t="s">
        <v>612</v>
      </c>
      <c r="B431" s="2" t="str">
        <f>IFERROR(__xludf.DUMMYFUNCTION("SPLIT(A431,"" "")"),"$cd")</f>
        <v>$cd</v>
      </c>
      <c r="C431" s="2" t="str">
        <f>IFERROR(__xludf.DUMMYFUNCTION("""COMPUTED_VALUE"""),"..")</f>
        <v>..</v>
      </c>
      <c r="D431" s="2" t="str">
        <f>IFERROR(__xludf.DUMMYFUNCTION("IF(AND(B431=""$cd"",C431&lt;&gt;""..""),CONCATENATE(D430,""/"",C431),IF(C431="".."",MID(D430,1,LEN(D430)-LEN(REGEXEXTRACT(D430,""(/\w*)$""))),D430))"),"//lrvl/zhbpqlnd/fdsqmnn")</f>
        <v>//lrvl/zhbpqlnd/fdsqmnn</v>
      </c>
      <c r="K431" s="2"/>
    </row>
    <row r="432">
      <c r="A432" s="1" t="s">
        <v>612</v>
      </c>
      <c r="B432" s="2" t="str">
        <f>IFERROR(__xludf.DUMMYFUNCTION("SPLIT(A432,"" "")"),"$cd")</f>
        <v>$cd</v>
      </c>
      <c r="C432" s="2" t="str">
        <f>IFERROR(__xludf.DUMMYFUNCTION("""COMPUTED_VALUE"""),"..")</f>
        <v>..</v>
      </c>
      <c r="D432" s="2" t="str">
        <f>IFERROR(__xludf.DUMMYFUNCTION("IF(AND(B432=""$cd"",C432&lt;&gt;""..""),CONCATENATE(D431,""/"",C432),IF(C432="".."",MID(D431,1,LEN(D431)-LEN(REGEXEXTRACT(D431,""(/\w*)$""))),D431))"),"//lrvl/zhbpqlnd")</f>
        <v>//lrvl/zhbpqlnd</v>
      </c>
      <c r="K432" s="2"/>
    </row>
    <row r="433">
      <c r="A433" s="1" t="s">
        <v>677</v>
      </c>
      <c r="B433" s="2" t="str">
        <f>IFERROR(__xludf.DUMMYFUNCTION("SPLIT(A433,"" "")"),"$cd")</f>
        <v>$cd</v>
      </c>
      <c r="C433" s="2" t="str">
        <f>IFERROR(__xludf.DUMMYFUNCTION("""COMPUTED_VALUE"""),"fwdt")</f>
        <v>fwdt</v>
      </c>
      <c r="D433" s="2" t="str">
        <f>IFERROR(__xludf.DUMMYFUNCTION("IF(AND(B433=""$cd"",C433&lt;&gt;""..""),CONCATENATE(D432,""/"",C433),IF(C433="".."",MID(D432,1,LEN(D432)-LEN(REGEXEXTRACT(D432,""(/\w*)$""))),D432))"),"//lrvl/zhbpqlnd/fwdt")</f>
        <v>//lrvl/zhbpqlnd/fwdt</v>
      </c>
      <c r="K433" s="2"/>
    </row>
    <row r="434">
      <c r="A434" s="1" t="s">
        <v>609</v>
      </c>
      <c r="B434" s="2" t="str">
        <f>IFERROR(__xludf.DUMMYFUNCTION("SPLIT(A434,"" "")"),"$ls")</f>
        <v>$ls</v>
      </c>
      <c r="D434" s="2" t="str">
        <f>IFERROR(__xludf.DUMMYFUNCTION("IF(AND(B434=""$cd"",C434&lt;&gt;""..""),CONCATENATE(D433,""/"",C434),IF(C434="".."",MID(D433,1,LEN(D433)-LEN(REGEXEXTRACT(D433,""(/\w*)$""))),D433))"),"//lrvl/zhbpqlnd/fwdt")</f>
        <v>//lrvl/zhbpqlnd/fwdt</v>
      </c>
      <c r="K434" s="2"/>
    </row>
    <row r="435">
      <c r="A435" s="1" t="s">
        <v>259</v>
      </c>
      <c r="B435" s="2">
        <f>IFERROR(__xludf.DUMMYFUNCTION("SPLIT(A435,"" "")"),60342.0)</f>
        <v>60342</v>
      </c>
      <c r="C435" s="2" t="str">
        <f>IFERROR(__xludf.DUMMYFUNCTION("""COMPUTED_VALUE"""),"bdwbzpzz")</f>
        <v>bdwbzpzz</v>
      </c>
      <c r="D435" s="2" t="str">
        <f>IFERROR(__xludf.DUMMYFUNCTION("IF(AND(B435=""$cd"",C435&lt;&gt;""..""),CONCATENATE(D434,""/"",C435),IF(C435="".."",MID(D434,1,LEN(D434)-LEN(REGEXEXTRACT(D434,""(/\w*)$""))),D434))"),"//lrvl/zhbpqlnd/fwdt")</f>
        <v>//lrvl/zhbpqlnd/fwdt</v>
      </c>
      <c r="K435" s="2"/>
    </row>
    <row r="436">
      <c r="A436" s="1" t="s">
        <v>260</v>
      </c>
      <c r="B436" s="2" t="str">
        <f>IFERROR(__xludf.DUMMYFUNCTION("SPLIT(A436,"" "")"),"dir")</f>
        <v>dir</v>
      </c>
      <c r="C436" s="2" t="str">
        <f>IFERROR(__xludf.DUMMYFUNCTION("""COMPUTED_VALUE"""),"cdcc")</f>
        <v>cdcc</v>
      </c>
      <c r="D436" s="2" t="str">
        <f>IFERROR(__xludf.DUMMYFUNCTION("IF(AND(B436=""$cd"",C436&lt;&gt;""..""),CONCATENATE(D435,""/"",C436),IF(C436="".."",MID(D435,1,LEN(D435)-LEN(REGEXEXTRACT(D435,""(/\w*)$""))),D435))"),"//lrvl/zhbpqlnd/fwdt")</f>
        <v>//lrvl/zhbpqlnd/fwdt</v>
      </c>
      <c r="K436" s="2"/>
    </row>
    <row r="437">
      <c r="A437" s="1" t="s">
        <v>261</v>
      </c>
      <c r="B437" s="2" t="str">
        <f>IFERROR(__xludf.DUMMYFUNCTION("SPLIT(A437,"" "")"),"dir")</f>
        <v>dir</v>
      </c>
      <c r="C437" s="2" t="str">
        <f>IFERROR(__xludf.DUMMYFUNCTION("""COMPUTED_VALUE"""),"jldlzttm")</f>
        <v>jldlzttm</v>
      </c>
      <c r="D437" s="2" t="str">
        <f>IFERROR(__xludf.DUMMYFUNCTION("IF(AND(B437=""$cd"",C437&lt;&gt;""..""),CONCATENATE(D436,""/"",C437),IF(C437="".."",MID(D436,1,LEN(D436)-LEN(REGEXEXTRACT(D436,""(/\w*)$""))),D436))"),"//lrvl/zhbpqlnd/fwdt")</f>
        <v>//lrvl/zhbpqlnd/fwdt</v>
      </c>
      <c r="K437" s="2"/>
    </row>
    <row r="438">
      <c r="A438" s="1" t="s">
        <v>262</v>
      </c>
      <c r="B438" s="2">
        <f>IFERROR(__xludf.DUMMYFUNCTION("SPLIT(A438,"" "")"),261042.0)</f>
        <v>261042</v>
      </c>
      <c r="C438" s="2" t="str">
        <f>IFERROR(__xludf.DUMMYFUNCTION("""COMPUTED_VALUE"""),"ssssrhwz")</f>
        <v>ssssrhwz</v>
      </c>
      <c r="D438" s="2" t="str">
        <f>IFERROR(__xludf.DUMMYFUNCTION("IF(AND(B438=""$cd"",C438&lt;&gt;""..""),CONCATENATE(D437,""/"",C438),IF(C438="".."",MID(D437,1,LEN(D437)-LEN(REGEXEXTRACT(D437,""(/\w*)$""))),D437))"),"//lrvl/zhbpqlnd/fwdt")</f>
        <v>//lrvl/zhbpqlnd/fwdt</v>
      </c>
      <c r="K438" s="2"/>
    </row>
    <row r="439">
      <c r="A439" s="1" t="s">
        <v>263</v>
      </c>
      <c r="B439" s="2" t="str">
        <f>IFERROR(__xludf.DUMMYFUNCTION("SPLIT(A439,"" "")"),"dir")</f>
        <v>dir</v>
      </c>
      <c r="C439" s="2" t="str">
        <f>IFERROR(__xludf.DUMMYFUNCTION("""COMPUTED_VALUE"""),"sws")</f>
        <v>sws</v>
      </c>
      <c r="D439" s="2" t="str">
        <f>IFERROR(__xludf.DUMMYFUNCTION("IF(AND(B439=""$cd"",C439&lt;&gt;""..""),CONCATENATE(D438,""/"",C439),IF(C439="".."",MID(D438,1,LEN(D438)-LEN(REGEXEXTRACT(D438,""(/\w*)$""))),D438))"),"//lrvl/zhbpqlnd/fwdt")</f>
        <v>//lrvl/zhbpqlnd/fwdt</v>
      </c>
      <c r="K439" s="2"/>
    </row>
    <row r="440">
      <c r="A440" s="1" t="s">
        <v>264</v>
      </c>
      <c r="B440" s="2">
        <f>IFERROR(__xludf.DUMMYFUNCTION("SPLIT(A440,"" "")"),293090.0)</f>
        <v>293090</v>
      </c>
      <c r="C440" s="2" t="str">
        <f>IFERROR(__xludf.DUMMYFUNCTION("""COMPUTED_VALUE"""),"zbdp.gqb")</f>
        <v>zbdp.gqb</v>
      </c>
      <c r="D440" s="2" t="str">
        <f>IFERROR(__xludf.DUMMYFUNCTION("IF(AND(B440=""$cd"",C440&lt;&gt;""..""),CONCATENATE(D439,""/"",C440),IF(C440="".."",MID(D439,1,LEN(D439)-LEN(REGEXEXTRACT(D439,""(/\w*)$""))),D439))"),"//lrvl/zhbpqlnd/fwdt")</f>
        <v>//lrvl/zhbpqlnd/fwdt</v>
      </c>
      <c r="K440" s="2"/>
    </row>
    <row r="441">
      <c r="A441" s="1" t="s">
        <v>265</v>
      </c>
      <c r="B441" s="2">
        <f>IFERROR(__xludf.DUMMYFUNCTION("SPLIT(A441,"" "")"),93624.0)</f>
        <v>93624</v>
      </c>
      <c r="C441" s="2" t="str">
        <f>IFERROR(__xludf.DUMMYFUNCTION("""COMPUTED_VALUE"""),"zcgrgff.vgh")</f>
        <v>zcgrgff.vgh</v>
      </c>
      <c r="D441" s="2" t="str">
        <f>IFERROR(__xludf.DUMMYFUNCTION("IF(AND(B441=""$cd"",C441&lt;&gt;""..""),CONCATENATE(D440,""/"",C441),IF(C441="".."",MID(D440,1,LEN(D440)-LEN(REGEXEXTRACT(D440,""(/\w*)$""))),D440))"),"//lrvl/zhbpqlnd/fwdt")</f>
        <v>//lrvl/zhbpqlnd/fwdt</v>
      </c>
      <c r="K441" s="2"/>
    </row>
    <row r="442">
      <c r="A442" s="1" t="s">
        <v>678</v>
      </c>
      <c r="B442" s="2" t="str">
        <f>IFERROR(__xludf.DUMMYFUNCTION("SPLIT(A442,"" "")"),"$cd")</f>
        <v>$cd</v>
      </c>
      <c r="C442" s="2" t="str">
        <f>IFERROR(__xludf.DUMMYFUNCTION("""COMPUTED_VALUE"""),"cdcc")</f>
        <v>cdcc</v>
      </c>
      <c r="D442" s="2" t="str">
        <f>IFERROR(__xludf.DUMMYFUNCTION("IF(AND(B442=""$cd"",C442&lt;&gt;""..""),CONCATENATE(D441,""/"",C442),IF(C442="".."",MID(D441,1,LEN(D441)-LEN(REGEXEXTRACT(D441,""(/\w*)$""))),D441))"),"//lrvl/zhbpqlnd/fwdt/cdcc")</f>
        <v>//lrvl/zhbpqlnd/fwdt/cdcc</v>
      </c>
      <c r="K442" s="2"/>
    </row>
    <row r="443">
      <c r="A443" s="1" t="s">
        <v>609</v>
      </c>
      <c r="B443" s="2" t="str">
        <f>IFERROR(__xludf.DUMMYFUNCTION("SPLIT(A443,"" "")"),"$ls")</f>
        <v>$ls</v>
      </c>
      <c r="D443" s="2" t="str">
        <f>IFERROR(__xludf.DUMMYFUNCTION("IF(AND(B443=""$cd"",C443&lt;&gt;""..""),CONCATENATE(D442,""/"",C443),IF(C443="".."",MID(D442,1,LEN(D442)-LEN(REGEXEXTRACT(D442,""(/\w*)$""))),D442))"),"//lrvl/zhbpqlnd/fwdt/cdcc")</f>
        <v>//lrvl/zhbpqlnd/fwdt/cdcc</v>
      </c>
      <c r="K443" s="2"/>
    </row>
    <row r="444">
      <c r="A444" s="1" t="s">
        <v>267</v>
      </c>
      <c r="B444" s="2" t="str">
        <f>IFERROR(__xludf.DUMMYFUNCTION("SPLIT(A444,"" "")"),"dir")</f>
        <v>dir</v>
      </c>
      <c r="C444" s="2" t="str">
        <f>IFERROR(__xludf.DUMMYFUNCTION("""COMPUTED_VALUE"""),"cwpfczr")</f>
        <v>cwpfczr</v>
      </c>
      <c r="D444" s="2" t="str">
        <f>IFERROR(__xludf.DUMMYFUNCTION("IF(AND(B444=""$cd"",C444&lt;&gt;""..""),CONCATENATE(D443,""/"",C444),IF(C444="".."",MID(D443,1,LEN(D443)-LEN(REGEXEXTRACT(D443,""(/\w*)$""))),D443))"),"//lrvl/zhbpqlnd/fwdt/cdcc")</f>
        <v>//lrvl/zhbpqlnd/fwdt/cdcc</v>
      </c>
      <c r="K444" s="2"/>
    </row>
    <row r="445">
      <c r="A445" s="1" t="s">
        <v>268</v>
      </c>
      <c r="B445" s="2" t="str">
        <f>IFERROR(__xludf.DUMMYFUNCTION("SPLIT(A445,"" "")"),"dir")</f>
        <v>dir</v>
      </c>
      <c r="C445" s="2" t="str">
        <f>IFERROR(__xludf.DUMMYFUNCTION("""COMPUTED_VALUE"""),"lsrgfml")</f>
        <v>lsrgfml</v>
      </c>
      <c r="D445" s="2" t="str">
        <f>IFERROR(__xludf.DUMMYFUNCTION("IF(AND(B445=""$cd"",C445&lt;&gt;""..""),CONCATENATE(D444,""/"",C445),IF(C445="".."",MID(D444,1,LEN(D444)-LEN(REGEXEXTRACT(D444,""(/\w*)$""))),D444))"),"//lrvl/zhbpqlnd/fwdt/cdcc")</f>
        <v>//lrvl/zhbpqlnd/fwdt/cdcc</v>
      </c>
      <c r="K445" s="2"/>
    </row>
    <row r="446">
      <c r="A446" s="1" t="s">
        <v>679</v>
      </c>
      <c r="B446" s="2" t="str">
        <f>IFERROR(__xludf.DUMMYFUNCTION("SPLIT(A446,"" "")"),"$cd")</f>
        <v>$cd</v>
      </c>
      <c r="C446" s="2" t="str">
        <f>IFERROR(__xludf.DUMMYFUNCTION("""COMPUTED_VALUE"""),"cwpfczr")</f>
        <v>cwpfczr</v>
      </c>
      <c r="D446" s="2" t="str">
        <f>IFERROR(__xludf.DUMMYFUNCTION("IF(AND(B446=""$cd"",C446&lt;&gt;""..""),CONCATENATE(D445,""/"",C446),IF(C446="".."",MID(D445,1,LEN(D445)-LEN(REGEXEXTRACT(D445,""(/\w*)$""))),D445))"),"//lrvl/zhbpqlnd/fwdt/cdcc/cwpfczr")</f>
        <v>//lrvl/zhbpqlnd/fwdt/cdcc/cwpfczr</v>
      </c>
      <c r="K446" s="2"/>
    </row>
    <row r="447">
      <c r="A447" s="1" t="s">
        <v>609</v>
      </c>
      <c r="B447" s="2" t="str">
        <f>IFERROR(__xludf.DUMMYFUNCTION("SPLIT(A447,"" "")"),"$ls")</f>
        <v>$ls</v>
      </c>
      <c r="D447" s="2" t="str">
        <f>IFERROR(__xludf.DUMMYFUNCTION("IF(AND(B447=""$cd"",C447&lt;&gt;""..""),CONCATENATE(D446,""/"",C447),IF(C447="".."",MID(D446,1,LEN(D446)-LEN(REGEXEXTRACT(D446,""(/\w*)$""))),D446))"),"//lrvl/zhbpqlnd/fwdt/cdcc/cwpfczr")</f>
        <v>//lrvl/zhbpqlnd/fwdt/cdcc/cwpfczr</v>
      </c>
      <c r="K447" s="2"/>
    </row>
    <row r="448">
      <c r="A448" s="1" t="s">
        <v>270</v>
      </c>
      <c r="B448" s="2">
        <f>IFERROR(__xludf.DUMMYFUNCTION("SPLIT(A448,"" "")"),303853.0)</f>
        <v>303853</v>
      </c>
      <c r="C448" s="2" t="str">
        <f>IFERROR(__xludf.DUMMYFUNCTION("""COMPUTED_VALUE"""),"wzz.chs")</f>
        <v>wzz.chs</v>
      </c>
      <c r="D448" s="2" t="str">
        <f>IFERROR(__xludf.DUMMYFUNCTION("IF(AND(B448=""$cd"",C448&lt;&gt;""..""),CONCATENATE(D447,""/"",C448),IF(C448="".."",MID(D447,1,LEN(D447)-LEN(REGEXEXTRACT(D447,""(/\w*)$""))),D447))"),"//lrvl/zhbpqlnd/fwdt/cdcc/cwpfczr")</f>
        <v>//lrvl/zhbpqlnd/fwdt/cdcc/cwpfczr</v>
      </c>
      <c r="K448" s="2"/>
    </row>
    <row r="449">
      <c r="A449" s="1" t="s">
        <v>612</v>
      </c>
      <c r="B449" s="2" t="str">
        <f>IFERROR(__xludf.DUMMYFUNCTION("SPLIT(A449,"" "")"),"$cd")</f>
        <v>$cd</v>
      </c>
      <c r="C449" s="2" t="str">
        <f>IFERROR(__xludf.DUMMYFUNCTION("""COMPUTED_VALUE"""),"..")</f>
        <v>..</v>
      </c>
      <c r="D449" s="2" t="str">
        <f>IFERROR(__xludf.DUMMYFUNCTION("IF(AND(B449=""$cd"",C449&lt;&gt;""..""),CONCATENATE(D448,""/"",C449),IF(C449="".."",MID(D448,1,LEN(D448)-LEN(REGEXEXTRACT(D448,""(/\w*)$""))),D448))"),"//lrvl/zhbpqlnd/fwdt/cdcc")</f>
        <v>//lrvl/zhbpqlnd/fwdt/cdcc</v>
      </c>
      <c r="K449" s="2"/>
    </row>
    <row r="450">
      <c r="A450" s="1" t="s">
        <v>680</v>
      </c>
      <c r="B450" s="2" t="str">
        <f>IFERROR(__xludf.DUMMYFUNCTION("SPLIT(A450,"" "")"),"$cd")</f>
        <v>$cd</v>
      </c>
      <c r="C450" s="2" t="str">
        <f>IFERROR(__xludf.DUMMYFUNCTION("""COMPUTED_VALUE"""),"lsrgfml")</f>
        <v>lsrgfml</v>
      </c>
      <c r="D450" s="2" t="str">
        <f>IFERROR(__xludf.DUMMYFUNCTION("IF(AND(B450=""$cd"",C450&lt;&gt;""..""),CONCATENATE(D449,""/"",C450),IF(C450="".."",MID(D449,1,LEN(D449)-LEN(REGEXEXTRACT(D449,""(/\w*)$""))),D449))"),"//lrvl/zhbpqlnd/fwdt/cdcc/lsrgfml")</f>
        <v>//lrvl/zhbpqlnd/fwdt/cdcc/lsrgfml</v>
      </c>
      <c r="K450" s="2"/>
    </row>
    <row r="451">
      <c r="A451" s="1" t="s">
        <v>609</v>
      </c>
      <c r="B451" s="2" t="str">
        <f>IFERROR(__xludf.DUMMYFUNCTION("SPLIT(A451,"" "")"),"$ls")</f>
        <v>$ls</v>
      </c>
      <c r="D451" s="2" t="str">
        <f>IFERROR(__xludf.DUMMYFUNCTION("IF(AND(B451=""$cd"",C451&lt;&gt;""..""),CONCATENATE(D450,""/"",C451),IF(C451="".."",MID(D450,1,LEN(D450)-LEN(REGEXEXTRACT(D450,""(/\w*)$""))),D450))"),"//lrvl/zhbpqlnd/fwdt/cdcc/lsrgfml")</f>
        <v>//lrvl/zhbpqlnd/fwdt/cdcc/lsrgfml</v>
      </c>
      <c r="K451" s="2"/>
    </row>
    <row r="452">
      <c r="A452" s="1" t="s">
        <v>272</v>
      </c>
      <c r="B452" s="2">
        <f>IFERROR(__xludf.DUMMYFUNCTION("SPLIT(A452,"" "")"),63205.0)</f>
        <v>63205</v>
      </c>
      <c r="C452" s="2" t="str">
        <f>IFERROR(__xludf.DUMMYFUNCTION("""COMPUTED_VALUE"""),"hmqfdht")</f>
        <v>hmqfdht</v>
      </c>
      <c r="D452" s="2" t="str">
        <f>IFERROR(__xludf.DUMMYFUNCTION("IF(AND(B452=""$cd"",C452&lt;&gt;""..""),CONCATENATE(D451,""/"",C452),IF(C452="".."",MID(D451,1,LEN(D451)-LEN(REGEXEXTRACT(D451,""(/\w*)$""))),D451))"),"//lrvl/zhbpqlnd/fwdt/cdcc/lsrgfml")</f>
        <v>//lrvl/zhbpqlnd/fwdt/cdcc/lsrgfml</v>
      </c>
      <c r="K452" s="2"/>
    </row>
    <row r="453">
      <c r="A453" s="1" t="s">
        <v>612</v>
      </c>
      <c r="B453" s="2" t="str">
        <f>IFERROR(__xludf.DUMMYFUNCTION("SPLIT(A453,"" "")"),"$cd")</f>
        <v>$cd</v>
      </c>
      <c r="C453" s="2" t="str">
        <f>IFERROR(__xludf.DUMMYFUNCTION("""COMPUTED_VALUE"""),"..")</f>
        <v>..</v>
      </c>
      <c r="D453" s="2" t="str">
        <f>IFERROR(__xludf.DUMMYFUNCTION("IF(AND(B453=""$cd"",C453&lt;&gt;""..""),CONCATENATE(D452,""/"",C453),IF(C453="".."",MID(D452,1,LEN(D452)-LEN(REGEXEXTRACT(D452,""(/\w*)$""))),D452))"),"//lrvl/zhbpqlnd/fwdt/cdcc")</f>
        <v>//lrvl/zhbpqlnd/fwdt/cdcc</v>
      </c>
      <c r="K453" s="2"/>
    </row>
    <row r="454">
      <c r="A454" s="1" t="s">
        <v>612</v>
      </c>
      <c r="B454" s="2" t="str">
        <f>IFERROR(__xludf.DUMMYFUNCTION("SPLIT(A454,"" "")"),"$cd")</f>
        <v>$cd</v>
      </c>
      <c r="C454" s="2" t="str">
        <f>IFERROR(__xludf.DUMMYFUNCTION("""COMPUTED_VALUE"""),"..")</f>
        <v>..</v>
      </c>
      <c r="D454" s="2" t="str">
        <f>IFERROR(__xludf.DUMMYFUNCTION("IF(AND(B454=""$cd"",C454&lt;&gt;""..""),CONCATENATE(D453,""/"",C454),IF(C454="".."",MID(D453,1,LEN(D453)-LEN(REGEXEXTRACT(D453,""(/\w*)$""))),D453))"),"//lrvl/zhbpqlnd/fwdt")</f>
        <v>//lrvl/zhbpqlnd/fwdt</v>
      </c>
      <c r="K454" s="2"/>
    </row>
    <row r="455">
      <c r="A455" s="1" t="s">
        <v>681</v>
      </c>
      <c r="B455" s="2" t="str">
        <f>IFERROR(__xludf.DUMMYFUNCTION("SPLIT(A455,"" "")"),"$cd")</f>
        <v>$cd</v>
      </c>
      <c r="C455" s="2" t="str">
        <f>IFERROR(__xludf.DUMMYFUNCTION("""COMPUTED_VALUE"""),"jldlzttm")</f>
        <v>jldlzttm</v>
      </c>
      <c r="D455" s="2" t="str">
        <f>IFERROR(__xludf.DUMMYFUNCTION("IF(AND(B455=""$cd"",C455&lt;&gt;""..""),CONCATENATE(D454,""/"",C455),IF(C455="".."",MID(D454,1,LEN(D454)-LEN(REGEXEXTRACT(D454,""(/\w*)$""))),D454))"),"//lrvl/zhbpqlnd/fwdt/jldlzttm")</f>
        <v>//lrvl/zhbpqlnd/fwdt/jldlzttm</v>
      </c>
      <c r="K455" s="2"/>
    </row>
    <row r="456">
      <c r="A456" s="1" t="s">
        <v>609</v>
      </c>
      <c r="B456" s="2" t="str">
        <f>IFERROR(__xludf.DUMMYFUNCTION("SPLIT(A456,"" "")"),"$ls")</f>
        <v>$ls</v>
      </c>
      <c r="D456" s="2" t="str">
        <f>IFERROR(__xludf.DUMMYFUNCTION("IF(AND(B456=""$cd"",C456&lt;&gt;""..""),CONCATENATE(D455,""/"",C456),IF(C456="".."",MID(D455,1,LEN(D455)-LEN(REGEXEXTRACT(D455,""(/\w*)$""))),D455))"),"//lrvl/zhbpqlnd/fwdt/jldlzttm")</f>
        <v>//lrvl/zhbpqlnd/fwdt/jldlzttm</v>
      </c>
      <c r="K456" s="2"/>
    </row>
    <row r="457">
      <c r="A457" s="1" t="s">
        <v>274</v>
      </c>
      <c r="B457" s="2">
        <f>IFERROR(__xludf.DUMMYFUNCTION("SPLIT(A457,"" "")"),184715.0)</f>
        <v>184715</v>
      </c>
      <c r="C457" s="2" t="str">
        <f>IFERROR(__xludf.DUMMYFUNCTION("""COMPUTED_VALUE"""),"brclwptp")</f>
        <v>brclwptp</v>
      </c>
      <c r="D457" s="2" t="str">
        <f>IFERROR(__xludf.DUMMYFUNCTION("IF(AND(B457=""$cd"",C457&lt;&gt;""..""),CONCATENATE(D456,""/"",C457),IF(C457="".."",MID(D456,1,LEN(D456)-LEN(REGEXEXTRACT(D456,""(/\w*)$""))),D456))"),"//lrvl/zhbpqlnd/fwdt/jldlzttm")</f>
        <v>//lrvl/zhbpqlnd/fwdt/jldlzttm</v>
      </c>
      <c r="K457" s="2"/>
    </row>
    <row r="458">
      <c r="A458" s="1" t="s">
        <v>275</v>
      </c>
      <c r="B458" s="2">
        <f>IFERROR(__xludf.DUMMYFUNCTION("SPLIT(A458,"" "")"),309967.0)</f>
        <v>309967</v>
      </c>
      <c r="C458" s="2" t="str">
        <f>IFERROR(__xludf.DUMMYFUNCTION("""COMPUTED_VALUE"""),"gdbfh.vhn")</f>
        <v>gdbfh.vhn</v>
      </c>
      <c r="D458" s="2" t="str">
        <f>IFERROR(__xludf.DUMMYFUNCTION("IF(AND(B458=""$cd"",C458&lt;&gt;""..""),CONCATENATE(D457,""/"",C458),IF(C458="".."",MID(D457,1,LEN(D457)-LEN(REGEXEXTRACT(D457,""(/\w*)$""))),D457))"),"//lrvl/zhbpqlnd/fwdt/jldlzttm")</f>
        <v>//lrvl/zhbpqlnd/fwdt/jldlzttm</v>
      </c>
      <c r="K458" s="2"/>
    </row>
    <row r="459">
      <c r="A459" s="1" t="s">
        <v>276</v>
      </c>
      <c r="B459" s="2">
        <f>IFERROR(__xludf.DUMMYFUNCTION("SPLIT(A459,"" "")"),5460.0)</f>
        <v>5460</v>
      </c>
      <c r="C459" s="2" t="str">
        <f>IFERROR(__xludf.DUMMYFUNCTION("""COMPUTED_VALUE"""),"hlvpfw.fwb")</f>
        <v>hlvpfw.fwb</v>
      </c>
      <c r="D459" s="2" t="str">
        <f>IFERROR(__xludf.DUMMYFUNCTION("IF(AND(B459=""$cd"",C459&lt;&gt;""..""),CONCATENATE(D458,""/"",C459),IF(C459="".."",MID(D458,1,LEN(D458)-LEN(REGEXEXTRACT(D458,""(/\w*)$""))),D458))"),"//lrvl/zhbpqlnd/fwdt/jldlzttm")</f>
        <v>//lrvl/zhbpqlnd/fwdt/jldlzttm</v>
      </c>
      <c r="K459" s="2"/>
    </row>
    <row r="460">
      <c r="A460" s="1" t="s">
        <v>277</v>
      </c>
      <c r="B460" s="2">
        <f>IFERROR(__xludf.DUMMYFUNCTION("SPLIT(A460,"" "")"),46159.0)</f>
        <v>46159</v>
      </c>
      <c r="C460" s="2" t="str">
        <f>IFERROR(__xludf.DUMMYFUNCTION("""COMPUTED_VALUE"""),"jnwr.ggw")</f>
        <v>jnwr.ggw</v>
      </c>
      <c r="D460" s="2" t="str">
        <f>IFERROR(__xludf.DUMMYFUNCTION("IF(AND(B460=""$cd"",C460&lt;&gt;""..""),CONCATENATE(D459,""/"",C460),IF(C460="".."",MID(D459,1,LEN(D459)-LEN(REGEXEXTRACT(D459,""(/\w*)$""))),D459))"),"//lrvl/zhbpqlnd/fwdt/jldlzttm")</f>
        <v>//lrvl/zhbpqlnd/fwdt/jldlzttm</v>
      </c>
      <c r="K460" s="2"/>
    </row>
    <row r="461">
      <c r="A461" s="1" t="s">
        <v>278</v>
      </c>
      <c r="B461" s="2">
        <f>IFERROR(__xludf.DUMMYFUNCTION("SPLIT(A461,"" "")"),173896.0)</f>
        <v>173896</v>
      </c>
      <c r="C461" s="2" t="str">
        <f>IFERROR(__xludf.DUMMYFUNCTION("""COMPUTED_VALUE"""),"zbdp.gqb")</f>
        <v>zbdp.gqb</v>
      </c>
      <c r="D461" s="2" t="str">
        <f>IFERROR(__xludf.DUMMYFUNCTION("IF(AND(B461=""$cd"",C461&lt;&gt;""..""),CONCATENATE(D460,""/"",C461),IF(C461="".."",MID(D460,1,LEN(D460)-LEN(REGEXEXTRACT(D460,""(/\w*)$""))),D460))"),"//lrvl/zhbpqlnd/fwdt/jldlzttm")</f>
        <v>//lrvl/zhbpqlnd/fwdt/jldlzttm</v>
      </c>
      <c r="K461" s="2"/>
    </row>
    <row r="462">
      <c r="A462" s="1" t="s">
        <v>612</v>
      </c>
      <c r="B462" s="2" t="str">
        <f>IFERROR(__xludf.DUMMYFUNCTION("SPLIT(A462,"" "")"),"$cd")</f>
        <v>$cd</v>
      </c>
      <c r="C462" s="2" t="str">
        <f>IFERROR(__xludf.DUMMYFUNCTION("""COMPUTED_VALUE"""),"..")</f>
        <v>..</v>
      </c>
      <c r="D462" s="2" t="str">
        <f>IFERROR(__xludf.DUMMYFUNCTION("IF(AND(B462=""$cd"",C462&lt;&gt;""..""),CONCATENATE(D461,""/"",C462),IF(C462="".."",MID(D461,1,LEN(D461)-LEN(REGEXEXTRACT(D461,""(/\w*)$""))),D461))"),"//lrvl/zhbpqlnd/fwdt")</f>
        <v>//lrvl/zhbpqlnd/fwdt</v>
      </c>
      <c r="K462" s="2"/>
    </row>
    <row r="463">
      <c r="A463" s="1" t="s">
        <v>682</v>
      </c>
      <c r="B463" s="2" t="str">
        <f>IFERROR(__xludf.DUMMYFUNCTION("SPLIT(A463,"" "")"),"$cd")</f>
        <v>$cd</v>
      </c>
      <c r="C463" s="2" t="str">
        <f>IFERROR(__xludf.DUMMYFUNCTION("""COMPUTED_VALUE"""),"sws")</f>
        <v>sws</v>
      </c>
      <c r="D463" s="2" t="str">
        <f>IFERROR(__xludf.DUMMYFUNCTION("IF(AND(B463=""$cd"",C463&lt;&gt;""..""),CONCATENATE(D462,""/"",C463),IF(C463="".."",MID(D462,1,LEN(D462)-LEN(REGEXEXTRACT(D462,""(/\w*)$""))),D462))"),"//lrvl/zhbpqlnd/fwdt/sws")</f>
        <v>//lrvl/zhbpqlnd/fwdt/sws</v>
      </c>
      <c r="K463" s="2"/>
    </row>
    <row r="464">
      <c r="A464" s="1" t="s">
        <v>609</v>
      </c>
      <c r="B464" s="2" t="str">
        <f>IFERROR(__xludf.DUMMYFUNCTION("SPLIT(A464,"" "")"),"$ls")</f>
        <v>$ls</v>
      </c>
      <c r="D464" s="2" t="str">
        <f>IFERROR(__xludf.DUMMYFUNCTION("IF(AND(B464=""$cd"",C464&lt;&gt;""..""),CONCATENATE(D463,""/"",C464),IF(C464="".."",MID(D463,1,LEN(D463)-LEN(REGEXEXTRACT(D463,""(/\w*)$""))),D463))"),"//lrvl/zhbpqlnd/fwdt/sws")</f>
        <v>//lrvl/zhbpqlnd/fwdt/sws</v>
      </c>
      <c r="K464" s="2"/>
    </row>
    <row r="465">
      <c r="A465" s="1" t="s">
        <v>50</v>
      </c>
      <c r="B465" s="2" t="str">
        <f>IFERROR(__xludf.DUMMYFUNCTION("SPLIT(A465,"" "")"),"dir")</f>
        <v>dir</v>
      </c>
      <c r="C465" s="2" t="str">
        <f>IFERROR(__xludf.DUMMYFUNCTION("""COMPUTED_VALUE"""),"hlvpfw")</f>
        <v>hlvpfw</v>
      </c>
      <c r="D465" s="2" t="str">
        <f>IFERROR(__xludf.DUMMYFUNCTION("IF(AND(B465=""$cd"",C465&lt;&gt;""..""),CONCATENATE(D464,""/"",C465),IF(C465="".."",MID(D464,1,LEN(D464)-LEN(REGEXEXTRACT(D464,""(/\w*)$""))),D464))"),"//lrvl/zhbpqlnd/fwdt/sws")</f>
        <v>//lrvl/zhbpqlnd/fwdt/sws</v>
      </c>
      <c r="K465" s="2"/>
    </row>
    <row r="466">
      <c r="A466" s="1" t="s">
        <v>280</v>
      </c>
      <c r="B466" s="2">
        <f>IFERROR(__xludf.DUMMYFUNCTION("SPLIT(A466,"" "")"),75133.0)</f>
        <v>75133</v>
      </c>
      <c r="C466" s="2" t="str">
        <f>IFERROR(__xludf.DUMMYFUNCTION("""COMPUTED_VALUE"""),"nqrp.jdg")</f>
        <v>nqrp.jdg</v>
      </c>
      <c r="D466" s="2" t="str">
        <f>IFERROR(__xludf.DUMMYFUNCTION("IF(AND(B466=""$cd"",C466&lt;&gt;""..""),CONCATENATE(D465,""/"",C466),IF(C466="".."",MID(D465,1,LEN(D465)-LEN(REGEXEXTRACT(D465,""(/\w*)$""))),D465))"),"//lrvl/zhbpqlnd/fwdt/sws")</f>
        <v>//lrvl/zhbpqlnd/fwdt/sws</v>
      </c>
      <c r="K466" s="2"/>
    </row>
    <row r="467">
      <c r="A467" s="1" t="s">
        <v>622</v>
      </c>
      <c r="B467" s="2" t="str">
        <f>IFERROR(__xludf.DUMMYFUNCTION("SPLIT(A467,"" "")"),"$cd")</f>
        <v>$cd</v>
      </c>
      <c r="C467" s="2" t="str">
        <f>IFERROR(__xludf.DUMMYFUNCTION("""COMPUTED_VALUE"""),"hlvpfw")</f>
        <v>hlvpfw</v>
      </c>
      <c r="D467" s="2" t="str">
        <f>IFERROR(__xludf.DUMMYFUNCTION("IF(AND(B467=""$cd"",C467&lt;&gt;""..""),CONCATENATE(D466,""/"",C467),IF(C467="".."",MID(D466,1,LEN(D466)-LEN(REGEXEXTRACT(D466,""(/\w*)$""))),D466))"),"//lrvl/zhbpqlnd/fwdt/sws/hlvpfw")</f>
        <v>//lrvl/zhbpqlnd/fwdt/sws/hlvpfw</v>
      </c>
      <c r="K467" s="2"/>
    </row>
    <row r="468">
      <c r="A468" s="1" t="s">
        <v>609</v>
      </c>
      <c r="B468" s="2" t="str">
        <f>IFERROR(__xludf.DUMMYFUNCTION("SPLIT(A468,"" "")"),"$ls")</f>
        <v>$ls</v>
      </c>
      <c r="D468" s="2" t="str">
        <f>IFERROR(__xludf.DUMMYFUNCTION("IF(AND(B468=""$cd"",C468&lt;&gt;""..""),CONCATENATE(D467,""/"",C468),IF(C468="".."",MID(D467,1,LEN(D467)-LEN(REGEXEXTRACT(D467,""(/\w*)$""))),D467))"),"//lrvl/zhbpqlnd/fwdt/sws/hlvpfw")</f>
        <v>//lrvl/zhbpqlnd/fwdt/sws/hlvpfw</v>
      </c>
      <c r="K468" s="2"/>
    </row>
    <row r="469">
      <c r="A469" s="1" t="s">
        <v>281</v>
      </c>
      <c r="B469" s="2">
        <f>IFERROR(__xludf.DUMMYFUNCTION("SPLIT(A469,"" "")"),71403.0)</f>
        <v>71403</v>
      </c>
      <c r="C469" s="2" t="str">
        <f>IFERROR(__xludf.DUMMYFUNCTION("""COMPUTED_VALUE"""),"cvdd.whl")</f>
        <v>cvdd.whl</v>
      </c>
      <c r="D469" s="2" t="str">
        <f>IFERROR(__xludf.DUMMYFUNCTION("IF(AND(B469=""$cd"",C469&lt;&gt;""..""),CONCATENATE(D468,""/"",C469),IF(C469="".."",MID(D468,1,LEN(D468)-LEN(REGEXEXTRACT(D468,""(/\w*)$""))),D468))"),"//lrvl/zhbpqlnd/fwdt/sws/hlvpfw")</f>
        <v>//lrvl/zhbpqlnd/fwdt/sws/hlvpfw</v>
      </c>
      <c r="K469" s="2"/>
    </row>
    <row r="470">
      <c r="A470" s="1" t="s">
        <v>612</v>
      </c>
      <c r="B470" s="2" t="str">
        <f>IFERROR(__xludf.DUMMYFUNCTION("SPLIT(A470,"" "")"),"$cd")</f>
        <v>$cd</v>
      </c>
      <c r="C470" s="2" t="str">
        <f>IFERROR(__xludf.DUMMYFUNCTION("""COMPUTED_VALUE"""),"..")</f>
        <v>..</v>
      </c>
      <c r="D470" s="2" t="str">
        <f>IFERROR(__xludf.DUMMYFUNCTION("IF(AND(B470=""$cd"",C470&lt;&gt;""..""),CONCATENATE(D469,""/"",C470),IF(C470="".."",MID(D469,1,LEN(D469)-LEN(REGEXEXTRACT(D469,""(/\w*)$""))),D469))"),"//lrvl/zhbpqlnd/fwdt/sws")</f>
        <v>//lrvl/zhbpqlnd/fwdt/sws</v>
      </c>
      <c r="K470" s="2"/>
    </row>
    <row r="471">
      <c r="A471" s="1" t="s">
        <v>612</v>
      </c>
      <c r="B471" s="2" t="str">
        <f>IFERROR(__xludf.DUMMYFUNCTION("SPLIT(A471,"" "")"),"$cd")</f>
        <v>$cd</v>
      </c>
      <c r="C471" s="2" t="str">
        <f>IFERROR(__xludf.DUMMYFUNCTION("""COMPUTED_VALUE"""),"..")</f>
        <v>..</v>
      </c>
      <c r="D471" s="2" t="str">
        <f>IFERROR(__xludf.DUMMYFUNCTION("IF(AND(B471=""$cd"",C471&lt;&gt;""..""),CONCATENATE(D470,""/"",C471),IF(C471="".."",MID(D470,1,LEN(D470)-LEN(REGEXEXTRACT(D470,""(/\w*)$""))),D470))"),"//lrvl/zhbpqlnd/fwdt")</f>
        <v>//lrvl/zhbpqlnd/fwdt</v>
      </c>
      <c r="K471" s="2"/>
    </row>
    <row r="472">
      <c r="A472" s="1" t="s">
        <v>612</v>
      </c>
      <c r="B472" s="2" t="str">
        <f>IFERROR(__xludf.DUMMYFUNCTION("SPLIT(A472,"" "")"),"$cd")</f>
        <v>$cd</v>
      </c>
      <c r="C472" s="2" t="str">
        <f>IFERROR(__xludf.DUMMYFUNCTION("""COMPUTED_VALUE"""),"..")</f>
        <v>..</v>
      </c>
      <c r="D472" s="2" t="str">
        <f>IFERROR(__xludf.DUMMYFUNCTION("IF(AND(B472=""$cd"",C472&lt;&gt;""..""),CONCATENATE(D471,""/"",C472),IF(C472="".."",MID(D471,1,LEN(D471)-LEN(REGEXEXTRACT(D471,""(/\w*)$""))),D471))"),"//lrvl/zhbpqlnd")</f>
        <v>//lrvl/zhbpqlnd</v>
      </c>
      <c r="K472" s="2"/>
    </row>
    <row r="473">
      <c r="A473" s="1" t="s">
        <v>683</v>
      </c>
      <c r="B473" s="2" t="str">
        <f>IFERROR(__xludf.DUMMYFUNCTION("SPLIT(A473,"" "")"),"$cd")</f>
        <v>$cd</v>
      </c>
      <c r="C473" s="2" t="str">
        <f>IFERROR(__xludf.DUMMYFUNCTION("""COMPUTED_VALUE"""),"nljb")</f>
        <v>nljb</v>
      </c>
      <c r="D473" s="2" t="str">
        <f>IFERROR(__xludf.DUMMYFUNCTION("IF(AND(B473=""$cd"",C473&lt;&gt;""..""),CONCATENATE(D472,""/"",C473),IF(C473="".."",MID(D472,1,LEN(D472)-LEN(REGEXEXTRACT(D472,""(/\w*)$""))),D472))"),"//lrvl/zhbpqlnd/nljb")</f>
        <v>//lrvl/zhbpqlnd/nljb</v>
      </c>
      <c r="K473" s="2"/>
    </row>
    <row r="474">
      <c r="A474" s="1" t="s">
        <v>609</v>
      </c>
      <c r="B474" s="2" t="str">
        <f>IFERROR(__xludf.DUMMYFUNCTION("SPLIT(A474,"" "")"),"$ls")</f>
        <v>$ls</v>
      </c>
      <c r="D474" s="2" t="str">
        <f>IFERROR(__xludf.DUMMYFUNCTION("IF(AND(B474=""$cd"",C474&lt;&gt;""..""),CONCATENATE(D473,""/"",C474),IF(C474="".."",MID(D473,1,LEN(D473)-LEN(REGEXEXTRACT(D473,""(/\w*)$""))),D473))"),"//lrvl/zhbpqlnd/nljb")</f>
        <v>//lrvl/zhbpqlnd/nljb</v>
      </c>
      <c r="K474" s="2"/>
    </row>
    <row r="475">
      <c r="A475" s="1" t="s">
        <v>283</v>
      </c>
      <c r="B475" s="2">
        <f>IFERROR(__xludf.DUMMYFUNCTION("SPLIT(A475,"" "")"),105380.0)</f>
        <v>105380</v>
      </c>
      <c r="C475" s="2" t="str">
        <f>IFERROR(__xludf.DUMMYFUNCTION("""COMPUTED_VALUE"""),"lrhmdl")</f>
        <v>lrhmdl</v>
      </c>
      <c r="D475" s="2" t="str">
        <f>IFERROR(__xludf.DUMMYFUNCTION("IF(AND(B475=""$cd"",C475&lt;&gt;""..""),CONCATENATE(D474,""/"",C475),IF(C475="".."",MID(D474,1,LEN(D474)-LEN(REGEXEXTRACT(D474,""(/\w*)$""))),D474))"),"//lrvl/zhbpqlnd/nljb")</f>
        <v>//lrvl/zhbpqlnd/nljb</v>
      </c>
      <c r="K475" s="2"/>
    </row>
    <row r="476">
      <c r="A476" s="1" t="s">
        <v>612</v>
      </c>
      <c r="B476" s="2" t="str">
        <f>IFERROR(__xludf.DUMMYFUNCTION("SPLIT(A476,"" "")"),"$cd")</f>
        <v>$cd</v>
      </c>
      <c r="C476" s="2" t="str">
        <f>IFERROR(__xludf.DUMMYFUNCTION("""COMPUTED_VALUE"""),"..")</f>
        <v>..</v>
      </c>
      <c r="D476" s="2" t="str">
        <f>IFERROR(__xludf.DUMMYFUNCTION("IF(AND(B476=""$cd"",C476&lt;&gt;""..""),CONCATENATE(D475,""/"",C476),IF(C476="".."",MID(D475,1,LEN(D475)-LEN(REGEXEXTRACT(D475,""(/\w*)$""))),D475))"),"//lrvl/zhbpqlnd")</f>
        <v>//lrvl/zhbpqlnd</v>
      </c>
      <c r="K476" s="2"/>
    </row>
    <row r="477">
      <c r="A477" s="1" t="s">
        <v>684</v>
      </c>
      <c r="B477" s="2" t="str">
        <f>IFERROR(__xludf.DUMMYFUNCTION("SPLIT(A477,"" "")"),"$cd")</f>
        <v>$cd</v>
      </c>
      <c r="C477" s="2" t="str">
        <f>IFERROR(__xludf.DUMMYFUNCTION("""COMPUTED_VALUE"""),"npmsdrgp")</f>
        <v>npmsdrgp</v>
      </c>
      <c r="D477" s="2" t="str">
        <f>IFERROR(__xludf.DUMMYFUNCTION("IF(AND(B477=""$cd"",C477&lt;&gt;""..""),CONCATENATE(D476,""/"",C477),IF(C477="".."",MID(D476,1,LEN(D476)-LEN(REGEXEXTRACT(D476,""(/\w*)$""))),D476))"),"//lrvl/zhbpqlnd/npmsdrgp")</f>
        <v>//lrvl/zhbpqlnd/npmsdrgp</v>
      </c>
      <c r="K477" s="2"/>
    </row>
    <row r="478">
      <c r="A478" s="1" t="s">
        <v>609</v>
      </c>
      <c r="B478" s="2" t="str">
        <f>IFERROR(__xludf.DUMMYFUNCTION("SPLIT(A478,"" "")"),"$ls")</f>
        <v>$ls</v>
      </c>
      <c r="D478" s="2" t="str">
        <f>IFERROR(__xludf.DUMMYFUNCTION("IF(AND(B478=""$cd"",C478&lt;&gt;""..""),CONCATENATE(D477,""/"",C478),IF(C478="".."",MID(D477,1,LEN(D477)-LEN(REGEXEXTRACT(D477,""(/\w*)$""))),D477))"),"//lrvl/zhbpqlnd/npmsdrgp")</f>
        <v>//lrvl/zhbpqlnd/npmsdrgp</v>
      </c>
      <c r="K478" s="2"/>
    </row>
    <row r="479">
      <c r="A479" s="1" t="s">
        <v>285</v>
      </c>
      <c r="B479" s="2">
        <f>IFERROR(__xludf.DUMMYFUNCTION("SPLIT(A479,"" "")"),176062.0)</f>
        <v>176062</v>
      </c>
      <c r="C479" s="2" t="str">
        <f>IFERROR(__xludf.DUMMYFUNCTION("""COMPUTED_VALUE"""),"bhm.gfd")</f>
        <v>bhm.gfd</v>
      </c>
      <c r="D479" s="2" t="str">
        <f>IFERROR(__xludf.DUMMYFUNCTION("IF(AND(B479=""$cd"",C479&lt;&gt;""..""),CONCATENATE(D478,""/"",C479),IF(C479="".."",MID(D478,1,LEN(D478)-LEN(REGEXEXTRACT(D478,""(/\w*)$""))),D478))"),"//lrvl/zhbpqlnd/npmsdrgp")</f>
        <v>//lrvl/zhbpqlnd/npmsdrgp</v>
      </c>
      <c r="K479" s="2"/>
    </row>
    <row r="480">
      <c r="A480" s="1" t="s">
        <v>286</v>
      </c>
      <c r="B480" s="2" t="str">
        <f>IFERROR(__xludf.DUMMYFUNCTION("SPLIT(A480,"" "")"),"dir")</f>
        <v>dir</v>
      </c>
      <c r="C480" s="2" t="str">
        <f>IFERROR(__xludf.DUMMYFUNCTION("""COMPUTED_VALUE"""),"dgdl")</f>
        <v>dgdl</v>
      </c>
      <c r="D480" s="2" t="str">
        <f>IFERROR(__xludf.DUMMYFUNCTION("IF(AND(B480=""$cd"",C480&lt;&gt;""..""),CONCATENATE(D479,""/"",C480),IF(C480="".."",MID(D479,1,LEN(D479)-LEN(REGEXEXTRACT(D479,""(/\w*)$""))),D479))"),"//lrvl/zhbpqlnd/npmsdrgp")</f>
        <v>//lrvl/zhbpqlnd/npmsdrgp</v>
      </c>
      <c r="K480" s="2"/>
    </row>
    <row r="481">
      <c r="A481" s="1" t="s">
        <v>287</v>
      </c>
      <c r="B481" s="2">
        <f>IFERROR(__xludf.DUMMYFUNCTION("SPLIT(A481,"" "")"),24535.0)</f>
        <v>24535</v>
      </c>
      <c r="C481" s="2" t="str">
        <f>IFERROR(__xludf.DUMMYFUNCTION("""COMPUTED_VALUE"""),"fdfmntpt.qvp")</f>
        <v>fdfmntpt.qvp</v>
      </c>
      <c r="D481" s="2" t="str">
        <f>IFERROR(__xludf.DUMMYFUNCTION("IF(AND(B481=""$cd"",C481&lt;&gt;""..""),CONCATENATE(D480,""/"",C481),IF(C481="".."",MID(D480,1,LEN(D480)-LEN(REGEXEXTRACT(D480,""(/\w*)$""))),D480))"),"//lrvl/zhbpqlnd/npmsdrgp")</f>
        <v>//lrvl/zhbpqlnd/npmsdrgp</v>
      </c>
      <c r="K481" s="2"/>
    </row>
    <row r="482">
      <c r="A482" s="1" t="s">
        <v>4</v>
      </c>
      <c r="B482" s="2" t="str">
        <f>IFERROR(__xludf.DUMMYFUNCTION("SPLIT(A482,"" "")"),"dir")</f>
        <v>dir</v>
      </c>
      <c r="C482" s="2" t="str">
        <f>IFERROR(__xludf.DUMMYFUNCTION("""COMPUTED_VALUE"""),"jnwr")</f>
        <v>jnwr</v>
      </c>
      <c r="D482" s="2" t="str">
        <f>IFERROR(__xludf.DUMMYFUNCTION("IF(AND(B482=""$cd"",C482&lt;&gt;""..""),CONCATENATE(D481,""/"",C482),IF(C482="".."",MID(D481,1,LEN(D481)-LEN(REGEXEXTRACT(D481,""(/\w*)$""))),D481))"),"//lrvl/zhbpqlnd/npmsdrgp")</f>
        <v>//lrvl/zhbpqlnd/npmsdrgp</v>
      </c>
      <c r="K482" s="2"/>
    </row>
    <row r="483">
      <c r="A483" s="1" t="s">
        <v>288</v>
      </c>
      <c r="B483" s="2">
        <f>IFERROR(__xludf.DUMMYFUNCTION("SPLIT(A483,"" "")"),279503.0)</f>
        <v>279503</v>
      </c>
      <c r="C483" s="2" t="str">
        <f>IFERROR(__xludf.DUMMYFUNCTION("""COMPUTED_VALUE"""),"ssssrhwz")</f>
        <v>ssssrhwz</v>
      </c>
      <c r="D483" s="2" t="str">
        <f>IFERROR(__xludf.DUMMYFUNCTION("IF(AND(B483=""$cd"",C483&lt;&gt;""..""),CONCATENATE(D482,""/"",C483),IF(C483="".."",MID(D482,1,LEN(D482)-LEN(REGEXEXTRACT(D482,""(/\w*)$""))),D482))"),"//lrvl/zhbpqlnd/npmsdrgp")</f>
        <v>//lrvl/zhbpqlnd/npmsdrgp</v>
      </c>
      <c r="K483" s="2"/>
    </row>
    <row r="484">
      <c r="A484" s="1" t="s">
        <v>289</v>
      </c>
      <c r="B484" s="2">
        <f>IFERROR(__xludf.DUMMYFUNCTION("SPLIT(A484,"" "")"),4671.0)</f>
        <v>4671</v>
      </c>
      <c r="C484" s="2" t="str">
        <f>IFERROR(__xludf.DUMMYFUNCTION("""COMPUTED_VALUE"""),"zbdp.gqb")</f>
        <v>zbdp.gqb</v>
      </c>
      <c r="D484" s="2" t="str">
        <f>IFERROR(__xludf.DUMMYFUNCTION("IF(AND(B484=""$cd"",C484&lt;&gt;""..""),CONCATENATE(D483,""/"",C484),IF(C484="".."",MID(D483,1,LEN(D483)-LEN(REGEXEXTRACT(D483,""(/\w*)$""))),D483))"),"//lrvl/zhbpqlnd/npmsdrgp")</f>
        <v>//lrvl/zhbpqlnd/npmsdrgp</v>
      </c>
      <c r="K484" s="2"/>
    </row>
    <row r="485">
      <c r="A485" s="1" t="s">
        <v>685</v>
      </c>
      <c r="B485" s="2" t="str">
        <f>IFERROR(__xludf.DUMMYFUNCTION("SPLIT(A485,"" "")"),"$cd")</f>
        <v>$cd</v>
      </c>
      <c r="C485" s="2" t="str">
        <f>IFERROR(__xludf.DUMMYFUNCTION("""COMPUTED_VALUE"""),"dgdl")</f>
        <v>dgdl</v>
      </c>
      <c r="D485" s="2" t="str">
        <f>IFERROR(__xludf.DUMMYFUNCTION("IF(AND(B485=""$cd"",C485&lt;&gt;""..""),CONCATENATE(D484,""/"",C485),IF(C485="".."",MID(D484,1,LEN(D484)-LEN(REGEXEXTRACT(D484,""(/\w*)$""))),D484))"),"//lrvl/zhbpqlnd/npmsdrgp/dgdl")</f>
        <v>//lrvl/zhbpqlnd/npmsdrgp/dgdl</v>
      </c>
      <c r="K485" s="2"/>
    </row>
    <row r="486">
      <c r="A486" s="1" t="s">
        <v>609</v>
      </c>
      <c r="B486" s="2" t="str">
        <f>IFERROR(__xludf.DUMMYFUNCTION("SPLIT(A486,"" "")"),"$ls")</f>
        <v>$ls</v>
      </c>
      <c r="D486" s="2" t="str">
        <f>IFERROR(__xludf.DUMMYFUNCTION("IF(AND(B486=""$cd"",C486&lt;&gt;""..""),CONCATENATE(D485,""/"",C486),IF(C486="".."",MID(D485,1,LEN(D485)-LEN(REGEXEXTRACT(D485,""(/\w*)$""))),D485))"),"//lrvl/zhbpqlnd/npmsdrgp/dgdl")</f>
        <v>//lrvl/zhbpqlnd/npmsdrgp/dgdl</v>
      </c>
      <c r="K486" s="2"/>
    </row>
    <row r="487">
      <c r="A487" s="1" t="s">
        <v>291</v>
      </c>
      <c r="B487" s="2">
        <f>IFERROR(__xludf.DUMMYFUNCTION("SPLIT(A487,"" "")"),4624.0)</f>
        <v>4624</v>
      </c>
      <c r="C487" s="2" t="str">
        <f>IFERROR(__xludf.DUMMYFUNCTION("""COMPUTED_VALUE"""),"qqcp.rcg")</f>
        <v>qqcp.rcg</v>
      </c>
      <c r="D487" s="2" t="str">
        <f>IFERROR(__xludf.DUMMYFUNCTION("IF(AND(B487=""$cd"",C487&lt;&gt;""..""),CONCATENATE(D486,""/"",C487),IF(C487="".."",MID(D486,1,LEN(D486)-LEN(REGEXEXTRACT(D486,""(/\w*)$""))),D486))"),"//lrvl/zhbpqlnd/npmsdrgp/dgdl")</f>
        <v>//lrvl/zhbpqlnd/npmsdrgp/dgdl</v>
      </c>
      <c r="K487" s="2"/>
    </row>
    <row r="488">
      <c r="A488" s="1" t="s">
        <v>612</v>
      </c>
      <c r="B488" s="2" t="str">
        <f>IFERROR(__xludf.DUMMYFUNCTION("SPLIT(A488,"" "")"),"$cd")</f>
        <v>$cd</v>
      </c>
      <c r="C488" s="2" t="str">
        <f>IFERROR(__xludf.DUMMYFUNCTION("""COMPUTED_VALUE"""),"..")</f>
        <v>..</v>
      </c>
      <c r="D488" s="2" t="str">
        <f>IFERROR(__xludf.DUMMYFUNCTION("IF(AND(B488=""$cd"",C488&lt;&gt;""..""),CONCATENATE(D487,""/"",C488),IF(C488="".."",MID(D487,1,LEN(D487)-LEN(REGEXEXTRACT(D487,""(/\w*)$""))),D487))"),"//lrvl/zhbpqlnd/npmsdrgp")</f>
        <v>//lrvl/zhbpqlnd/npmsdrgp</v>
      </c>
      <c r="K488" s="2"/>
    </row>
    <row r="489">
      <c r="A489" s="1" t="s">
        <v>614</v>
      </c>
      <c r="B489" s="2" t="str">
        <f>IFERROR(__xludf.DUMMYFUNCTION("SPLIT(A489,"" "")"),"$cd")</f>
        <v>$cd</v>
      </c>
      <c r="C489" s="2" t="str">
        <f>IFERROR(__xludf.DUMMYFUNCTION("""COMPUTED_VALUE"""),"jnwr")</f>
        <v>jnwr</v>
      </c>
      <c r="D489" s="2" t="str">
        <f>IFERROR(__xludf.DUMMYFUNCTION("IF(AND(B489=""$cd"",C489&lt;&gt;""..""),CONCATENATE(D488,""/"",C489),IF(C489="".."",MID(D488,1,LEN(D488)-LEN(REGEXEXTRACT(D488,""(/\w*)$""))),D488))"),"//lrvl/zhbpqlnd/npmsdrgp/jnwr")</f>
        <v>//lrvl/zhbpqlnd/npmsdrgp/jnwr</v>
      </c>
      <c r="K489" s="2"/>
    </row>
    <row r="490">
      <c r="A490" s="1" t="s">
        <v>609</v>
      </c>
      <c r="B490" s="2" t="str">
        <f>IFERROR(__xludf.DUMMYFUNCTION("SPLIT(A490,"" "")"),"$ls")</f>
        <v>$ls</v>
      </c>
      <c r="D490" s="2" t="str">
        <f>IFERROR(__xludf.DUMMYFUNCTION("IF(AND(B490=""$cd"",C490&lt;&gt;""..""),CONCATENATE(D489,""/"",C490),IF(C490="".."",MID(D489,1,LEN(D489)-LEN(REGEXEXTRACT(D489,""(/\w*)$""))),D489))"),"//lrvl/zhbpqlnd/npmsdrgp/jnwr")</f>
        <v>//lrvl/zhbpqlnd/npmsdrgp/jnwr</v>
      </c>
      <c r="K490" s="2"/>
    </row>
    <row r="491">
      <c r="A491" s="1" t="s">
        <v>292</v>
      </c>
      <c r="B491" s="2" t="str">
        <f>IFERROR(__xludf.DUMMYFUNCTION("SPLIT(A491,"" "")"),"dir")</f>
        <v>dir</v>
      </c>
      <c r="C491" s="2" t="str">
        <f>IFERROR(__xludf.DUMMYFUNCTION("""COMPUTED_VALUE"""),"cvw")</f>
        <v>cvw</v>
      </c>
      <c r="D491" s="2" t="str">
        <f>IFERROR(__xludf.DUMMYFUNCTION("IF(AND(B491=""$cd"",C491&lt;&gt;""..""),CONCATENATE(D490,""/"",C491),IF(C491="".."",MID(D490,1,LEN(D490)-LEN(REGEXEXTRACT(D490,""(/\w*)$""))),D490))"),"//lrvl/zhbpqlnd/npmsdrgp/jnwr")</f>
        <v>//lrvl/zhbpqlnd/npmsdrgp/jnwr</v>
      </c>
      <c r="K491" s="2"/>
    </row>
    <row r="492">
      <c r="A492" s="1" t="s">
        <v>293</v>
      </c>
      <c r="B492" s="2">
        <f>IFERROR(__xludf.DUMMYFUNCTION("SPLIT(A492,"" "")"),122648.0)</f>
        <v>122648</v>
      </c>
      <c r="C492" s="2" t="str">
        <f>IFERROR(__xludf.DUMMYFUNCTION("""COMPUTED_VALUE"""),"hmqfdht")</f>
        <v>hmqfdht</v>
      </c>
      <c r="D492" s="2" t="str">
        <f>IFERROR(__xludf.DUMMYFUNCTION("IF(AND(B492=""$cd"",C492&lt;&gt;""..""),CONCATENATE(D491,""/"",C492),IF(C492="".."",MID(D491,1,LEN(D491)-LEN(REGEXEXTRACT(D491,""(/\w*)$""))),D491))"),"//lrvl/zhbpqlnd/npmsdrgp/jnwr")</f>
        <v>//lrvl/zhbpqlnd/npmsdrgp/jnwr</v>
      </c>
      <c r="K492" s="2"/>
    </row>
    <row r="493">
      <c r="A493" s="1" t="s">
        <v>294</v>
      </c>
      <c r="B493" s="2">
        <f>IFERROR(__xludf.DUMMYFUNCTION("SPLIT(A493,"" "")"),26565.0)</f>
        <v>26565</v>
      </c>
      <c r="C493" s="2" t="str">
        <f>IFERROR(__xludf.DUMMYFUNCTION("""COMPUTED_VALUE"""),"jnwr.fst")</f>
        <v>jnwr.fst</v>
      </c>
      <c r="D493" s="2" t="str">
        <f>IFERROR(__xludf.DUMMYFUNCTION("IF(AND(B493=""$cd"",C493&lt;&gt;""..""),CONCATENATE(D492,""/"",C493),IF(C493="".."",MID(D492,1,LEN(D492)-LEN(REGEXEXTRACT(D492,""(/\w*)$""))),D492))"),"//lrvl/zhbpqlnd/npmsdrgp/jnwr")</f>
        <v>//lrvl/zhbpqlnd/npmsdrgp/jnwr</v>
      </c>
      <c r="K493" s="2"/>
    </row>
    <row r="494">
      <c r="A494" s="1" t="s">
        <v>295</v>
      </c>
      <c r="B494" s="2">
        <f>IFERROR(__xludf.DUMMYFUNCTION("SPLIT(A494,"" "")"),271544.0)</f>
        <v>271544</v>
      </c>
      <c r="C494" s="2" t="str">
        <f>IFERROR(__xludf.DUMMYFUNCTION("""COMPUTED_VALUE"""),"jnwr.tqb")</f>
        <v>jnwr.tqb</v>
      </c>
      <c r="D494" s="2" t="str">
        <f>IFERROR(__xludf.DUMMYFUNCTION("IF(AND(B494=""$cd"",C494&lt;&gt;""..""),CONCATENATE(D493,""/"",C494),IF(C494="".."",MID(D493,1,LEN(D493)-LEN(REGEXEXTRACT(D493,""(/\w*)$""))),D493))"),"//lrvl/zhbpqlnd/npmsdrgp/jnwr")</f>
        <v>//lrvl/zhbpqlnd/npmsdrgp/jnwr</v>
      </c>
      <c r="K494" s="2"/>
    </row>
    <row r="495">
      <c r="A495" s="1" t="s">
        <v>296</v>
      </c>
      <c r="B495" s="2">
        <f>IFERROR(__xludf.DUMMYFUNCTION("SPLIT(A495,"" "")"),170968.0)</f>
        <v>170968</v>
      </c>
      <c r="C495" s="2" t="str">
        <f>IFERROR(__xludf.DUMMYFUNCTION("""COMPUTED_VALUE"""),"mpq.cdn")</f>
        <v>mpq.cdn</v>
      </c>
      <c r="D495" s="2" t="str">
        <f>IFERROR(__xludf.DUMMYFUNCTION("IF(AND(B495=""$cd"",C495&lt;&gt;""..""),CONCATENATE(D494,""/"",C495),IF(C495="".."",MID(D494,1,LEN(D494)-LEN(REGEXEXTRACT(D494,""(/\w*)$""))),D494))"),"//lrvl/zhbpqlnd/npmsdrgp/jnwr")</f>
        <v>//lrvl/zhbpqlnd/npmsdrgp/jnwr</v>
      </c>
      <c r="K495" s="2"/>
    </row>
    <row r="496">
      <c r="A496" s="1" t="s">
        <v>297</v>
      </c>
      <c r="B496" s="2" t="str">
        <f>IFERROR(__xludf.DUMMYFUNCTION("SPLIT(A496,"" "")"),"dir")</f>
        <v>dir</v>
      </c>
      <c r="C496" s="2" t="str">
        <f>IFERROR(__xludf.DUMMYFUNCTION("""COMPUTED_VALUE"""),"ncqflwrb")</f>
        <v>ncqflwrb</v>
      </c>
      <c r="D496" s="2" t="str">
        <f>IFERROR(__xludf.DUMMYFUNCTION("IF(AND(B496=""$cd"",C496&lt;&gt;""..""),CONCATENATE(D495,""/"",C496),IF(C496="".."",MID(D495,1,LEN(D495)-LEN(REGEXEXTRACT(D495,""(/\w*)$""))),D495))"),"//lrvl/zhbpqlnd/npmsdrgp/jnwr")</f>
        <v>//lrvl/zhbpqlnd/npmsdrgp/jnwr</v>
      </c>
      <c r="K496" s="2"/>
    </row>
    <row r="497">
      <c r="A497" s="1" t="s">
        <v>298</v>
      </c>
      <c r="B497" s="2">
        <f>IFERROR(__xludf.DUMMYFUNCTION("SPLIT(A497,"" "")"),103826.0)</f>
        <v>103826</v>
      </c>
      <c r="C497" s="2" t="str">
        <f>IFERROR(__xludf.DUMMYFUNCTION("""COMPUTED_VALUE"""),"qgzlff.frl")</f>
        <v>qgzlff.frl</v>
      </c>
      <c r="D497" s="2" t="str">
        <f>IFERROR(__xludf.DUMMYFUNCTION("IF(AND(B497=""$cd"",C497&lt;&gt;""..""),CONCATENATE(D496,""/"",C497),IF(C497="".."",MID(D496,1,LEN(D496)-LEN(REGEXEXTRACT(D496,""(/\w*)$""))),D496))"),"//lrvl/zhbpqlnd/npmsdrgp/jnwr")</f>
        <v>//lrvl/zhbpqlnd/npmsdrgp/jnwr</v>
      </c>
      <c r="K497" s="2"/>
    </row>
    <row r="498">
      <c r="A498" s="1" t="s">
        <v>299</v>
      </c>
      <c r="B498" s="2" t="str">
        <f>IFERROR(__xludf.DUMMYFUNCTION("SPLIT(A498,"" "")"),"dir")</f>
        <v>dir</v>
      </c>
      <c r="C498" s="2" t="str">
        <f>IFERROR(__xludf.DUMMYFUNCTION("""COMPUTED_VALUE"""),"wclwg")</f>
        <v>wclwg</v>
      </c>
      <c r="D498" s="2" t="str">
        <f>IFERROR(__xludf.DUMMYFUNCTION("IF(AND(B498=""$cd"",C498&lt;&gt;""..""),CONCATENATE(D497,""/"",C498),IF(C498="".."",MID(D497,1,LEN(D497)-LEN(REGEXEXTRACT(D497,""(/\w*)$""))),D497))"),"//lrvl/zhbpqlnd/npmsdrgp/jnwr")</f>
        <v>//lrvl/zhbpqlnd/npmsdrgp/jnwr</v>
      </c>
      <c r="K498" s="2"/>
    </row>
    <row r="499">
      <c r="A499" s="1" t="s">
        <v>300</v>
      </c>
      <c r="B499" s="2" t="str">
        <f>IFERROR(__xludf.DUMMYFUNCTION("SPLIT(A499,"" "")"),"dir")</f>
        <v>dir</v>
      </c>
      <c r="C499" s="2" t="str">
        <f>IFERROR(__xludf.DUMMYFUNCTION("""COMPUTED_VALUE"""),"wtcfswt")</f>
        <v>wtcfswt</v>
      </c>
      <c r="D499" s="2" t="str">
        <f>IFERROR(__xludf.DUMMYFUNCTION("IF(AND(B499=""$cd"",C499&lt;&gt;""..""),CONCATENATE(D498,""/"",C499),IF(C499="".."",MID(D498,1,LEN(D498)-LEN(REGEXEXTRACT(D498,""(/\w*)$""))),D498))"),"//lrvl/zhbpqlnd/npmsdrgp/jnwr")</f>
        <v>//lrvl/zhbpqlnd/npmsdrgp/jnwr</v>
      </c>
      <c r="K499" s="2"/>
    </row>
    <row r="500">
      <c r="A500" s="1" t="s">
        <v>686</v>
      </c>
      <c r="B500" s="2" t="str">
        <f>IFERROR(__xludf.DUMMYFUNCTION("SPLIT(A500,"" "")"),"$cd")</f>
        <v>$cd</v>
      </c>
      <c r="C500" s="2" t="str">
        <f>IFERROR(__xludf.DUMMYFUNCTION("""COMPUTED_VALUE"""),"cvw")</f>
        <v>cvw</v>
      </c>
      <c r="D500" s="2" t="str">
        <f>IFERROR(__xludf.DUMMYFUNCTION("IF(AND(B500=""$cd"",C500&lt;&gt;""..""),CONCATENATE(D499,""/"",C500),IF(C500="".."",MID(D499,1,LEN(D499)-LEN(REGEXEXTRACT(D499,""(/\w*)$""))),D499))"),"//lrvl/zhbpqlnd/npmsdrgp/jnwr/cvw")</f>
        <v>//lrvl/zhbpqlnd/npmsdrgp/jnwr/cvw</v>
      </c>
      <c r="K500" s="2"/>
    </row>
    <row r="501">
      <c r="A501" s="1" t="s">
        <v>609</v>
      </c>
      <c r="B501" s="2" t="str">
        <f>IFERROR(__xludf.DUMMYFUNCTION("SPLIT(A501,"" "")"),"$ls")</f>
        <v>$ls</v>
      </c>
      <c r="D501" s="2" t="str">
        <f>IFERROR(__xludf.DUMMYFUNCTION("IF(AND(B501=""$cd"",C501&lt;&gt;""..""),CONCATENATE(D500,""/"",C501),IF(C501="".."",MID(D500,1,LEN(D500)-LEN(REGEXEXTRACT(D500,""(/\w*)$""))),D500))"),"//lrvl/zhbpqlnd/npmsdrgp/jnwr/cvw")</f>
        <v>//lrvl/zhbpqlnd/npmsdrgp/jnwr/cvw</v>
      </c>
      <c r="K501" s="2"/>
    </row>
    <row r="502">
      <c r="A502" s="1" t="s">
        <v>302</v>
      </c>
      <c r="B502" s="2">
        <f>IFERROR(__xludf.DUMMYFUNCTION("SPLIT(A502,"" "")"),58583.0)</f>
        <v>58583</v>
      </c>
      <c r="C502" s="2" t="str">
        <f>IFERROR(__xludf.DUMMYFUNCTION("""COMPUTED_VALUE"""),"pjthqdbr.zzh")</f>
        <v>pjthqdbr.zzh</v>
      </c>
      <c r="D502" s="2" t="str">
        <f>IFERROR(__xludf.DUMMYFUNCTION("IF(AND(B502=""$cd"",C502&lt;&gt;""..""),CONCATENATE(D501,""/"",C502),IF(C502="".."",MID(D501,1,LEN(D501)-LEN(REGEXEXTRACT(D501,""(/\w*)$""))),D501))"),"//lrvl/zhbpqlnd/npmsdrgp/jnwr/cvw")</f>
        <v>//lrvl/zhbpqlnd/npmsdrgp/jnwr/cvw</v>
      </c>
      <c r="K502" s="2"/>
    </row>
    <row r="503">
      <c r="A503" s="1" t="s">
        <v>303</v>
      </c>
      <c r="B503" s="2">
        <f>IFERROR(__xludf.DUMMYFUNCTION("SPLIT(A503,"" "")"),398.0)</f>
        <v>398</v>
      </c>
      <c r="C503" s="2" t="str">
        <f>IFERROR(__xludf.DUMMYFUNCTION("""COMPUTED_VALUE"""),"ssssrhwz")</f>
        <v>ssssrhwz</v>
      </c>
      <c r="D503" s="2" t="str">
        <f>IFERROR(__xludf.DUMMYFUNCTION("IF(AND(B503=""$cd"",C503&lt;&gt;""..""),CONCATENATE(D502,""/"",C503),IF(C503="".."",MID(D502,1,LEN(D502)-LEN(REGEXEXTRACT(D502,""(/\w*)$""))),D502))"),"//lrvl/zhbpqlnd/npmsdrgp/jnwr/cvw")</f>
        <v>//lrvl/zhbpqlnd/npmsdrgp/jnwr/cvw</v>
      </c>
      <c r="K503" s="2"/>
    </row>
    <row r="504">
      <c r="A504" s="1" t="s">
        <v>612</v>
      </c>
      <c r="B504" s="2" t="str">
        <f>IFERROR(__xludf.DUMMYFUNCTION("SPLIT(A504,"" "")"),"$cd")</f>
        <v>$cd</v>
      </c>
      <c r="C504" s="2" t="str">
        <f>IFERROR(__xludf.DUMMYFUNCTION("""COMPUTED_VALUE"""),"..")</f>
        <v>..</v>
      </c>
      <c r="D504" s="2" t="str">
        <f>IFERROR(__xludf.DUMMYFUNCTION("IF(AND(B504=""$cd"",C504&lt;&gt;""..""),CONCATENATE(D503,""/"",C504),IF(C504="".."",MID(D503,1,LEN(D503)-LEN(REGEXEXTRACT(D503,""(/\w*)$""))),D503))"),"//lrvl/zhbpqlnd/npmsdrgp/jnwr")</f>
        <v>//lrvl/zhbpqlnd/npmsdrgp/jnwr</v>
      </c>
      <c r="K504" s="2"/>
    </row>
    <row r="505">
      <c r="A505" s="1" t="s">
        <v>687</v>
      </c>
      <c r="B505" s="2" t="str">
        <f>IFERROR(__xludf.DUMMYFUNCTION("SPLIT(A505,"" "")"),"$cd")</f>
        <v>$cd</v>
      </c>
      <c r="C505" s="2" t="str">
        <f>IFERROR(__xludf.DUMMYFUNCTION("""COMPUTED_VALUE"""),"ncqflwrb")</f>
        <v>ncqflwrb</v>
      </c>
      <c r="D505" s="2" t="str">
        <f>IFERROR(__xludf.DUMMYFUNCTION("IF(AND(B505=""$cd"",C505&lt;&gt;""..""),CONCATENATE(D504,""/"",C505),IF(C505="".."",MID(D504,1,LEN(D504)-LEN(REGEXEXTRACT(D504,""(/\w*)$""))),D504))"),"//lrvl/zhbpqlnd/npmsdrgp/jnwr/ncqflwrb")</f>
        <v>//lrvl/zhbpqlnd/npmsdrgp/jnwr/ncqflwrb</v>
      </c>
      <c r="K505" s="2"/>
    </row>
    <row r="506">
      <c r="A506" s="1" t="s">
        <v>609</v>
      </c>
      <c r="B506" s="2" t="str">
        <f>IFERROR(__xludf.DUMMYFUNCTION("SPLIT(A506,"" "")"),"$ls")</f>
        <v>$ls</v>
      </c>
      <c r="D506" s="2" t="str">
        <f>IFERROR(__xludf.DUMMYFUNCTION("IF(AND(B506=""$cd"",C506&lt;&gt;""..""),CONCATENATE(D505,""/"",C506),IF(C506="".."",MID(D505,1,LEN(D505)-LEN(REGEXEXTRACT(D505,""(/\w*)$""))),D505))"),"//lrvl/zhbpqlnd/npmsdrgp/jnwr/ncqflwrb")</f>
        <v>//lrvl/zhbpqlnd/npmsdrgp/jnwr/ncqflwrb</v>
      </c>
      <c r="K506" s="2"/>
    </row>
    <row r="507">
      <c r="A507" s="1" t="s">
        <v>305</v>
      </c>
      <c r="B507" s="2">
        <f>IFERROR(__xludf.DUMMYFUNCTION("SPLIT(A507,"" "")"),105747.0)</f>
        <v>105747</v>
      </c>
      <c r="C507" s="2" t="str">
        <f>IFERROR(__xludf.DUMMYFUNCTION("""COMPUTED_VALUE"""),"wwstfng.cdl")</f>
        <v>wwstfng.cdl</v>
      </c>
      <c r="D507" s="2" t="str">
        <f>IFERROR(__xludf.DUMMYFUNCTION("IF(AND(B507=""$cd"",C507&lt;&gt;""..""),CONCATENATE(D506,""/"",C507),IF(C507="".."",MID(D506,1,LEN(D506)-LEN(REGEXEXTRACT(D506,""(/\w*)$""))),D506))"),"//lrvl/zhbpqlnd/npmsdrgp/jnwr/ncqflwrb")</f>
        <v>//lrvl/zhbpqlnd/npmsdrgp/jnwr/ncqflwrb</v>
      </c>
      <c r="K507" s="2"/>
    </row>
    <row r="508">
      <c r="A508" s="1" t="s">
        <v>612</v>
      </c>
      <c r="B508" s="2" t="str">
        <f>IFERROR(__xludf.DUMMYFUNCTION("SPLIT(A508,"" "")"),"$cd")</f>
        <v>$cd</v>
      </c>
      <c r="C508" s="2" t="str">
        <f>IFERROR(__xludf.DUMMYFUNCTION("""COMPUTED_VALUE"""),"..")</f>
        <v>..</v>
      </c>
      <c r="D508" s="2" t="str">
        <f>IFERROR(__xludf.DUMMYFUNCTION("IF(AND(B508=""$cd"",C508&lt;&gt;""..""),CONCATENATE(D507,""/"",C508),IF(C508="".."",MID(D507,1,LEN(D507)-LEN(REGEXEXTRACT(D507,""(/\w*)$""))),D507))"),"//lrvl/zhbpqlnd/npmsdrgp/jnwr")</f>
        <v>//lrvl/zhbpqlnd/npmsdrgp/jnwr</v>
      </c>
      <c r="K508" s="2"/>
    </row>
    <row r="509">
      <c r="A509" s="1" t="s">
        <v>688</v>
      </c>
      <c r="B509" s="2" t="str">
        <f>IFERROR(__xludf.DUMMYFUNCTION("SPLIT(A509,"" "")"),"$cd")</f>
        <v>$cd</v>
      </c>
      <c r="C509" s="2" t="str">
        <f>IFERROR(__xludf.DUMMYFUNCTION("""COMPUTED_VALUE"""),"wclwg")</f>
        <v>wclwg</v>
      </c>
      <c r="D509" s="2" t="str">
        <f>IFERROR(__xludf.DUMMYFUNCTION("IF(AND(B509=""$cd"",C509&lt;&gt;""..""),CONCATENATE(D508,""/"",C509),IF(C509="".."",MID(D508,1,LEN(D508)-LEN(REGEXEXTRACT(D508,""(/\w*)$""))),D508))"),"//lrvl/zhbpqlnd/npmsdrgp/jnwr/wclwg")</f>
        <v>//lrvl/zhbpqlnd/npmsdrgp/jnwr/wclwg</v>
      </c>
      <c r="K509" s="2"/>
    </row>
    <row r="510">
      <c r="A510" s="1" t="s">
        <v>609</v>
      </c>
      <c r="B510" s="2" t="str">
        <f>IFERROR(__xludf.DUMMYFUNCTION("SPLIT(A510,"" "")"),"$ls")</f>
        <v>$ls</v>
      </c>
      <c r="D510" s="2" t="str">
        <f>IFERROR(__xludf.DUMMYFUNCTION("IF(AND(B510=""$cd"",C510&lt;&gt;""..""),CONCATENATE(D509,""/"",C510),IF(C510="".."",MID(D509,1,LEN(D509)-LEN(REGEXEXTRACT(D509,""(/\w*)$""))),D509))"),"//lrvl/zhbpqlnd/npmsdrgp/jnwr/wclwg")</f>
        <v>//lrvl/zhbpqlnd/npmsdrgp/jnwr/wclwg</v>
      </c>
      <c r="K510" s="2"/>
    </row>
    <row r="511">
      <c r="A511" s="1" t="s">
        <v>307</v>
      </c>
      <c r="B511" s="2">
        <f>IFERROR(__xludf.DUMMYFUNCTION("SPLIT(A511,"" "")"),75020.0)</f>
        <v>75020</v>
      </c>
      <c r="C511" s="2" t="str">
        <f>IFERROR(__xludf.DUMMYFUNCTION("""COMPUTED_VALUE"""),"wbq")</f>
        <v>wbq</v>
      </c>
      <c r="D511" s="2" t="str">
        <f>IFERROR(__xludf.DUMMYFUNCTION("IF(AND(B511=""$cd"",C511&lt;&gt;""..""),CONCATENATE(D510,""/"",C511),IF(C511="".."",MID(D510,1,LEN(D510)-LEN(REGEXEXTRACT(D510,""(/\w*)$""))),D510))"),"//lrvl/zhbpqlnd/npmsdrgp/jnwr/wclwg")</f>
        <v>//lrvl/zhbpqlnd/npmsdrgp/jnwr/wclwg</v>
      </c>
      <c r="K511" s="2"/>
    </row>
    <row r="512">
      <c r="A512" s="1" t="s">
        <v>612</v>
      </c>
      <c r="B512" s="2" t="str">
        <f>IFERROR(__xludf.DUMMYFUNCTION("SPLIT(A512,"" "")"),"$cd")</f>
        <v>$cd</v>
      </c>
      <c r="C512" s="2" t="str">
        <f>IFERROR(__xludf.DUMMYFUNCTION("""COMPUTED_VALUE"""),"..")</f>
        <v>..</v>
      </c>
      <c r="D512" s="2" t="str">
        <f>IFERROR(__xludf.DUMMYFUNCTION("IF(AND(B512=""$cd"",C512&lt;&gt;""..""),CONCATENATE(D511,""/"",C512),IF(C512="".."",MID(D511,1,LEN(D511)-LEN(REGEXEXTRACT(D511,""(/\w*)$""))),D511))"),"//lrvl/zhbpqlnd/npmsdrgp/jnwr")</f>
        <v>//lrvl/zhbpqlnd/npmsdrgp/jnwr</v>
      </c>
      <c r="K512" s="2"/>
    </row>
    <row r="513">
      <c r="A513" s="1" t="s">
        <v>689</v>
      </c>
      <c r="B513" s="2" t="str">
        <f>IFERROR(__xludf.DUMMYFUNCTION("SPLIT(A513,"" "")"),"$cd")</f>
        <v>$cd</v>
      </c>
      <c r="C513" s="2" t="str">
        <f>IFERROR(__xludf.DUMMYFUNCTION("""COMPUTED_VALUE"""),"wtcfswt")</f>
        <v>wtcfswt</v>
      </c>
      <c r="D513" s="2" t="str">
        <f>IFERROR(__xludf.DUMMYFUNCTION("IF(AND(B513=""$cd"",C513&lt;&gt;""..""),CONCATENATE(D512,""/"",C513),IF(C513="".."",MID(D512,1,LEN(D512)-LEN(REGEXEXTRACT(D512,""(/\w*)$""))),D512))"),"//lrvl/zhbpqlnd/npmsdrgp/jnwr/wtcfswt")</f>
        <v>//lrvl/zhbpqlnd/npmsdrgp/jnwr/wtcfswt</v>
      </c>
      <c r="K513" s="2"/>
    </row>
    <row r="514">
      <c r="A514" s="1" t="s">
        <v>609</v>
      </c>
      <c r="B514" s="2" t="str">
        <f>IFERROR(__xludf.DUMMYFUNCTION("SPLIT(A514,"" "")"),"$ls")</f>
        <v>$ls</v>
      </c>
      <c r="D514" s="2" t="str">
        <f>IFERROR(__xludf.DUMMYFUNCTION("IF(AND(B514=""$cd"",C514&lt;&gt;""..""),CONCATENATE(D513,""/"",C514),IF(C514="".."",MID(D513,1,LEN(D513)-LEN(REGEXEXTRACT(D513,""(/\w*)$""))),D513))"),"//lrvl/zhbpqlnd/npmsdrgp/jnwr/wtcfswt")</f>
        <v>//lrvl/zhbpqlnd/npmsdrgp/jnwr/wtcfswt</v>
      </c>
      <c r="K514" s="2"/>
    </row>
    <row r="515">
      <c r="A515" s="1" t="s">
        <v>309</v>
      </c>
      <c r="B515" s="2">
        <f>IFERROR(__xludf.DUMMYFUNCTION("SPLIT(A515,"" "")"),182813.0)</f>
        <v>182813</v>
      </c>
      <c r="C515" s="2" t="str">
        <f>IFERROR(__xludf.DUMMYFUNCTION("""COMPUTED_VALUE"""),"dnln")</f>
        <v>dnln</v>
      </c>
      <c r="D515" s="2" t="str">
        <f>IFERROR(__xludf.DUMMYFUNCTION("IF(AND(B515=""$cd"",C515&lt;&gt;""..""),CONCATENATE(D514,""/"",C515),IF(C515="".."",MID(D514,1,LEN(D514)-LEN(REGEXEXTRACT(D514,""(/\w*)$""))),D514))"),"//lrvl/zhbpqlnd/npmsdrgp/jnwr/wtcfswt")</f>
        <v>//lrvl/zhbpqlnd/npmsdrgp/jnwr/wtcfswt</v>
      </c>
      <c r="K515" s="2"/>
    </row>
    <row r="516">
      <c r="A516" s="1" t="s">
        <v>310</v>
      </c>
      <c r="B516" s="2">
        <f>IFERROR(__xludf.DUMMYFUNCTION("SPLIT(A516,"" "")"),255923.0)</f>
        <v>255923</v>
      </c>
      <c r="C516" s="2" t="str">
        <f>IFERROR(__xludf.DUMMYFUNCTION("""COMPUTED_VALUE"""),"hmqfdht")</f>
        <v>hmqfdht</v>
      </c>
      <c r="D516" s="2" t="str">
        <f>IFERROR(__xludf.DUMMYFUNCTION("IF(AND(B516=""$cd"",C516&lt;&gt;""..""),CONCATENATE(D515,""/"",C516),IF(C516="".."",MID(D515,1,LEN(D515)-LEN(REGEXEXTRACT(D515,""(/\w*)$""))),D515))"),"//lrvl/zhbpqlnd/npmsdrgp/jnwr/wtcfswt")</f>
        <v>//lrvl/zhbpqlnd/npmsdrgp/jnwr/wtcfswt</v>
      </c>
      <c r="K516" s="2"/>
    </row>
    <row r="517">
      <c r="A517" s="1" t="s">
        <v>612</v>
      </c>
      <c r="B517" s="2" t="str">
        <f>IFERROR(__xludf.DUMMYFUNCTION("SPLIT(A517,"" "")"),"$cd")</f>
        <v>$cd</v>
      </c>
      <c r="C517" s="2" t="str">
        <f>IFERROR(__xludf.DUMMYFUNCTION("""COMPUTED_VALUE"""),"..")</f>
        <v>..</v>
      </c>
      <c r="D517" s="2" t="str">
        <f>IFERROR(__xludf.DUMMYFUNCTION("IF(AND(B517=""$cd"",C517&lt;&gt;""..""),CONCATENATE(D516,""/"",C517),IF(C517="".."",MID(D516,1,LEN(D516)-LEN(REGEXEXTRACT(D516,""(/\w*)$""))),D516))"),"//lrvl/zhbpqlnd/npmsdrgp/jnwr")</f>
        <v>//lrvl/zhbpqlnd/npmsdrgp/jnwr</v>
      </c>
      <c r="K517" s="2"/>
    </row>
    <row r="518">
      <c r="A518" s="1" t="s">
        <v>612</v>
      </c>
      <c r="B518" s="2" t="str">
        <f>IFERROR(__xludf.DUMMYFUNCTION("SPLIT(A518,"" "")"),"$cd")</f>
        <v>$cd</v>
      </c>
      <c r="C518" s="2" t="str">
        <f>IFERROR(__xludf.DUMMYFUNCTION("""COMPUTED_VALUE"""),"..")</f>
        <v>..</v>
      </c>
      <c r="D518" s="2" t="str">
        <f>IFERROR(__xludf.DUMMYFUNCTION("IF(AND(B518=""$cd"",C518&lt;&gt;""..""),CONCATENATE(D517,""/"",C518),IF(C518="".."",MID(D517,1,LEN(D517)-LEN(REGEXEXTRACT(D517,""(/\w*)$""))),D517))"),"//lrvl/zhbpqlnd/npmsdrgp")</f>
        <v>//lrvl/zhbpqlnd/npmsdrgp</v>
      </c>
      <c r="K518" s="2"/>
    </row>
    <row r="519">
      <c r="A519" s="1" t="s">
        <v>612</v>
      </c>
      <c r="B519" s="2" t="str">
        <f>IFERROR(__xludf.DUMMYFUNCTION("SPLIT(A519,"" "")"),"$cd")</f>
        <v>$cd</v>
      </c>
      <c r="C519" s="2" t="str">
        <f>IFERROR(__xludf.DUMMYFUNCTION("""COMPUTED_VALUE"""),"..")</f>
        <v>..</v>
      </c>
      <c r="D519" s="2" t="str">
        <f>IFERROR(__xludf.DUMMYFUNCTION("IF(AND(B519=""$cd"",C519&lt;&gt;""..""),CONCATENATE(D518,""/"",C519),IF(C519="".."",MID(D518,1,LEN(D518)-LEN(REGEXEXTRACT(D518,""(/\w*)$""))),D518))"),"//lrvl/zhbpqlnd")</f>
        <v>//lrvl/zhbpqlnd</v>
      </c>
      <c r="K519" s="2"/>
    </row>
    <row r="520">
      <c r="A520" s="1" t="s">
        <v>690</v>
      </c>
      <c r="B520" s="2" t="str">
        <f>IFERROR(__xludf.DUMMYFUNCTION("SPLIT(A520,"" "")"),"$cd")</f>
        <v>$cd</v>
      </c>
      <c r="C520" s="2" t="str">
        <f>IFERROR(__xludf.DUMMYFUNCTION("""COMPUTED_VALUE"""),"zggqfj")</f>
        <v>zggqfj</v>
      </c>
      <c r="D520" s="2" t="str">
        <f>IFERROR(__xludf.DUMMYFUNCTION("IF(AND(B520=""$cd"",C520&lt;&gt;""..""),CONCATENATE(D519,""/"",C520),IF(C520="".."",MID(D519,1,LEN(D519)-LEN(REGEXEXTRACT(D519,""(/\w*)$""))),D519))"),"//lrvl/zhbpqlnd/zggqfj")</f>
        <v>//lrvl/zhbpqlnd/zggqfj</v>
      </c>
      <c r="K520" s="2"/>
    </row>
    <row r="521">
      <c r="A521" s="1" t="s">
        <v>609</v>
      </c>
      <c r="B521" s="2" t="str">
        <f>IFERROR(__xludf.DUMMYFUNCTION("SPLIT(A521,"" "")"),"$ls")</f>
        <v>$ls</v>
      </c>
      <c r="D521" s="2" t="str">
        <f>IFERROR(__xludf.DUMMYFUNCTION("IF(AND(B521=""$cd"",C521&lt;&gt;""..""),CONCATENATE(D520,""/"",C521),IF(C521="".."",MID(D520,1,LEN(D520)-LEN(REGEXEXTRACT(D520,""(/\w*)$""))),D520))"),"//lrvl/zhbpqlnd/zggqfj")</f>
        <v>//lrvl/zhbpqlnd/zggqfj</v>
      </c>
      <c r="K521" s="2"/>
    </row>
    <row r="522">
      <c r="A522" s="1" t="s">
        <v>312</v>
      </c>
      <c r="B522" s="2" t="str">
        <f>IFERROR(__xludf.DUMMYFUNCTION("SPLIT(A522,"" "")"),"dir")</f>
        <v>dir</v>
      </c>
      <c r="C522" s="2" t="str">
        <f>IFERROR(__xludf.DUMMYFUNCTION("""COMPUTED_VALUE"""),"gpnfpv")</f>
        <v>gpnfpv</v>
      </c>
      <c r="D522" s="2" t="str">
        <f>IFERROR(__xludf.DUMMYFUNCTION("IF(AND(B522=""$cd"",C522&lt;&gt;""..""),CONCATENATE(D521,""/"",C522),IF(C522="".."",MID(D521,1,LEN(D521)-LEN(REGEXEXTRACT(D521,""(/\w*)$""))),D521))"),"//lrvl/zhbpqlnd/zggqfj")</f>
        <v>//lrvl/zhbpqlnd/zggqfj</v>
      </c>
      <c r="K522" s="2"/>
    </row>
    <row r="523">
      <c r="A523" s="1" t="s">
        <v>313</v>
      </c>
      <c r="B523" s="2" t="str">
        <f>IFERROR(__xludf.DUMMYFUNCTION("SPLIT(A523,"" "")"),"dir")</f>
        <v>dir</v>
      </c>
      <c r="C523" s="2" t="str">
        <f>IFERROR(__xludf.DUMMYFUNCTION("""COMPUTED_VALUE"""),"gzfsnbv")</f>
        <v>gzfsnbv</v>
      </c>
      <c r="D523" s="2" t="str">
        <f>IFERROR(__xludf.DUMMYFUNCTION("IF(AND(B523=""$cd"",C523&lt;&gt;""..""),CONCATENATE(D522,""/"",C523),IF(C523="".."",MID(D522,1,LEN(D522)-LEN(REGEXEXTRACT(D522,""(/\w*)$""))),D522))"),"//lrvl/zhbpqlnd/zggqfj")</f>
        <v>//lrvl/zhbpqlnd/zggqfj</v>
      </c>
      <c r="K523" s="2"/>
    </row>
    <row r="524">
      <c r="A524" s="1" t="s">
        <v>314</v>
      </c>
      <c r="B524" s="2">
        <f>IFERROR(__xludf.DUMMYFUNCTION("SPLIT(A524,"" "")"),186684.0)</f>
        <v>186684</v>
      </c>
      <c r="C524" s="2" t="str">
        <f>IFERROR(__xludf.DUMMYFUNCTION("""COMPUTED_VALUE"""),"jnwr")</f>
        <v>jnwr</v>
      </c>
      <c r="D524" s="2" t="str">
        <f>IFERROR(__xludf.DUMMYFUNCTION("IF(AND(B524=""$cd"",C524&lt;&gt;""..""),CONCATENATE(D523,""/"",C524),IF(C524="".."",MID(D523,1,LEN(D523)-LEN(REGEXEXTRACT(D523,""(/\w*)$""))),D523))"),"//lrvl/zhbpqlnd/zggqfj")</f>
        <v>//lrvl/zhbpqlnd/zggqfj</v>
      </c>
      <c r="K524" s="2"/>
    </row>
    <row r="525">
      <c r="A525" s="1" t="s">
        <v>315</v>
      </c>
      <c r="B525" s="2" t="str">
        <f>IFERROR(__xludf.DUMMYFUNCTION("SPLIT(A525,"" "")"),"dir")</f>
        <v>dir</v>
      </c>
      <c r="C525" s="2" t="str">
        <f>IFERROR(__xludf.DUMMYFUNCTION("""COMPUTED_VALUE"""),"msrz")</f>
        <v>msrz</v>
      </c>
      <c r="D525" s="2" t="str">
        <f>IFERROR(__xludf.DUMMYFUNCTION("IF(AND(B525=""$cd"",C525&lt;&gt;""..""),CONCATENATE(D524,""/"",C525),IF(C525="".."",MID(D524,1,LEN(D524)-LEN(REGEXEXTRACT(D524,""(/\w*)$""))),D524))"),"//lrvl/zhbpqlnd/zggqfj")</f>
        <v>//lrvl/zhbpqlnd/zggqfj</v>
      </c>
      <c r="K525" s="2"/>
    </row>
    <row r="526">
      <c r="A526" s="1" t="s">
        <v>691</v>
      </c>
      <c r="B526" s="2" t="str">
        <f>IFERROR(__xludf.DUMMYFUNCTION("SPLIT(A526,"" "")"),"$cd")</f>
        <v>$cd</v>
      </c>
      <c r="C526" s="2" t="str">
        <f>IFERROR(__xludf.DUMMYFUNCTION("""COMPUTED_VALUE"""),"gpnfpv")</f>
        <v>gpnfpv</v>
      </c>
      <c r="D526" s="2" t="str">
        <f>IFERROR(__xludf.DUMMYFUNCTION("IF(AND(B526=""$cd"",C526&lt;&gt;""..""),CONCATENATE(D525,""/"",C526),IF(C526="".."",MID(D525,1,LEN(D525)-LEN(REGEXEXTRACT(D525,""(/\w*)$""))),D525))"),"//lrvl/zhbpqlnd/zggqfj/gpnfpv")</f>
        <v>//lrvl/zhbpqlnd/zggqfj/gpnfpv</v>
      </c>
      <c r="K526" s="2"/>
    </row>
    <row r="527">
      <c r="A527" s="1" t="s">
        <v>609</v>
      </c>
      <c r="B527" s="2" t="str">
        <f>IFERROR(__xludf.DUMMYFUNCTION("SPLIT(A527,"" "")"),"$ls")</f>
        <v>$ls</v>
      </c>
      <c r="D527" s="2" t="str">
        <f>IFERROR(__xludf.DUMMYFUNCTION("IF(AND(B527=""$cd"",C527&lt;&gt;""..""),CONCATENATE(D526,""/"",C527),IF(C527="".."",MID(D526,1,LEN(D526)-LEN(REGEXEXTRACT(D526,""(/\w*)$""))),D526))"),"//lrvl/zhbpqlnd/zggqfj/gpnfpv")</f>
        <v>//lrvl/zhbpqlnd/zggqfj/gpnfpv</v>
      </c>
      <c r="K527" s="2"/>
    </row>
    <row r="528">
      <c r="A528" s="1" t="s">
        <v>50</v>
      </c>
      <c r="B528" s="2" t="str">
        <f>IFERROR(__xludf.DUMMYFUNCTION("SPLIT(A528,"" "")"),"dir")</f>
        <v>dir</v>
      </c>
      <c r="C528" s="2" t="str">
        <f>IFERROR(__xludf.DUMMYFUNCTION("""COMPUTED_VALUE"""),"hlvpfw")</f>
        <v>hlvpfw</v>
      </c>
      <c r="D528" s="2" t="str">
        <f>IFERROR(__xludf.DUMMYFUNCTION("IF(AND(B528=""$cd"",C528&lt;&gt;""..""),CONCATENATE(D527,""/"",C528),IF(C528="".."",MID(D527,1,LEN(D527)-LEN(REGEXEXTRACT(D527,""(/\w*)$""))),D527))"),"//lrvl/zhbpqlnd/zggqfj/gpnfpv")</f>
        <v>//lrvl/zhbpqlnd/zggqfj/gpnfpv</v>
      </c>
      <c r="K528" s="2"/>
    </row>
    <row r="529">
      <c r="A529" s="1" t="s">
        <v>622</v>
      </c>
      <c r="B529" s="2" t="str">
        <f>IFERROR(__xludf.DUMMYFUNCTION("SPLIT(A529,"" "")"),"$cd")</f>
        <v>$cd</v>
      </c>
      <c r="C529" s="2" t="str">
        <f>IFERROR(__xludf.DUMMYFUNCTION("""COMPUTED_VALUE"""),"hlvpfw")</f>
        <v>hlvpfw</v>
      </c>
      <c r="D529" s="2" t="str">
        <f>IFERROR(__xludf.DUMMYFUNCTION("IF(AND(B529=""$cd"",C529&lt;&gt;""..""),CONCATENATE(D528,""/"",C529),IF(C529="".."",MID(D528,1,LEN(D528)-LEN(REGEXEXTRACT(D528,""(/\w*)$""))),D528))"),"//lrvl/zhbpqlnd/zggqfj/gpnfpv/hlvpfw")</f>
        <v>//lrvl/zhbpqlnd/zggqfj/gpnfpv/hlvpfw</v>
      </c>
      <c r="K529" s="2"/>
    </row>
    <row r="530">
      <c r="A530" s="1" t="s">
        <v>609</v>
      </c>
      <c r="B530" s="2" t="str">
        <f>IFERROR(__xludf.DUMMYFUNCTION("SPLIT(A530,"" "")"),"$ls")</f>
        <v>$ls</v>
      </c>
      <c r="D530" s="2" t="str">
        <f>IFERROR(__xludf.DUMMYFUNCTION("IF(AND(B530=""$cd"",C530&lt;&gt;""..""),CONCATENATE(D529,""/"",C530),IF(C530="".."",MID(D529,1,LEN(D529)-LEN(REGEXEXTRACT(D529,""(/\w*)$""))),D529))"),"//lrvl/zhbpqlnd/zggqfj/gpnfpv/hlvpfw")</f>
        <v>//lrvl/zhbpqlnd/zggqfj/gpnfpv/hlvpfw</v>
      </c>
      <c r="K530" s="2"/>
    </row>
    <row r="531">
      <c r="A531" s="1" t="s">
        <v>317</v>
      </c>
      <c r="B531" s="2">
        <f>IFERROR(__xludf.DUMMYFUNCTION("SPLIT(A531,"" "")"),186814.0)</f>
        <v>186814</v>
      </c>
      <c r="C531" s="2" t="str">
        <f>IFERROR(__xludf.DUMMYFUNCTION("""COMPUTED_VALUE"""),"bgqpn")</f>
        <v>bgqpn</v>
      </c>
      <c r="D531" s="2" t="str">
        <f>IFERROR(__xludf.DUMMYFUNCTION("IF(AND(B531=""$cd"",C531&lt;&gt;""..""),CONCATENATE(D530,""/"",C531),IF(C531="".."",MID(D530,1,LEN(D530)-LEN(REGEXEXTRACT(D530,""(/\w*)$""))),D530))"),"//lrvl/zhbpqlnd/zggqfj/gpnfpv/hlvpfw")</f>
        <v>//lrvl/zhbpqlnd/zggqfj/gpnfpv/hlvpfw</v>
      </c>
      <c r="K531" s="2"/>
    </row>
    <row r="532">
      <c r="A532" s="1" t="s">
        <v>318</v>
      </c>
      <c r="B532" s="2">
        <f>IFERROR(__xludf.DUMMYFUNCTION("SPLIT(A532,"" "")"),41444.0)</f>
        <v>41444</v>
      </c>
      <c r="C532" s="2" t="str">
        <f>IFERROR(__xludf.DUMMYFUNCTION("""COMPUTED_VALUE"""),"mzsfcvgv.qpp")</f>
        <v>mzsfcvgv.qpp</v>
      </c>
      <c r="D532" s="2" t="str">
        <f>IFERROR(__xludf.DUMMYFUNCTION("IF(AND(B532=""$cd"",C532&lt;&gt;""..""),CONCATENATE(D531,""/"",C532),IF(C532="".."",MID(D531,1,LEN(D531)-LEN(REGEXEXTRACT(D531,""(/\w*)$""))),D531))"),"//lrvl/zhbpqlnd/zggqfj/gpnfpv/hlvpfw")</f>
        <v>//lrvl/zhbpqlnd/zggqfj/gpnfpv/hlvpfw</v>
      </c>
      <c r="K532" s="2"/>
    </row>
    <row r="533">
      <c r="A533" s="1" t="s">
        <v>319</v>
      </c>
      <c r="B533" s="2">
        <f>IFERROR(__xludf.DUMMYFUNCTION("SPLIT(A533,"" "")"),292879.0)</f>
        <v>292879</v>
      </c>
      <c r="C533" s="2" t="str">
        <f>IFERROR(__xludf.DUMMYFUNCTION("""COMPUTED_VALUE"""),"zcgrgff")</f>
        <v>zcgrgff</v>
      </c>
      <c r="D533" s="2" t="str">
        <f>IFERROR(__xludf.DUMMYFUNCTION("IF(AND(B533=""$cd"",C533&lt;&gt;""..""),CONCATENATE(D532,""/"",C533),IF(C533="".."",MID(D532,1,LEN(D532)-LEN(REGEXEXTRACT(D532,""(/\w*)$""))),D532))"),"//lrvl/zhbpqlnd/zggqfj/gpnfpv/hlvpfw")</f>
        <v>//lrvl/zhbpqlnd/zggqfj/gpnfpv/hlvpfw</v>
      </c>
      <c r="K533" s="2"/>
    </row>
    <row r="534">
      <c r="A534" s="1" t="s">
        <v>612</v>
      </c>
      <c r="B534" s="2" t="str">
        <f>IFERROR(__xludf.DUMMYFUNCTION("SPLIT(A534,"" "")"),"$cd")</f>
        <v>$cd</v>
      </c>
      <c r="C534" s="2" t="str">
        <f>IFERROR(__xludf.DUMMYFUNCTION("""COMPUTED_VALUE"""),"..")</f>
        <v>..</v>
      </c>
      <c r="D534" s="2" t="str">
        <f>IFERROR(__xludf.DUMMYFUNCTION("IF(AND(B534=""$cd"",C534&lt;&gt;""..""),CONCATENATE(D533,""/"",C534),IF(C534="".."",MID(D533,1,LEN(D533)-LEN(REGEXEXTRACT(D533,""(/\w*)$""))),D533))"),"//lrvl/zhbpqlnd/zggqfj/gpnfpv")</f>
        <v>//lrvl/zhbpqlnd/zggqfj/gpnfpv</v>
      </c>
      <c r="K534" s="2"/>
    </row>
    <row r="535">
      <c r="A535" s="1" t="s">
        <v>612</v>
      </c>
      <c r="B535" s="2" t="str">
        <f>IFERROR(__xludf.DUMMYFUNCTION("SPLIT(A535,"" "")"),"$cd")</f>
        <v>$cd</v>
      </c>
      <c r="C535" s="2" t="str">
        <f>IFERROR(__xludf.DUMMYFUNCTION("""COMPUTED_VALUE"""),"..")</f>
        <v>..</v>
      </c>
      <c r="D535" s="2" t="str">
        <f>IFERROR(__xludf.DUMMYFUNCTION("IF(AND(B535=""$cd"",C535&lt;&gt;""..""),CONCATENATE(D534,""/"",C535),IF(C535="".."",MID(D534,1,LEN(D534)-LEN(REGEXEXTRACT(D534,""(/\w*)$""))),D534))"),"//lrvl/zhbpqlnd/zggqfj")</f>
        <v>//lrvl/zhbpqlnd/zggqfj</v>
      </c>
      <c r="K535" s="2"/>
    </row>
    <row r="536">
      <c r="A536" s="1" t="s">
        <v>692</v>
      </c>
      <c r="B536" s="2" t="str">
        <f>IFERROR(__xludf.DUMMYFUNCTION("SPLIT(A536,"" "")"),"$cd")</f>
        <v>$cd</v>
      </c>
      <c r="C536" s="2" t="str">
        <f>IFERROR(__xludf.DUMMYFUNCTION("""COMPUTED_VALUE"""),"gzfsnbv")</f>
        <v>gzfsnbv</v>
      </c>
      <c r="D536" s="2" t="str">
        <f>IFERROR(__xludf.DUMMYFUNCTION("IF(AND(B536=""$cd"",C536&lt;&gt;""..""),CONCATENATE(D535,""/"",C536),IF(C536="".."",MID(D535,1,LEN(D535)-LEN(REGEXEXTRACT(D535,""(/\w*)$""))),D535))"),"//lrvl/zhbpqlnd/zggqfj/gzfsnbv")</f>
        <v>//lrvl/zhbpqlnd/zggqfj/gzfsnbv</v>
      </c>
      <c r="K536" s="2"/>
    </row>
    <row r="537">
      <c r="A537" s="1" t="s">
        <v>609</v>
      </c>
      <c r="B537" s="2" t="str">
        <f>IFERROR(__xludf.DUMMYFUNCTION("SPLIT(A537,"" "")"),"$ls")</f>
        <v>$ls</v>
      </c>
      <c r="D537" s="2" t="str">
        <f>IFERROR(__xludf.DUMMYFUNCTION("IF(AND(B537=""$cd"",C537&lt;&gt;""..""),CONCATENATE(D536,""/"",C537),IF(C537="".."",MID(D536,1,LEN(D536)-LEN(REGEXEXTRACT(D536,""(/\w*)$""))),D536))"),"//lrvl/zhbpqlnd/zggqfj/gzfsnbv")</f>
        <v>//lrvl/zhbpqlnd/zggqfj/gzfsnbv</v>
      </c>
      <c r="K537" s="2"/>
    </row>
    <row r="538">
      <c r="A538" s="1" t="s">
        <v>321</v>
      </c>
      <c r="B538" s="2">
        <f>IFERROR(__xludf.DUMMYFUNCTION("SPLIT(A538,"" "")"),321796.0)</f>
        <v>321796</v>
      </c>
      <c r="C538" s="2" t="str">
        <f>IFERROR(__xludf.DUMMYFUNCTION("""COMPUTED_VALUE"""),"jnwr.ghb")</f>
        <v>jnwr.ghb</v>
      </c>
      <c r="D538" s="2" t="str">
        <f>IFERROR(__xludf.DUMMYFUNCTION("IF(AND(B538=""$cd"",C538&lt;&gt;""..""),CONCATENATE(D537,""/"",C538),IF(C538="".."",MID(D537,1,LEN(D537)-LEN(REGEXEXTRACT(D537,""(/\w*)$""))),D537))"),"//lrvl/zhbpqlnd/zggqfj/gzfsnbv")</f>
        <v>//lrvl/zhbpqlnd/zggqfj/gzfsnbv</v>
      </c>
      <c r="K538" s="2"/>
    </row>
    <row r="539">
      <c r="A539" s="1" t="s">
        <v>322</v>
      </c>
      <c r="B539" s="2" t="str">
        <f>IFERROR(__xludf.DUMMYFUNCTION("SPLIT(A539,"" "")"),"dir")</f>
        <v>dir</v>
      </c>
      <c r="C539" s="2" t="str">
        <f>IFERROR(__xludf.DUMMYFUNCTION("""COMPUTED_VALUE"""),"sdgwjtf")</f>
        <v>sdgwjtf</v>
      </c>
      <c r="D539" s="2" t="str">
        <f>IFERROR(__xludf.DUMMYFUNCTION("IF(AND(B539=""$cd"",C539&lt;&gt;""..""),CONCATENATE(D538,""/"",C539),IF(C539="".."",MID(D538,1,LEN(D538)-LEN(REGEXEXTRACT(D538,""(/\w*)$""))),D538))"),"//lrvl/zhbpqlnd/zggqfj/gzfsnbv")</f>
        <v>//lrvl/zhbpqlnd/zggqfj/gzfsnbv</v>
      </c>
      <c r="K539" s="2"/>
    </row>
    <row r="540">
      <c r="A540" s="1" t="s">
        <v>693</v>
      </c>
      <c r="B540" s="2" t="str">
        <f>IFERROR(__xludf.DUMMYFUNCTION("SPLIT(A540,"" "")"),"$cd")</f>
        <v>$cd</v>
      </c>
      <c r="C540" s="2" t="str">
        <f>IFERROR(__xludf.DUMMYFUNCTION("""COMPUTED_VALUE"""),"sdgwjtf")</f>
        <v>sdgwjtf</v>
      </c>
      <c r="D540" s="2" t="str">
        <f>IFERROR(__xludf.DUMMYFUNCTION("IF(AND(B540=""$cd"",C540&lt;&gt;""..""),CONCATENATE(D539,""/"",C540),IF(C540="".."",MID(D539,1,LEN(D539)-LEN(REGEXEXTRACT(D539,""(/\w*)$""))),D539))"),"//lrvl/zhbpqlnd/zggqfj/gzfsnbv/sdgwjtf")</f>
        <v>//lrvl/zhbpqlnd/zggqfj/gzfsnbv/sdgwjtf</v>
      </c>
      <c r="K540" s="2"/>
    </row>
    <row r="541">
      <c r="A541" s="1" t="s">
        <v>609</v>
      </c>
      <c r="B541" s="2" t="str">
        <f>IFERROR(__xludf.DUMMYFUNCTION("SPLIT(A541,"" "")"),"$ls")</f>
        <v>$ls</v>
      </c>
      <c r="D541" s="2" t="str">
        <f>IFERROR(__xludf.DUMMYFUNCTION("IF(AND(B541=""$cd"",C541&lt;&gt;""..""),CONCATENATE(D540,""/"",C541),IF(C541="".."",MID(D540,1,LEN(D540)-LEN(REGEXEXTRACT(D540,""(/\w*)$""))),D540))"),"//lrvl/zhbpqlnd/zggqfj/gzfsnbv/sdgwjtf")</f>
        <v>//lrvl/zhbpqlnd/zggqfj/gzfsnbv/sdgwjtf</v>
      </c>
      <c r="K541" s="2"/>
    </row>
    <row r="542">
      <c r="A542" s="1" t="s">
        <v>324</v>
      </c>
      <c r="B542" s="2">
        <f>IFERROR(__xludf.DUMMYFUNCTION("SPLIT(A542,"" "")"),127216.0)</f>
        <v>127216</v>
      </c>
      <c r="C542" s="2" t="str">
        <f>IFERROR(__xludf.DUMMYFUNCTION("""COMPUTED_VALUE"""),"mzsfcvgv.qlv")</f>
        <v>mzsfcvgv.qlv</v>
      </c>
      <c r="D542" s="2" t="str">
        <f>IFERROR(__xludf.DUMMYFUNCTION("IF(AND(B542=""$cd"",C542&lt;&gt;""..""),CONCATENATE(D541,""/"",C542),IF(C542="".."",MID(D541,1,LEN(D541)-LEN(REGEXEXTRACT(D541,""(/\w*)$""))),D541))"),"//lrvl/zhbpqlnd/zggqfj/gzfsnbv/sdgwjtf")</f>
        <v>//lrvl/zhbpqlnd/zggqfj/gzfsnbv/sdgwjtf</v>
      </c>
      <c r="K542" s="2"/>
    </row>
    <row r="543">
      <c r="A543" s="1" t="s">
        <v>612</v>
      </c>
      <c r="B543" s="2" t="str">
        <f>IFERROR(__xludf.DUMMYFUNCTION("SPLIT(A543,"" "")"),"$cd")</f>
        <v>$cd</v>
      </c>
      <c r="C543" s="2" t="str">
        <f>IFERROR(__xludf.DUMMYFUNCTION("""COMPUTED_VALUE"""),"..")</f>
        <v>..</v>
      </c>
      <c r="D543" s="2" t="str">
        <f>IFERROR(__xludf.DUMMYFUNCTION("IF(AND(B543=""$cd"",C543&lt;&gt;""..""),CONCATENATE(D542,""/"",C543),IF(C543="".."",MID(D542,1,LEN(D542)-LEN(REGEXEXTRACT(D542,""(/\w*)$""))),D542))"),"//lrvl/zhbpqlnd/zggqfj/gzfsnbv")</f>
        <v>//lrvl/zhbpqlnd/zggqfj/gzfsnbv</v>
      </c>
      <c r="K543" s="2"/>
    </row>
    <row r="544">
      <c r="A544" s="1" t="s">
        <v>612</v>
      </c>
      <c r="B544" s="2" t="str">
        <f>IFERROR(__xludf.DUMMYFUNCTION("SPLIT(A544,"" "")"),"$cd")</f>
        <v>$cd</v>
      </c>
      <c r="C544" s="2" t="str">
        <f>IFERROR(__xludf.DUMMYFUNCTION("""COMPUTED_VALUE"""),"..")</f>
        <v>..</v>
      </c>
      <c r="D544" s="2" t="str">
        <f>IFERROR(__xludf.DUMMYFUNCTION("IF(AND(B544=""$cd"",C544&lt;&gt;""..""),CONCATENATE(D543,""/"",C544),IF(C544="".."",MID(D543,1,LEN(D543)-LEN(REGEXEXTRACT(D543,""(/\w*)$""))),D543))"),"//lrvl/zhbpqlnd/zggqfj")</f>
        <v>//lrvl/zhbpqlnd/zggqfj</v>
      </c>
      <c r="K544" s="2"/>
    </row>
    <row r="545">
      <c r="A545" s="1" t="s">
        <v>694</v>
      </c>
      <c r="B545" s="2" t="str">
        <f>IFERROR(__xludf.DUMMYFUNCTION("SPLIT(A545,"" "")"),"$cd")</f>
        <v>$cd</v>
      </c>
      <c r="C545" s="2" t="str">
        <f>IFERROR(__xludf.DUMMYFUNCTION("""COMPUTED_VALUE"""),"msrz")</f>
        <v>msrz</v>
      </c>
      <c r="D545" s="2" t="str">
        <f>IFERROR(__xludf.DUMMYFUNCTION("IF(AND(B545=""$cd"",C545&lt;&gt;""..""),CONCATENATE(D544,""/"",C545),IF(C545="".."",MID(D544,1,LEN(D544)-LEN(REGEXEXTRACT(D544,""(/\w*)$""))),D544))"),"//lrvl/zhbpqlnd/zggqfj/msrz")</f>
        <v>//lrvl/zhbpqlnd/zggqfj/msrz</v>
      </c>
      <c r="K545" s="2"/>
    </row>
    <row r="546">
      <c r="A546" s="1" t="s">
        <v>609</v>
      </c>
      <c r="B546" s="2" t="str">
        <f>IFERROR(__xludf.DUMMYFUNCTION("SPLIT(A546,"" "")"),"$ls")</f>
        <v>$ls</v>
      </c>
      <c r="D546" s="2" t="str">
        <f>IFERROR(__xludf.DUMMYFUNCTION("IF(AND(B546=""$cd"",C546&lt;&gt;""..""),CONCATENATE(D545,""/"",C546),IF(C546="".."",MID(D545,1,LEN(D545)-LEN(REGEXEXTRACT(D545,""(/\w*)$""))),D545))"),"//lrvl/zhbpqlnd/zggqfj/msrz")</f>
        <v>//lrvl/zhbpqlnd/zggqfj/msrz</v>
      </c>
      <c r="K546" s="2"/>
    </row>
    <row r="547">
      <c r="A547" s="1" t="s">
        <v>326</v>
      </c>
      <c r="B547" s="2" t="str">
        <f>IFERROR(__xludf.DUMMYFUNCTION("SPLIT(A547,"" "")"),"dir")</f>
        <v>dir</v>
      </c>
      <c r="C547" s="2" t="str">
        <f>IFERROR(__xludf.DUMMYFUNCTION("""COMPUTED_VALUE"""),"fzl")</f>
        <v>fzl</v>
      </c>
      <c r="D547" s="2" t="str">
        <f>IFERROR(__xludf.DUMMYFUNCTION("IF(AND(B547=""$cd"",C547&lt;&gt;""..""),CONCATENATE(D546,""/"",C547),IF(C547="".."",MID(D546,1,LEN(D546)-LEN(REGEXEXTRACT(D546,""(/\w*)$""))),D546))"),"//lrvl/zhbpqlnd/zggqfj/msrz")</f>
        <v>//lrvl/zhbpqlnd/zggqfj/msrz</v>
      </c>
      <c r="K547" s="2"/>
    </row>
    <row r="548">
      <c r="A548" s="1" t="s">
        <v>327</v>
      </c>
      <c r="B548" s="2">
        <f>IFERROR(__xludf.DUMMYFUNCTION("SPLIT(A548,"" "")"),32371.0)</f>
        <v>32371</v>
      </c>
      <c r="C548" s="2" t="str">
        <f>IFERROR(__xludf.DUMMYFUNCTION("""COMPUTED_VALUE"""),"jqtgpzw.thg")</f>
        <v>jqtgpzw.thg</v>
      </c>
      <c r="D548" s="2" t="str">
        <f>IFERROR(__xludf.DUMMYFUNCTION("IF(AND(B548=""$cd"",C548&lt;&gt;""..""),CONCATENATE(D547,""/"",C548),IF(C548="".."",MID(D547,1,LEN(D547)-LEN(REGEXEXTRACT(D547,""(/\w*)$""))),D547))"),"//lrvl/zhbpqlnd/zggqfj/msrz")</f>
        <v>//lrvl/zhbpqlnd/zggqfj/msrz</v>
      </c>
      <c r="K548" s="2"/>
    </row>
    <row r="549">
      <c r="A549" s="1" t="s">
        <v>328</v>
      </c>
      <c r="B549" s="2">
        <f>IFERROR(__xludf.DUMMYFUNCTION("SPLIT(A549,"" "")"),271389.0)</f>
        <v>271389</v>
      </c>
      <c r="C549" s="2" t="str">
        <f>IFERROR(__xludf.DUMMYFUNCTION("""COMPUTED_VALUE"""),"slfdb.bqt")</f>
        <v>slfdb.bqt</v>
      </c>
      <c r="D549" s="2" t="str">
        <f>IFERROR(__xludf.DUMMYFUNCTION("IF(AND(B549=""$cd"",C549&lt;&gt;""..""),CONCATENATE(D548,""/"",C549),IF(C549="".."",MID(D548,1,LEN(D548)-LEN(REGEXEXTRACT(D548,""(/\w*)$""))),D548))"),"//lrvl/zhbpqlnd/zggqfj/msrz")</f>
        <v>//lrvl/zhbpqlnd/zggqfj/msrz</v>
      </c>
      <c r="K549" s="2"/>
    </row>
    <row r="550">
      <c r="A550" s="1" t="s">
        <v>329</v>
      </c>
      <c r="B550" s="2">
        <f>IFERROR(__xludf.DUMMYFUNCTION("SPLIT(A550,"" "")"),270845.0)</f>
        <v>270845</v>
      </c>
      <c r="C550" s="2" t="str">
        <f>IFERROR(__xludf.DUMMYFUNCTION("""COMPUTED_VALUE"""),"tchtnp.rsw")</f>
        <v>tchtnp.rsw</v>
      </c>
      <c r="D550" s="2" t="str">
        <f>IFERROR(__xludf.DUMMYFUNCTION("IF(AND(B550=""$cd"",C550&lt;&gt;""..""),CONCATENATE(D549,""/"",C550),IF(C550="".."",MID(D549,1,LEN(D549)-LEN(REGEXEXTRACT(D549,""(/\w*)$""))),D549))"),"//lrvl/zhbpqlnd/zggqfj/msrz")</f>
        <v>//lrvl/zhbpqlnd/zggqfj/msrz</v>
      </c>
      <c r="K550" s="2"/>
    </row>
    <row r="551">
      <c r="A551" s="1" t="s">
        <v>330</v>
      </c>
      <c r="B551" s="2">
        <f>IFERROR(__xludf.DUMMYFUNCTION("SPLIT(A551,"" "")"),146371.0)</f>
        <v>146371</v>
      </c>
      <c r="C551" s="2" t="str">
        <f>IFERROR(__xludf.DUMMYFUNCTION("""COMPUTED_VALUE"""),"zmwbmj")</f>
        <v>zmwbmj</v>
      </c>
      <c r="D551" s="2" t="str">
        <f>IFERROR(__xludf.DUMMYFUNCTION("IF(AND(B551=""$cd"",C551&lt;&gt;""..""),CONCATENATE(D550,""/"",C551),IF(C551="".."",MID(D550,1,LEN(D550)-LEN(REGEXEXTRACT(D550,""(/\w*)$""))),D550))"),"//lrvl/zhbpqlnd/zggqfj/msrz")</f>
        <v>//lrvl/zhbpqlnd/zggqfj/msrz</v>
      </c>
      <c r="K551" s="2"/>
    </row>
    <row r="552">
      <c r="A552" s="1" t="s">
        <v>695</v>
      </c>
      <c r="B552" s="2" t="str">
        <f>IFERROR(__xludf.DUMMYFUNCTION("SPLIT(A552,"" "")"),"$cd")</f>
        <v>$cd</v>
      </c>
      <c r="C552" s="2" t="str">
        <f>IFERROR(__xludf.DUMMYFUNCTION("""COMPUTED_VALUE"""),"fzl")</f>
        <v>fzl</v>
      </c>
      <c r="D552" s="2" t="str">
        <f>IFERROR(__xludf.DUMMYFUNCTION("IF(AND(B552=""$cd"",C552&lt;&gt;""..""),CONCATENATE(D551,""/"",C552),IF(C552="".."",MID(D551,1,LEN(D551)-LEN(REGEXEXTRACT(D551,""(/\w*)$""))),D551))"),"//lrvl/zhbpqlnd/zggqfj/msrz/fzl")</f>
        <v>//lrvl/zhbpqlnd/zggqfj/msrz/fzl</v>
      </c>
      <c r="K552" s="2"/>
    </row>
    <row r="553">
      <c r="A553" s="1" t="s">
        <v>609</v>
      </c>
      <c r="B553" s="2" t="str">
        <f>IFERROR(__xludf.DUMMYFUNCTION("SPLIT(A553,"" "")"),"$ls")</f>
        <v>$ls</v>
      </c>
      <c r="D553" s="2" t="str">
        <f>IFERROR(__xludf.DUMMYFUNCTION("IF(AND(B553=""$cd"",C553&lt;&gt;""..""),CONCATENATE(D552,""/"",C553),IF(C553="".."",MID(D552,1,LEN(D552)-LEN(REGEXEXTRACT(D552,""(/\w*)$""))),D552))"),"//lrvl/zhbpqlnd/zggqfj/msrz/fzl")</f>
        <v>//lrvl/zhbpqlnd/zggqfj/msrz/fzl</v>
      </c>
      <c r="K553" s="2"/>
    </row>
    <row r="554">
      <c r="A554" s="1" t="s">
        <v>332</v>
      </c>
      <c r="B554" s="2">
        <f>IFERROR(__xludf.DUMMYFUNCTION("SPLIT(A554,"" "")"),140610.0)</f>
        <v>140610</v>
      </c>
      <c r="C554" s="2" t="str">
        <f>IFERROR(__xludf.DUMMYFUNCTION("""COMPUTED_VALUE"""),"ssssrhwz")</f>
        <v>ssssrhwz</v>
      </c>
      <c r="D554" s="2" t="str">
        <f>IFERROR(__xludf.DUMMYFUNCTION("IF(AND(B554=""$cd"",C554&lt;&gt;""..""),CONCATENATE(D553,""/"",C554),IF(C554="".."",MID(D553,1,LEN(D553)-LEN(REGEXEXTRACT(D553,""(/\w*)$""))),D553))"),"//lrvl/zhbpqlnd/zggqfj/msrz/fzl")</f>
        <v>//lrvl/zhbpqlnd/zggqfj/msrz/fzl</v>
      </c>
      <c r="K554" s="2"/>
    </row>
    <row r="555">
      <c r="A555" s="1" t="s">
        <v>612</v>
      </c>
      <c r="B555" s="2" t="str">
        <f>IFERROR(__xludf.DUMMYFUNCTION("SPLIT(A555,"" "")"),"$cd")</f>
        <v>$cd</v>
      </c>
      <c r="C555" s="2" t="str">
        <f>IFERROR(__xludf.DUMMYFUNCTION("""COMPUTED_VALUE"""),"..")</f>
        <v>..</v>
      </c>
      <c r="D555" s="2" t="str">
        <f>IFERROR(__xludf.DUMMYFUNCTION("IF(AND(B555=""$cd"",C555&lt;&gt;""..""),CONCATENATE(D554,""/"",C555),IF(C555="".."",MID(D554,1,LEN(D554)-LEN(REGEXEXTRACT(D554,""(/\w*)$""))),D554))"),"//lrvl/zhbpqlnd/zggqfj/msrz")</f>
        <v>//lrvl/zhbpqlnd/zggqfj/msrz</v>
      </c>
      <c r="K555" s="2"/>
    </row>
    <row r="556">
      <c r="A556" s="1" t="s">
        <v>612</v>
      </c>
      <c r="B556" s="2" t="str">
        <f>IFERROR(__xludf.DUMMYFUNCTION("SPLIT(A556,"" "")"),"$cd")</f>
        <v>$cd</v>
      </c>
      <c r="C556" s="2" t="str">
        <f>IFERROR(__xludf.DUMMYFUNCTION("""COMPUTED_VALUE"""),"..")</f>
        <v>..</v>
      </c>
      <c r="D556" s="2" t="str">
        <f>IFERROR(__xludf.DUMMYFUNCTION("IF(AND(B556=""$cd"",C556&lt;&gt;""..""),CONCATENATE(D555,""/"",C556),IF(C556="".."",MID(D555,1,LEN(D555)-LEN(REGEXEXTRACT(D555,""(/\w*)$""))),D555))"),"//lrvl/zhbpqlnd/zggqfj")</f>
        <v>//lrvl/zhbpqlnd/zggqfj</v>
      </c>
      <c r="K556" s="2"/>
    </row>
    <row r="557">
      <c r="A557" s="1" t="s">
        <v>612</v>
      </c>
      <c r="B557" s="2" t="str">
        <f>IFERROR(__xludf.DUMMYFUNCTION("SPLIT(A557,"" "")"),"$cd")</f>
        <v>$cd</v>
      </c>
      <c r="C557" s="2" t="str">
        <f>IFERROR(__xludf.DUMMYFUNCTION("""COMPUTED_VALUE"""),"..")</f>
        <v>..</v>
      </c>
      <c r="D557" s="2" t="str">
        <f>IFERROR(__xludf.DUMMYFUNCTION("IF(AND(B557=""$cd"",C557&lt;&gt;""..""),CONCATENATE(D556,""/"",C557),IF(C557="".."",MID(D556,1,LEN(D556)-LEN(REGEXEXTRACT(D556,""(/\w*)$""))),D556))"),"//lrvl/zhbpqlnd")</f>
        <v>//lrvl/zhbpqlnd</v>
      </c>
      <c r="K557" s="2"/>
    </row>
    <row r="558">
      <c r="A558" s="1" t="s">
        <v>612</v>
      </c>
      <c r="B558" s="2" t="str">
        <f>IFERROR(__xludf.DUMMYFUNCTION("SPLIT(A558,"" "")"),"$cd")</f>
        <v>$cd</v>
      </c>
      <c r="C558" s="2" t="str">
        <f>IFERROR(__xludf.DUMMYFUNCTION("""COMPUTED_VALUE"""),"..")</f>
        <v>..</v>
      </c>
      <c r="D558" s="2" t="str">
        <f>IFERROR(__xludf.DUMMYFUNCTION("IF(AND(B558=""$cd"",C558&lt;&gt;""..""),CONCATENATE(D557,""/"",C558),IF(C558="".."",MID(D557,1,LEN(D557)-LEN(REGEXEXTRACT(D557,""(/\w*)$""))),D557))"),"//lrvl")</f>
        <v>//lrvl</v>
      </c>
      <c r="K558" s="2"/>
    </row>
    <row r="559">
      <c r="A559" s="1" t="s">
        <v>612</v>
      </c>
      <c r="B559" s="2" t="str">
        <f>IFERROR(__xludf.DUMMYFUNCTION("SPLIT(A559,"" "")"),"$cd")</f>
        <v>$cd</v>
      </c>
      <c r="C559" s="2" t="str">
        <f>IFERROR(__xludf.DUMMYFUNCTION("""COMPUTED_VALUE"""),"..")</f>
        <v>..</v>
      </c>
      <c r="D559" s="2" t="str">
        <f>IFERROR(__xludf.DUMMYFUNCTION("IF(AND(B559=""$cd"",C559&lt;&gt;""..""),CONCATENATE(D558,""/"",C559),IF(C559="".."",MID(D558,1,LEN(D558)-LEN(REGEXEXTRACT(D558,""(/\w*)$""))),D558))"),"/")</f>
        <v>/</v>
      </c>
      <c r="K559" s="2"/>
    </row>
    <row r="560">
      <c r="A560" s="1" t="s">
        <v>696</v>
      </c>
      <c r="B560" s="2" t="str">
        <f>IFERROR(__xludf.DUMMYFUNCTION("SPLIT(A560,"" "")"),"$cd")</f>
        <v>$cd</v>
      </c>
      <c r="C560" s="2" t="str">
        <f>IFERROR(__xludf.DUMMYFUNCTION("""COMPUTED_VALUE"""),"nzgprvw")</f>
        <v>nzgprvw</v>
      </c>
      <c r="D560" s="2" t="str">
        <f>IFERROR(__xludf.DUMMYFUNCTION("IF(AND(B560=""$cd"",C560&lt;&gt;""..""),CONCATENATE(D559,""/"",C560),IF(C560="".."",MID(D559,1,LEN(D559)-LEN(REGEXEXTRACT(D559,""(/\w*)$""))),D559))"),"//nzgprvw")</f>
        <v>//nzgprvw</v>
      </c>
      <c r="K560" s="2"/>
    </row>
    <row r="561">
      <c r="A561" s="1" t="s">
        <v>609</v>
      </c>
      <c r="B561" s="2" t="str">
        <f>IFERROR(__xludf.DUMMYFUNCTION("SPLIT(A561,"" "")"),"$ls")</f>
        <v>$ls</v>
      </c>
      <c r="D561" s="2" t="str">
        <f>IFERROR(__xludf.DUMMYFUNCTION("IF(AND(B561=""$cd"",C561&lt;&gt;""..""),CONCATENATE(D560,""/"",C561),IF(C561="".."",MID(D560,1,LEN(D560)-LEN(REGEXEXTRACT(D560,""(/\w*)$""))),D560))"),"//nzgprvw")</f>
        <v>//nzgprvw</v>
      </c>
      <c r="K561" s="2"/>
    </row>
    <row r="562">
      <c r="A562" s="1" t="s">
        <v>334</v>
      </c>
      <c r="B562" s="2" t="str">
        <f>IFERROR(__xludf.DUMMYFUNCTION("SPLIT(A562,"" "")"),"dir")</f>
        <v>dir</v>
      </c>
      <c r="C562" s="2" t="str">
        <f>IFERROR(__xludf.DUMMYFUNCTION("""COMPUTED_VALUE"""),"hgfdbf")</f>
        <v>hgfdbf</v>
      </c>
      <c r="D562" s="2" t="str">
        <f>IFERROR(__xludf.DUMMYFUNCTION("IF(AND(B562=""$cd"",C562&lt;&gt;""..""),CONCATENATE(D561,""/"",C562),IF(C562="".."",MID(D561,1,LEN(D561)-LEN(REGEXEXTRACT(D561,""(/\w*)$""))),D561))"),"//nzgprvw")</f>
        <v>//nzgprvw</v>
      </c>
      <c r="K562" s="2"/>
    </row>
    <row r="563">
      <c r="A563" s="1" t="s">
        <v>335</v>
      </c>
      <c r="B563" s="2">
        <f>IFERROR(__xludf.DUMMYFUNCTION("SPLIT(A563,"" "")"),218138.0)</f>
        <v>218138</v>
      </c>
      <c r="C563" s="2" t="str">
        <f>IFERROR(__xludf.DUMMYFUNCTION("""COMPUTED_VALUE"""),"mpq.cdn")</f>
        <v>mpq.cdn</v>
      </c>
      <c r="D563" s="2" t="str">
        <f>IFERROR(__xludf.DUMMYFUNCTION("IF(AND(B563=""$cd"",C563&lt;&gt;""..""),CONCATENATE(D562,""/"",C563),IF(C563="".."",MID(D562,1,LEN(D562)-LEN(REGEXEXTRACT(D562,""(/\w*)$""))),D562))"),"//nzgprvw")</f>
        <v>//nzgprvw</v>
      </c>
      <c r="K563" s="2"/>
    </row>
    <row r="564">
      <c r="A564" s="1" t="s">
        <v>336</v>
      </c>
      <c r="B564" s="2">
        <f>IFERROR(__xludf.DUMMYFUNCTION("SPLIT(A564,"" "")"),73419.0)</f>
        <v>73419</v>
      </c>
      <c r="C564" s="2" t="str">
        <f>IFERROR(__xludf.DUMMYFUNCTION("""COMPUTED_VALUE"""),"slfdb.bqt")</f>
        <v>slfdb.bqt</v>
      </c>
      <c r="D564" s="2" t="str">
        <f>IFERROR(__xludf.DUMMYFUNCTION("IF(AND(B564=""$cd"",C564&lt;&gt;""..""),CONCATENATE(D563,""/"",C564),IF(C564="".."",MID(D563,1,LEN(D563)-LEN(REGEXEXTRACT(D563,""(/\w*)$""))),D563))"),"//nzgprvw")</f>
        <v>//nzgprvw</v>
      </c>
      <c r="K564" s="2"/>
    </row>
    <row r="565">
      <c r="A565" s="1" t="s">
        <v>337</v>
      </c>
      <c r="B565" s="2" t="str">
        <f>IFERROR(__xludf.DUMMYFUNCTION("SPLIT(A565,"" "")"),"dir")</f>
        <v>dir</v>
      </c>
      <c r="C565" s="2" t="str">
        <f>IFERROR(__xludf.DUMMYFUNCTION("""COMPUTED_VALUE"""),"vfztvnjm")</f>
        <v>vfztvnjm</v>
      </c>
      <c r="D565" s="2" t="str">
        <f>IFERROR(__xludf.DUMMYFUNCTION("IF(AND(B565=""$cd"",C565&lt;&gt;""..""),CONCATENATE(D564,""/"",C565),IF(C565="".."",MID(D564,1,LEN(D564)-LEN(REGEXEXTRACT(D564,""(/\w*)$""))),D564))"),"//nzgprvw")</f>
        <v>//nzgprvw</v>
      </c>
      <c r="K565" s="2"/>
    </row>
    <row r="566">
      <c r="A566" s="1" t="s">
        <v>338</v>
      </c>
      <c r="B566" s="2">
        <f>IFERROR(__xludf.DUMMYFUNCTION("SPLIT(A566,"" "")"),269866.0)</f>
        <v>269866</v>
      </c>
      <c r="C566" s="2" t="str">
        <f>IFERROR(__xludf.DUMMYFUNCTION("""COMPUTED_VALUE"""),"wldptfv.bbb")</f>
        <v>wldptfv.bbb</v>
      </c>
      <c r="D566" s="2" t="str">
        <f>IFERROR(__xludf.DUMMYFUNCTION("IF(AND(B566=""$cd"",C566&lt;&gt;""..""),CONCATENATE(D565,""/"",C566),IF(C566="".."",MID(D565,1,LEN(D565)-LEN(REGEXEXTRACT(D565,""(/\w*)$""))),D565))"),"//nzgprvw")</f>
        <v>//nzgprvw</v>
      </c>
      <c r="K566" s="2"/>
    </row>
    <row r="567">
      <c r="A567" s="1" t="s">
        <v>339</v>
      </c>
      <c r="B567" s="2" t="str">
        <f>IFERROR(__xludf.DUMMYFUNCTION("SPLIT(A567,"" "")"),"dir")</f>
        <v>dir</v>
      </c>
      <c r="C567" s="2" t="str">
        <f>IFERROR(__xludf.DUMMYFUNCTION("""COMPUTED_VALUE"""),"zgdsgh")</f>
        <v>zgdsgh</v>
      </c>
      <c r="D567" s="2" t="str">
        <f>IFERROR(__xludf.DUMMYFUNCTION("IF(AND(B567=""$cd"",C567&lt;&gt;""..""),CONCATENATE(D566,""/"",C567),IF(C567="".."",MID(D566,1,LEN(D566)-LEN(REGEXEXTRACT(D566,""(/\w*)$""))),D566))"),"//nzgprvw")</f>
        <v>//nzgprvw</v>
      </c>
      <c r="K567" s="2"/>
    </row>
    <row r="568">
      <c r="A568" s="1" t="s">
        <v>697</v>
      </c>
      <c r="B568" s="2" t="str">
        <f>IFERROR(__xludf.DUMMYFUNCTION("SPLIT(A568,"" "")"),"$cd")</f>
        <v>$cd</v>
      </c>
      <c r="C568" s="2" t="str">
        <f>IFERROR(__xludf.DUMMYFUNCTION("""COMPUTED_VALUE"""),"hgfdbf")</f>
        <v>hgfdbf</v>
      </c>
      <c r="D568" s="2" t="str">
        <f>IFERROR(__xludf.DUMMYFUNCTION("IF(AND(B568=""$cd"",C568&lt;&gt;""..""),CONCATENATE(D567,""/"",C568),IF(C568="".."",MID(D567,1,LEN(D567)-LEN(REGEXEXTRACT(D567,""(/\w*)$""))),D567))"),"//nzgprvw/hgfdbf")</f>
        <v>//nzgprvw/hgfdbf</v>
      </c>
      <c r="K568" s="2"/>
    </row>
    <row r="569">
      <c r="A569" s="1" t="s">
        <v>609</v>
      </c>
      <c r="B569" s="2" t="str">
        <f>IFERROR(__xludf.DUMMYFUNCTION("SPLIT(A569,"" "")"),"$ls")</f>
        <v>$ls</v>
      </c>
      <c r="D569" s="2" t="str">
        <f>IFERROR(__xludf.DUMMYFUNCTION("IF(AND(B569=""$cd"",C569&lt;&gt;""..""),CONCATENATE(D568,""/"",C569),IF(C569="".."",MID(D568,1,LEN(D568)-LEN(REGEXEXTRACT(D568,""(/\w*)$""))),D568))"),"//nzgprvw/hgfdbf")</f>
        <v>//nzgprvw/hgfdbf</v>
      </c>
      <c r="K569" s="2"/>
    </row>
    <row r="570">
      <c r="A570" s="1" t="s">
        <v>341</v>
      </c>
      <c r="B570" s="2">
        <f>IFERROR(__xludf.DUMMYFUNCTION("SPLIT(A570,"" "")"),163792.0)</f>
        <v>163792</v>
      </c>
      <c r="C570" s="2" t="str">
        <f>IFERROR(__xludf.DUMMYFUNCTION("""COMPUTED_VALUE"""),"ssssrhwz")</f>
        <v>ssssrhwz</v>
      </c>
      <c r="D570" s="2" t="str">
        <f>IFERROR(__xludf.DUMMYFUNCTION("IF(AND(B570=""$cd"",C570&lt;&gt;""..""),CONCATENATE(D569,""/"",C570),IF(C570="".."",MID(D569,1,LEN(D569)-LEN(REGEXEXTRACT(D569,""(/\w*)$""))),D569))"),"//nzgprvw/hgfdbf")</f>
        <v>//nzgprvw/hgfdbf</v>
      </c>
      <c r="K570" s="2"/>
    </row>
    <row r="571">
      <c r="A571" s="1" t="s">
        <v>342</v>
      </c>
      <c r="B571" s="2">
        <f>IFERROR(__xludf.DUMMYFUNCTION("SPLIT(A571,"" "")"),262305.0)</f>
        <v>262305</v>
      </c>
      <c r="C571" s="2" t="str">
        <f>IFERROR(__xludf.DUMMYFUNCTION("""COMPUTED_VALUE"""),"zcgrgff")</f>
        <v>zcgrgff</v>
      </c>
      <c r="D571" s="2" t="str">
        <f>IFERROR(__xludf.DUMMYFUNCTION("IF(AND(B571=""$cd"",C571&lt;&gt;""..""),CONCATENATE(D570,""/"",C571),IF(C571="".."",MID(D570,1,LEN(D570)-LEN(REGEXEXTRACT(D570,""(/\w*)$""))),D570))"),"//nzgprvw/hgfdbf")</f>
        <v>//nzgprvw/hgfdbf</v>
      </c>
      <c r="K571" s="2"/>
    </row>
    <row r="572">
      <c r="A572" s="1" t="s">
        <v>612</v>
      </c>
      <c r="B572" s="2" t="str">
        <f>IFERROR(__xludf.DUMMYFUNCTION("SPLIT(A572,"" "")"),"$cd")</f>
        <v>$cd</v>
      </c>
      <c r="C572" s="2" t="str">
        <f>IFERROR(__xludf.DUMMYFUNCTION("""COMPUTED_VALUE"""),"..")</f>
        <v>..</v>
      </c>
      <c r="D572" s="2" t="str">
        <f>IFERROR(__xludf.DUMMYFUNCTION("IF(AND(B572=""$cd"",C572&lt;&gt;""..""),CONCATENATE(D571,""/"",C572),IF(C572="".."",MID(D571,1,LEN(D571)-LEN(REGEXEXTRACT(D571,""(/\w*)$""))),D571))"),"//nzgprvw")</f>
        <v>//nzgprvw</v>
      </c>
      <c r="K572" s="2"/>
    </row>
    <row r="573">
      <c r="A573" s="1" t="s">
        <v>698</v>
      </c>
      <c r="B573" s="2" t="str">
        <f>IFERROR(__xludf.DUMMYFUNCTION("SPLIT(A573,"" "")"),"$cd")</f>
        <v>$cd</v>
      </c>
      <c r="C573" s="2" t="str">
        <f>IFERROR(__xludf.DUMMYFUNCTION("""COMPUTED_VALUE"""),"vfztvnjm")</f>
        <v>vfztvnjm</v>
      </c>
      <c r="D573" s="2" t="str">
        <f>IFERROR(__xludf.DUMMYFUNCTION("IF(AND(B573=""$cd"",C573&lt;&gt;""..""),CONCATENATE(D572,""/"",C573),IF(C573="".."",MID(D572,1,LEN(D572)-LEN(REGEXEXTRACT(D572,""(/\w*)$""))),D572))"),"//nzgprvw/vfztvnjm")</f>
        <v>//nzgprvw/vfztvnjm</v>
      </c>
      <c r="K573" s="2"/>
    </row>
    <row r="574">
      <c r="A574" s="1" t="s">
        <v>609</v>
      </c>
      <c r="B574" s="2" t="str">
        <f>IFERROR(__xludf.DUMMYFUNCTION("SPLIT(A574,"" "")"),"$ls")</f>
        <v>$ls</v>
      </c>
      <c r="D574" s="2" t="str">
        <f>IFERROR(__xludf.DUMMYFUNCTION("IF(AND(B574=""$cd"",C574&lt;&gt;""..""),CONCATENATE(D573,""/"",C574),IF(C574="".."",MID(D573,1,LEN(D573)-LEN(REGEXEXTRACT(D573,""(/\w*)$""))),D573))"),"//nzgprvw/vfztvnjm")</f>
        <v>//nzgprvw/vfztvnjm</v>
      </c>
      <c r="K574" s="2"/>
    </row>
    <row r="575">
      <c r="A575" s="1" t="s">
        <v>344</v>
      </c>
      <c r="B575" s="2">
        <f>IFERROR(__xludf.DUMMYFUNCTION("SPLIT(A575,"" "")"),139863.0)</f>
        <v>139863</v>
      </c>
      <c r="C575" s="2" t="str">
        <f>IFERROR(__xludf.DUMMYFUNCTION("""COMPUTED_VALUE"""),"hlvpfw")</f>
        <v>hlvpfw</v>
      </c>
      <c r="D575" s="2" t="str">
        <f>IFERROR(__xludf.DUMMYFUNCTION("IF(AND(B575=""$cd"",C575&lt;&gt;""..""),CONCATENATE(D574,""/"",C575),IF(C575="".."",MID(D574,1,LEN(D574)-LEN(REGEXEXTRACT(D574,""(/\w*)$""))),D574))"),"//nzgprvw/vfztvnjm")</f>
        <v>//nzgprvw/vfztvnjm</v>
      </c>
      <c r="K575" s="2"/>
    </row>
    <row r="576">
      <c r="A576" s="1" t="s">
        <v>345</v>
      </c>
      <c r="B576" s="2">
        <f>IFERROR(__xludf.DUMMYFUNCTION("SPLIT(A576,"" "")"),138410.0)</f>
        <v>138410</v>
      </c>
      <c r="C576" s="2" t="str">
        <f>IFERROR(__xludf.DUMMYFUNCTION("""COMPUTED_VALUE"""),"hmqfdht")</f>
        <v>hmqfdht</v>
      </c>
      <c r="D576" s="2" t="str">
        <f>IFERROR(__xludf.DUMMYFUNCTION("IF(AND(B576=""$cd"",C576&lt;&gt;""..""),CONCATENATE(D575,""/"",C576),IF(C576="".."",MID(D575,1,LEN(D575)-LEN(REGEXEXTRACT(D575,""(/\w*)$""))),D575))"),"//nzgprvw/vfztvnjm")</f>
        <v>//nzgprvw/vfztvnjm</v>
      </c>
      <c r="K576" s="2"/>
    </row>
    <row r="577">
      <c r="A577" s="1" t="s">
        <v>612</v>
      </c>
      <c r="B577" s="2" t="str">
        <f>IFERROR(__xludf.DUMMYFUNCTION("SPLIT(A577,"" "")"),"$cd")</f>
        <v>$cd</v>
      </c>
      <c r="C577" s="2" t="str">
        <f>IFERROR(__xludf.DUMMYFUNCTION("""COMPUTED_VALUE"""),"..")</f>
        <v>..</v>
      </c>
      <c r="D577" s="2" t="str">
        <f>IFERROR(__xludf.DUMMYFUNCTION("IF(AND(B577=""$cd"",C577&lt;&gt;""..""),CONCATENATE(D576,""/"",C577),IF(C577="".."",MID(D576,1,LEN(D576)-LEN(REGEXEXTRACT(D576,""(/\w*)$""))),D576))"),"//nzgprvw")</f>
        <v>//nzgprvw</v>
      </c>
      <c r="K577" s="2"/>
    </row>
    <row r="578">
      <c r="A578" s="1" t="s">
        <v>699</v>
      </c>
      <c r="B578" s="2" t="str">
        <f>IFERROR(__xludf.DUMMYFUNCTION("SPLIT(A578,"" "")"),"$cd")</f>
        <v>$cd</v>
      </c>
      <c r="C578" s="2" t="str">
        <f>IFERROR(__xludf.DUMMYFUNCTION("""COMPUTED_VALUE"""),"zgdsgh")</f>
        <v>zgdsgh</v>
      </c>
      <c r="D578" s="2" t="str">
        <f>IFERROR(__xludf.DUMMYFUNCTION("IF(AND(B578=""$cd"",C578&lt;&gt;""..""),CONCATENATE(D577,""/"",C578),IF(C578="".."",MID(D577,1,LEN(D577)-LEN(REGEXEXTRACT(D577,""(/\w*)$""))),D577))"),"//nzgprvw/zgdsgh")</f>
        <v>//nzgprvw/zgdsgh</v>
      </c>
      <c r="K578" s="2"/>
    </row>
    <row r="579">
      <c r="A579" s="1" t="s">
        <v>609</v>
      </c>
      <c r="B579" s="2" t="str">
        <f>IFERROR(__xludf.DUMMYFUNCTION("SPLIT(A579,"" "")"),"$ls")</f>
        <v>$ls</v>
      </c>
      <c r="D579" s="2" t="str">
        <f>IFERROR(__xludf.DUMMYFUNCTION("IF(AND(B579=""$cd"",C579&lt;&gt;""..""),CONCATENATE(D578,""/"",C579),IF(C579="".."",MID(D578,1,LEN(D578)-LEN(REGEXEXTRACT(D578,""(/\w*)$""))),D578))"),"//nzgprvw/zgdsgh")</f>
        <v>//nzgprvw/zgdsgh</v>
      </c>
      <c r="K579" s="2"/>
    </row>
    <row r="580">
      <c r="A580" s="1" t="s">
        <v>347</v>
      </c>
      <c r="B580" s="2">
        <f>IFERROR(__xludf.DUMMYFUNCTION("SPLIT(A580,"" "")"),194820.0)</f>
        <v>194820</v>
      </c>
      <c r="C580" s="2" t="str">
        <f>IFERROR(__xludf.DUMMYFUNCTION("""COMPUTED_VALUE"""),"dhp.tgt")</f>
        <v>dhp.tgt</v>
      </c>
      <c r="D580" s="2" t="str">
        <f>IFERROR(__xludf.DUMMYFUNCTION("IF(AND(B580=""$cd"",C580&lt;&gt;""..""),CONCATENATE(D579,""/"",C580),IF(C580="".."",MID(D579,1,LEN(D579)-LEN(REGEXEXTRACT(D579,""(/\w*)$""))),D579))"),"//nzgprvw/zgdsgh")</f>
        <v>//nzgprvw/zgdsgh</v>
      </c>
      <c r="K580" s="2"/>
    </row>
    <row r="581">
      <c r="A581" s="1" t="s">
        <v>50</v>
      </c>
      <c r="B581" s="2" t="str">
        <f>IFERROR(__xludf.DUMMYFUNCTION("SPLIT(A581,"" "")"),"dir")</f>
        <v>dir</v>
      </c>
      <c r="C581" s="2" t="str">
        <f>IFERROR(__xludf.DUMMYFUNCTION("""COMPUTED_VALUE"""),"hlvpfw")</f>
        <v>hlvpfw</v>
      </c>
      <c r="D581" s="2" t="str">
        <f>IFERROR(__xludf.DUMMYFUNCTION("IF(AND(B581=""$cd"",C581&lt;&gt;""..""),CONCATENATE(D580,""/"",C581),IF(C581="".."",MID(D580,1,LEN(D580)-LEN(REGEXEXTRACT(D580,""(/\w*)$""))),D580))"),"//nzgprvw/zgdsgh")</f>
        <v>//nzgprvw/zgdsgh</v>
      </c>
      <c r="K581" s="2"/>
    </row>
    <row r="582">
      <c r="A582" s="1" t="s">
        <v>348</v>
      </c>
      <c r="B582" s="2" t="str">
        <f>IFERROR(__xludf.DUMMYFUNCTION("SPLIT(A582,"" "")"),"dir")</f>
        <v>dir</v>
      </c>
      <c r="C582" s="2" t="str">
        <f>IFERROR(__xludf.DUMMYFUNCTION("""COMPUTED_VALUE"""),"sdllphqd")</f>
        <v>sdllphqd</v>
      </c>
      <c r="D582" s="2" t="str">
        <f>IFERROR(__xludf.DUMMYFUNCTION("IF(AND(B582=""$cd"",C582&lt;&gt;""..""),CONCATENATE(D581,""/"",C582),IF(C582="".."",MID(D581,1,LEN(D581)-LEN(REGEXEXTRACT(D581,""(/\w*)$""))),D581))"),"//nzgprvw/zgdsgh")</f>
        <v>//nzgprvw/zgdsgh</v>
      </c>
      <c r="K582" s="2"/>
    </row>
    <row r="583">
      <c r="A583" s="1" t="s">
        <v>46</v>
      </c>
      <c r="B583" s="2" t="str">
        <f>IFERROR(__xludf.DUMMYFUNCTION("SPLIT(A583,"" "")"),"dir")</f>
        <v>dir</v>
      </c>
      <c r="C583" s="2" t="str">
        <f>IFERROR(__xludf.DUMMYFUNCTION("""COMPUTED_VALUE"""),"zcgrgff")</f>
        <v>zcgrgff</v>
      </c>
      <c r="D583" s="2" t="str">
        <f>IFERROR(__xludf.DUMMYFUNCTION("IF(AND(B583=""$cd"",C583&lt;&gt;""..""),CONCATENATE(D582,""/"",C583),IF(C583="".."",MID(D582,1,LEN(D582)-LEN(REGEXEXTRACT(D582,""(/\w*)$""))),D582))"),"//nzgprvw/zgdsgh")</f>
        <v>//nzgprvw/zgdsgh</v>
      </c>
      <c r="K583" s="2"/>
    </row>
    <row r="584">
      <c r="A584" s="1" t="s">
        <v>622</v>
      </c>
      <c r="B584" s="2" t="str">
        <f>IFERROR(__xludf.DUMMYFUNCTION("SPLIT(A584,"" "")"),"$cd")</f>
        <v>$cd</v>
      </c>
      <c r="C584" s="2" t="str">
        <f>IFERROR(__xludf.DUMMYFUNCTION("""COMPUTED_VALUE"""),"hlvpfw")</f>
        <v>hlvpfw</v>
      </c>
      <c r="D584" s="2" t="str">
        <f>IFERROR(__xludf.DUMMYFUNCTION("IF(AND(B584=""$cd"",C584&lt;&gt;""..""),CONCATENATE(D583,""/"",C584),IF(C584="".."",MID(D583,1,LEN(D583)-LEN(REGEXEXTRACT(D583,""(/\w*)$""))),D583))"),"//nzgprvw/zgdsgh/hlvpfw")</f>
        <v>//nzgprvw/zgdsgh/hlvpfw</v>
      </c>
      <c r="K584" s="2"/>
    </row>
    <row r="585">
      <c r="A585" s="1" t="s">
        <v>609</v>
      </c>
      <c r="B585" s="2" t="str">
        <f>IFERROR(__xludf.DUMMYFUNCTION("SPLIT(A585,"" "")"),"$ls")</f>
        <v>$ls</v>
      </c>
      <c r="D585" s="2" t="str">
        <f>IFERROR(__xludf.DUMMYFUNCTION("IF(AND(B585=""$cd"",C585&lt;&gt;""..""),CONCATENATE(D584,""/"",C585),IF(C585="".."",MID(D584,1,LEN(D584)-LEN(REGEXEXTRACT(D584,""(/\w*)$""))),D584))"),"//nzgprvw/zgdsgh/hlvpfw")</f>
        <v>//nzgprvw/zgdsgh/hlvpfw</v>
      </c>
      <c r="K585" s="2"/>
    </row>
    <row r="586">
      <c r="A586" s="1" t="s">
        <v>349</v>
      </c>
      <c r="B586" s="2">
        <f>IFERROR(__xludf.DUMMYFUNCTION("SPLIT(A586,"" "")"),44509.0)</f>
        <v>44509</v>
      </c>
      <c r="C586" s="2" t="str">
        <f>IFERROR(__xludf.DUMMYFUNCTION("""COMPUTED_VALUE"""),"hmqfdht")</f>
        <v>hmqfdht</v>
      </c>
      <c r="D586" s="2" t="str">
        <f>IFERROR(__xludf.DUMMYFUNCTION("IF(AND(B586=""$cd"",C586&lt;&gt;""..""),CONCATENATE(D585,""/"",C586),IF(C586="".."",MID(D585,1,LEN(D585)-LEN(REGEXEXTRACT(D585,""(/\w*)$""))),D585))"),"//nzgprvw/zgdsgh/hlvpfw")</f>
        <v>//nzgprvw/zgdsgh/hlvpfw</v>
      </c>
      <c r="K586" s="2"/>
    </row>
    <row r="587">
      <c r="A587" s="1" t="s">
        <v>612</v>
      </c>
      <c r="B587" s="2" t="str">
        <f>IFERROR(__xludf.DUMMYFUNCTION("SPLIT(A587,"" "")"),"$cd")</f>
        <v>$cd</v>
      </c>
      <c r="C587" s="2" t="str">
        <f>IFERROR(__xludf.DUMMYFUNCTION("""COMPUTED_VALUE"""),"..")</f>
        <v>..</v>
      </c>
      <c r="D587" s="2" t="str">
        <f>IFERROR(__xludf.DUMMYFUNCTION("IF(AND(B587=""$cd"",C587&lt;&gt;""..""),CONCATENATE(D586,""/"",C587),IF(C587="".."",MID(D586,1,LEN(D586)-LEN(REGEXEXTRACT(D586,""(/\w*)$""))),D586))"),"//nzgprvw/zgdsgh")</f>
        <v>//nzgprvw/zgdsgh</v>
      </c>
      <c r="K587" s="2"/>
    </row>
    <row r="588">
      <c r="A588" s="1" t="s">
        <v>700</v>
      </c>
      <c r="B588" s="2" t="str">
        <f>IFERROR(__xludf.DUMMYFUNCTION("SPLIT(A588,"" "")"),"$cd")</f>
        <v>$cd</v>
      </c>
      <c r="C588" s="2" t="str">
        <f>IFERROR(__xludf.DUMMYFUNCTION("""COMPUTED_VALUE"""),"sdllphqd")</f>
        <v>sdllphqd</v>
      </c>
      <c r="D588" s="2" t="str">
        <f>IFERROR(__xludf.DUMMYFUNCTION("IF(AND(B588=""$cd"",C588&lt;&gt;""..""),CONCATENATE(D587,""/"",C588),IF(C588="".."",MID(D587,1,LEN(D587)-LEN(REGEXEXTRACT(D587,""(/\w*)$""))),D587))"),"//nzgprvw/zgdsgh/sdllphqd")</f>
        <v>//nzgprvw/zgdsgh/sdllphqd</v>
      </c>
      <c r="K588" s="2"/>
    </row>
    <row r="589">
      <c r="A589" s="1" t="s">
        <v>609</v>
      </c>
      <c r="B589" s="2" t="str">
        <f>IFERROR(__xludf.DUMMYFUNCTION("SPLIT(A589,"" "")"),"$ls")</f>
        <v>$ls</v>
      </c>
      <c r="D589" s="2" t="str">
        <f>IFERROR(__xludf.DUMMYFUNCTION("IF(AND(B589=""$cd"",C589&lt;&gt;""..""),CONCATENATE(D588,""/"",C589),IF(C589="".."",MID(D588,1,LEN(D588)-LEN(REGEXEXTRACT(D588,""(/\w*)$""))),D588))"),"//nzgprvw/zgdsgh/sdllphqd")</f>
        <v>//nzgprvw/zgdsgh/sdllphqd</v>
      </c>
      <c r="K589" s="2"/>
    </row>
    <row r="590">
      <c r="A590" s="1" t="s">
        <v>351</v>
      </c>
      <c r="B590" s="2">
        <f>IFERROR(__xludf.DUMMYFUNCTION("SPLIT(A590,"" "")"),47133.0)</f>
        <v>47133</v>
      </c>
      <c r="C590" s="2" t="str">
        <f>IFERROR(__xludf.DUMMYFUNCTION("""COMPUTED_VALUE"""),"mpq.cdn")</f>
        <v>mpq.cdn</v>
      </c>
      <c r="D590" s="2" t="str">
        <f>IFERROR(__xludf.DUMMYFUNCTION("IF(AND(B590=""$cd"",C590&lt;&gt;""..""),CONCATENATE(D589,""/"",C590),IF(C590="".."",MID(D589,1,LEN(D589)-LEN(REGEXEXTRACT(D589,""(/\w*)$""))),D589))"),"//nzgprvw/zgdsgh/sdllphqd")</f>
        <v>//nzgprvw/zgdsgh/sdllphqd</v>
      </c>
      <c r="K590" s="2"/>
    </row>
    <row r="591">
      <c r="A591" s="1" t="s">
        <v>612</v>
      </c>
      <c r="B591" s="2" t="str">
        <f>IFERROR(__xludf.DUMMYFUNCTION("SPLIT(A591,"" "")"),"$cd")</f>
        <v>$cd</v>
      </c>
      <c r="C591" s="2" t="str">
        <f>IFERROR(__xludf.DUMMYFUNCTION("""COMPUTED_VALUE"""),"..")</f>
        <v>..</v>
      </c>
      <c r="D591" s="2" t="str">
        <f>IFERROR(__xludf.DUMMYFUNCTION("IF(AND(B591=""$cd"",C591&lt;&gt;""..""),CONCATENATE(D590,""/"",C591),IF(C591="".."",MID(D590,1,LEN(D590)-LEN(REGEXEXTRACT(D590,""(/\w*)$""))),D590))"),"//nzgprvw/zgdsgh")</f>
        <v>//nzgprvw/zgdsgh</v>
      </c>
      <c r="K591" s="2"/>
    </row>
    <row r="592">
      <c r="A592" s="1" t="s">
        <v>625</v>
      </c>
      <c r="B592" s="2" t="str">
        <f>IFERROR(__xludf.DUMMYFUNCTION("SPLIT(A592,"" "")"),"$cd")</f>
        <v>$cd</v>
      </c>
      <c r="C592" s="2" t="str">
        <f>IFERROR(__xludf.DUMMYFUNCTION("""COMPUTED_VALUE"""),"zcgrgff")</f>
        <v>zcgrgff</v>
      </c>
      <c r="D592" s="2" t="str">
        <f>IFERROR(__xludf.DUMMYFUNCTION("IF(AND(B592=""$cd"",C592&lt;&gt;""..""),CONCATENATE(D591,""/"",C592),IF(C592="".."",MID(D591,1,LEN(D591)-LEN(REGEXEXTRACT(D591,""(/\w*)$""))),D591))"),"//nzgprvw/zgdsgh/zcgrgff")</f>
        <v>//nzgprvw/zgdsgh/zcgrgff</v>
      </c>
      <c r="K592" s="2"/>
    </row>
    <row r="593">
      <c r="A593" s="1" t="s">
        <v>609</v>
      </c>
      <c r="B593" s="2" t="str">
        <f>IFERROR(__xludf.DUMMYFUNCTION("SPLIT(A593,"" "")"),"$ls")</f>
        <v>$ls</v>
      </c>
      <c r="D593" s="2" t="str">
        <f>IFERROR(__xludf.DUMMYFUNCTION("IF(AND(B593=""$cd"",C593&lt;&gt;""..""),CONCATENATE(D592,""/"",C593),IF(C593="".."",MID(D592,1,LEN(D592)-LEN(REGEXEXTRACT(D592,""(/\w*)$""))),D592))"),"//nzgprvw/zgdsgh/zcgrgff")</f>
        <v>//nzgprvw/zgdsgh/zcgrgff</v>
      </c>
      <c r="K593" s="2"/>
    </row>
    <row r="594">
      <c r="A594" s="1" t="s">
        <v>352</v>
      </c>
      <c r="B594" s="2">
        <f>IFERROR(__xludf.DUMMYFUNCTION("SPLIT(A594,"" "")"),186613.0)</f>
        <v>186613</v>
      </c>
      <c r="C594" s="2" t="str">
        <f>IFERROR(__xludf.DUMMYFUNCTION("""COMPUTED_VALUE"""),"jrrpljrc")</f>
        <v>jrrpljrc</v>
      </c>
      <c r="D594" s="2" t="str">
        <f>IFERROR(__xludf.DUMMYFUNCTION("IF(AND(B594=""$cd"",C594&lt;&gt;""..""),CONCATENATE(D593,""/"",C594),IF(C594="".."",MID(D593,1,LEN(D593)-LEN(REGEXEXTRACT(D593,""(/\w*)$""))),D593))"),"//nzgprvw/zgdsgh/zcgrgff")</f>
        <v>//nzgprvw/zgdsgh/zcgrgff</v>
      </c>
      <c r="K594" s="2"/>
    </row>
    <row r="595">
      <c r="A595" s="1" t="s">
        <v>612</v>
      </c>
      <c r="B595" s="2" t="str">
        <f>IFERROR(__xludf.DUMMYFUNCTION("SPLIT(A595,"" "")"),"$cd")</f>
        <v>$cd</v>
      </c>
      <c r="C595" s="2" t="str">
        <f>IFERROR(__xludf.DUMMYFUNCTION("""COMPUTED_VALUE"""),"..")</f>
        <v>..</v>
      </c>
      <c r="D595" s="2" t="str">
        <f>IFERROR(__xludf.DUMMYFUNCTION("IF(AND(B595=""$cd"",C595&lt;&gt;""..""),CONCATENATE(D594,""/"",C595),IF(C595="".."",MID(D594,1,LEN(D594)-LEN(REGEXEXTRACT(D594,""(/\w*)$""))),D594))"),"//nzgprvw/zgdsgh")</f>
        <v>//nzgprvw/zgdsgh</v>
      </c>
      <c r="K595" s="2"/>
    </row>
    <row r="596">
      <c r="A596" s="1" t="s">
        <v>612</v>
      </c>
      <c r="B596" s="2" t="str">
        <f>IFERROR(__xludf.DUMMYFUNCTION("SPLIT(A596,"" "")"),"$cd")</f>
        <v>$cd</v>
      </c>
      <c r="C596" s="2" t="str">
        <f>IFERROR(__xludf.DUMMYFUNCTION("""COMPUTED_VALUE"""),"..")</f>
        <v>..</v>
      </c>
      <c r="D596" s="2" t="str">
        <f>IFERROR(__xludf.DUMMYFUNCTION("IF(AND(B596=""$cd"",C596&lt;&gt;""..""),CONCATENATE(D595,""/"",C596),IF(C596="".."",MID(D595,1,LEN(D595)-LEN(REGEXEXTRACT(D595,""(/\w*)$""))),D595))"),"//nzgprvw")</f>
        <v>//nzgprvw</v>
      </c>
      <c r="K596" s="2"/>
    </row>
    <row r="597">
      <c r="A597" s="1" t="s">
        <v>612</v>
      </c>
      <c r="B597" s="2" t="str">
        <f>IFERROR(__xludf.DUMMYFUNCTION("SPLIT(A597,"" "")"),"$cd")</f>
        <v>$cd</v>
      </c>
      <c r="C597" s="2" t="str">
        <f>IFERROR(__xludf.DUMMYFUNCTION("""COMPUTED_VALUE"""),"..")</f>
        <v>..</v>
      </c>
      <c r="D597" s="2" t="str">
        <f>IFERROR(__xludf.DUMMYFUNCTION("IF(AND(B597=""$cd"",C597&lt;&gt;""..""),CONCATENATE(D596,""/"",C597),IF(C597="".."",MID(D596,1,LEN(D596)-LEN(REGEXEXTRACT(D596,""(/\w*)$""))),D596))"),"/")</f>
        <v>/</v>
      </c>
      <c r="K597" s="2"/>
    </row>
    <row r="598">
      <c r="A598" s="1" t="s">
        <v>701</v>
      </c>
      <c r="B598" s="2" t="str">
        <f>IFERROR(__xludf.DUMMYFUNCTION("SPLIT(A598,"" "")"),"$cd")</f>
        <v>$cd</v>
      </c>
      <c r="C598" s="2" t="str">
        <f>IFERROR(__xludf.DUMMYFUNCTION("""COMPUTED_VALUE"""),"snwqjgj")</f>
        <v>snwqjgj</v>
      </c>
      <c r="D598" s="2" t="str">
        <f>IFERROR(__xludf.DUMMYFUNCTION("IF(AND(B598=""$cd"",C598&lt;&gt;""..""),CONCATENATE(D597,""/"",C598),IF(C598="".."",MID(D597,1,LEN(D597)-LEN(REGEXEXTRACT(D597,""(/\w*)$""))),D597))"),"//snwqjgj")</f>
        <v>//snwqjgj</v>
      </c>
      <c r="K598" s="2"/>
    </row>
    <row r="599">
      <c r="A599" s="1" t="s">
        <v>609</v>
      </c>
      <c r="B599" s="2" t="str">
        <f>IFERROR(__xludf.DUMMYFUNCTION("SPLIT(A599,"" "")"),"$ls")</f>
        <v>$ls</v>
      </c>
      <c r="D599" s="2" t="str">
        <f>IFERROR(__xludf.DUMMYFUNCTION("IF(AND(B599=""$cd"",C599&lt;&gt;""..""),CONCATENATE(D598,""/"",C599),IF(C599="".."",MID(D598,1,LEN(D598)-LEN(REGEXEXTRACT(D598,""(/\w*)$""))),D598))"),"//snwqjgj")</f>
        <v>//snwqjgj</v>
      </c>
      <c r="K599" s="2"/>
    </row>
    <row r="600">
      <c r="A600" s="1" t="s">
        <v>39</v>
      </c>
      <c r="B600" s="2" t="str">
        <f>IFERROR(__xludf.DUMMYFUNCTION("SPLIT(A600,"" "")"),"dir")</f>
        <v>dir</v>
      </c>
      <c r="C600" s="2" t="str">
        <f>IFERROR(__xludf.DUMMYFUNCTION("""COMPUTED_VALUE"""),"slzdbm")</f>
        <v>slzdbm</v>
      </c>
      <c r="D600" s="2" t="str">
        <f>IFERROR(__xludf.DUMMYFUNCTION("IF(AND(B600=""$cd"",C600&lt;&gt;""..""),CONCATENATE(D599,""/"",C600),IF(C600="".."",MID(D599,1,LEN(D599)-LEN(REGEXEXTRACT(D599,""(/\w*)$""))),D599))"),"//snwqjgj")</f>
        <v>//snwqjgj</v>
      </c>
      <c r="K600" s="2"/>
    </row>
    <row r="601">
      <c r="A601" s="1" t="s">
        <v>46</v>
      </c>
      <c r="B601" s="2" t="str">
        <f>IFERROR(__xludf.DUMMYFUNCTION("SPLIT(A601,"" "")"),"dir")</f>
        <v>dir</v>
      </c>
      <c r="C601" s="2" t="str">
        <f>IFERROR(__xludf.DUMMYFUNCTION("""COMPUTED_VALUE"""),"zcgrgff")</f>
        <v>zcgrgff</v>
      </c>
      <c r="D601" s="2" t="str">
        <f>IFERROR(__xludf.DUMMYFUNCTION("IF(AND(B601=""$cd"",C601&lt;&gt;""..""),CONCATENATE(D600,""/"",C601),IF(C601="".."",MID(D600,1,LEN(D600)-LEN(REGEXEXTRACT(D600,""(/\w*)$""))),D600))"),"//snwqjgj")</f>
        <v>//snwqjgj</v>
      </c>
      <c r="K601" s="2"/>
    </row>
    <row r="602">
      <c r="A602" s="1" t="s">
        <v>354</v>
      </c>
      <c r="B602" s="2" t="str">
        <f>IFERROR(__xludf.DUMMYFUNCTION("SPLIT(A602,"" "")"),"dir")</f>
        <v>dir</v>
      </c>
      <c r="C602" s="2" t="str">
        <f>IFERROR(__xludf.DUMMYFUNCTION("""COMPUTED_VALUE"""),"zldscsc")</f>
        <v>zldscsc</v>
      </c>
      <c r="D602" s="2" t="str">
        <f>IFERROR(__xludf.DUMMYFUNCTION("IF(AND(B602=""$cd"",C602&lt;&gt;""..""),CONCATENATE(D601,""/"",C602),IF(C602="".."",MID(D601,1,LEN(D601)-LEN(REGEXEXTRACT(D601,""(/\w*)$""))),D601))"),"//snwqjgj")</f>
        <v>//snwqjgj</v>
      </c>
      <c r="K602" s="2"/>
    </row>
    <row r="603">
      <c r="A603" s="1" t="s">
        <v>624</v>
      </c>
      <c r="B603" s="2" t="str">
        <f>IFERROR(__xludf.DUMMYFUNCTION("SPLIT(A603,"" "")"),"$cd")</f>
        <v>$cd</v>
      </c>
      <c r="C603" s="2" t="str">
        <f>IFERROR(__xludf.DUMMYFUNCTION("""COMPUTED_VALUE"""),"slzdbm")</f>
        <v>slzdbm</v>
      </c>
      <c r="D603" s="2" t="str">
        <f>IFERROR(__xludf.DUMMYFUNCTION("IF(AND(B603=""$cd"",C603&lt;&gt;""..""),CONCATENATE(D602,""/"",C603),IF(C603="".."",MID(D602,1,LEN(D602)-LEN(REGEXEXTRACT(D602,""(/\w*)$""))),D602))"),"//snwqjgj/slzdbm")</f>
        <v>//snwqjgj/slzdbm</v>
      </c>
      <c r="K603" s="2"/>
    </row>
    <row r="604">
      <c r="A604" s="1" t="s">
        <v>609</v>
      </c>
      <c r="B604" s="2" t="str">
        <f>IFERROR(__xludf.DUMMYFUNCTION("SPLIT(A604,"" "")"),"$ls")</f>
        <v>$ls</v>
      </c>
      <c r="D604" s="2" t="str">
        <f>IFERROR(__xludf.DUMMYFUNCTION("IF(AND(B604=""$cd"",C604&lt;&gt;""..""),CONCATENATE(D603,""/"",C604),IF(C604="".."",MID(D603,1,LEN(D603)-LEN(REGEXEXTRACT(D603,""(/\w*)$""))),D603))"),"//snwqjgj/slzdbm")</f>
        <v>//snwqjgj/slzdbm</v>
      </c>
      <c r="K604" s="2"/>
    </row>
    <row r="605">
      <c r="A605" s="1" t="s">
        <v>355</v>
      </c>
      <c r="B605" s="2">
        <f>IFERROR(__xludf.DUMMYFUNCTION("SPLIT(A605,"" "")"),21422.0)</f>
        <v>21422</v>
      </c>
      <c r="C605" s="2" t="str">
        <f>IFERROR(__xludf.DUMMYFUNCTION("""COMPUTED_VALUE"""),"dplgjzvs.nrn")</f>
        <v>dplgjzvs.nrn</v>
      </c>
      <c r="D605" s="2" t="str">
        <f>IFERROR(__xludf.DUMMYFUNCTION("IF(AND(B605=""$cd"",C605&lt;&gt;""..""),CONCATENATE(D604,""/"",C605),IF(C605="".."",MID(D604,1,LEN(D604)-LEN(REGEXEXTRACT(D604,""(/\w*)$""))),D604))"),"//snwqjgj/slzdbm")</f>
        <v>//snwqjgj/slzdbm</v>
      </c>
      <c r="K605" s="2"/>
    </row>
    <row r="606">
      <c r="A606" s="1" t="s">
        <v>356</v>
      </c>
      <c r="B606" s="2">
        <f>IFERROR(__xludf.DUMMYFUNCTION("SPLIT(A606,"" "")"),175310.0)</f>
        <v>175310</v>
      </c>
      <c r="C606" s="2" t="str">
        <f>IFERROR(__xludf.DUMMYFUNCTION("""COMPUTED_VALUE"""),"zcgrgff.dfq")</f>
        <v>zcgrgff.dfq</v>
      </c>
      <c r="D606" s="2" t="str">
        <f>IFERROR(__xludf.DUMMYFUNCTION("IF(AND(B606=""$cd"",C606&lt;&gt;""..""),CONCATENATE(D605,""/"",C606),IF(C606="".."",MID(D605,1,LEN(D605)-LEN(REGEXEXTRACT(D605,""(/\w*)$""))),D605))"),"//snwqjgj/slzdbm")</f>
        <v>//snwqjgj/slzdbm</v>
      </c>
      <c r="K606" s="2"/>
    </row>
    <row r="607">
      <c r="A607" s="1" t="s">
        <v>612</v>
      </c>
      <c r="B607" s="2" t="str">
        <f>IFERROR(__xludf.DUMMYFUNCTION("SPLIT(A607,"" "")"),"$cd")</f>
        <v>$cd</v>
      </c>
      <c r="C607" s="2" t="str">
        <f>IFERROR(__xludf.DUMMYFUNCTION("""COMPUTED_VALUE"""),"..")</f>
        <v>..</v>
      </c>
      <c r="D607" s="2" t="str">
        <f>IFERROR(__xludf.DUMMYFUNCTION("IF(AND(B607=""$cd"",C607&lt;&gt;""..""),CONCATENATE(D606,""/"",C607),IF(C607="".."",MID(D606,1,LEN(D606)-LEN(REGEXEXTRACT(D606,""(/\w*)$""))),D606))"),"//snwqjgj")</f>
        <v>//snwqjgj</v>
      </c>
      <c r="K607" s="2"/>
    </row>
    <row r="608">
      <c r="A608" s="1" t="s">
        <v>625</v>
      </c>
      <c r="B608" s="2" t="str">
        <f>IFERROR(__xludf.DUMMYFUNCTION("SPLIT(A608,"" "")"),"$cd")</f>
        <v>$cd</v>
      </c>
      <c r="C608" s="2" t="str">
        <f>IFERROR(__xludf.DUMMYFUNCTION("""COMPUTED_VALUE"""),"zcgrgff")</f>
        <v>zcgrgff</v>
      </c>
      <c r="D608" s="2" t="str">
        <f>IFERROR(__xludf.DUMMYFUNCTION("IF(AND(B608=""$cd"",C608&lt;&gt;""..""),CONCATENATE(D607,""/"",C608),IF(C608="".."",MID(D607,1,LEN(D607)-LEN(REGEXEXTRACT(D607,""(/\w*)$""))),D607))"),"//snwqjgj/zcgrgff")</f>
        <v>//snwqjgj/zcgrgff</v>
      </c>
      <c r="K608" s="2"/>
    </row>
    <row r="609">
      <c r="A609" s="1" t="s">
        <v>609</v>
      </c>
      <c r="B609" s="2" t="str">
        <f>IFERROR(__xludf.DUMMYFUNCTION("SPLIT(A609,"" "")"),"$ls")</f>
        <v>$ls</v>
      </c>
      <c r="D609" s="2" t="str">
        <f>IFERROR(__xludf.DUMMYFUNCTION("IF(AND(B609=""$cd"",C609&lt;&gt;""..""),CONCATENATE(D608,""/"",C609),IF(C609="".."",MID(D608,1,LEN(D608)-LEN(REGEXEXTRACT(D608,""(/\w*)$""))),D608))"),"//snwqjgj/zcgrgff")</f>
        <v>//snwqjgj/zcgrgff</v>
      </c>
      <c r="K609" s="2"/>
    </row>
    <row r="610">
      <c r="A610" s="1" t="s">
        <v>357</v>
      </c>
      <c r="B610" s="2" t="str">
        <f>IFERROR(__xludf.DUMMYFUNCTION("SPLIT(A610,"" "")"),"dir")</f>
        <v>dir</v>
      </c>
      <c r="C610" s="2" t="str">
        <f>IFERROR(__xludf.DUMMYFUNCTION("""COMPUTED_VALUE"""),"rrfhvjf")</f>
        <v>rrfhvjf</v>
      </c>
      <c r="D610" s="2" t="str">
        <f>IFERROR(__xludf.DUMMYFUNCTION("IF(AND(B610=""$cd"",C610&lt;&gt;""..""),CONCATENATE(D609,""/"",C610),IF(C610="".."",MID(D609,1,LEN(D609)-LEN(REGEXEXTRACT(D609,""(/\w*)$""))),D609))"),"//snwqjgj/zcgrgff")</f>
        <v>//snwqjgj/zcgrgff</v>
      </c>
      <c r="K610" s="2"/>
    </row>
    <row r="611">
      <c r="A611" s="1" t="s">
        <v>358</v>
      </c>
      <c r="B611" s="2">
        <f>IFERROR(__xludf.DUMMYFUNCTION("SPLIT(A611,"" "")"),275455.0)</f>
        <v>275455</v>
      </c>
      <c r="C611" s="2" t="str">
        <f>IFERROR(__xludf.DUMMYFUNCTION("""COMPUTED_VALUE"""),"vwnvj.nhb")</f>
        <v>vwnvj.nhb</v>
      </c>
      <c r="D611" s="2" t="str">
        <f>IFERROR(__xludf.DUMMYFUNCTION("IF(AND(B611=""$cd"",C611&lt;&gt;""..""),CONCATENATE(D610,""/"",C611),IF(C611="".."",MID(D610,1,LEN(D610)-LEN(REGEXEXTRACT(D610,""(/\w*)$""))),D610))"),"//snwqjgj/zcgrgff")</f>
        <v>//snwqjgj/zcgrgff</v>
      </c>
      <c r="K611" s="2"/>
    </row>
    <row r="612">
      <c r="A612" s="1" t="s">
        <v>46</v>
      </c>
      <c r="B612" s="2" t="str">
        <f>IFERROR(__xludf.DUMMYFUNCTION("SPLIT(A612,"" "")"),"dir")</f>
        <v>dir</v>
      </c>
      <c r="C612" s="2" t="str">
        <f>IFERROR(__xludf.DUMMYFUNCTION("""COMPUTED_VALUE"""),"zcgrgff")</f>
        <v>zcgrgff</v>
      </c>
      <c r="D612" s="2" t="str">
        <f>IFERROR(__xludf.DUMMYFUNCTION("IF(AND(B612=""$cd"",C612&lt;&gt;""..""),CONCATENATE(D611,""/"",C612),IF(C612="".."",MID(D611,1,LEN(D611)-LEN(REGEXEXTRACT(D611,""(/\w*)$""))),D611))"),"//snwqjgj/zcgrgff")</f>
        <v>//snwqjgj/zcgrgff</v>
      </c>
      <c r="K612" s="2"/>
    </row>
    <row r="613">
      <c r="A613" s="1" t="s">
        <v>702</v>
      </c>
      <c r="B613" s="2" t="str">
        <f>IFERROR(__xludf.DUMMYFUNCTION("SPLIT(A613,"" "")"),"$cd")</f>
        <v>$cd</v>
      </c>
      <c r="C613" s="2" t="str">
        <f>IFERROR(__xludf.DUMMYFUNCTION("""COMPUTED_VALUE"""),"rrfhvjf")</f>
        <v>rrfhvjf</v>
      </c>
      <c r="D613" s="2" t="str">
        <f>IFERROR(__xludf.DUMMYFUNCTION("IF(AND(B613=""$cd"",C613&lt;&gt;""..""),CONCATENATE(D612,""/"",C613),IF(C613="".."",MID(D612,1,LEN(D612)-LEN(REGEXEXTRACT(D612,""(/\w*)$""))),D612))"),"//snwqjgj/zcgrgff/rrfhvjf")</f>
        <v>//snwqjgj/zcgrgff/rrfhvjf</v>
      </c>
      <c r="K613" s="2"/>
    </row>
    <row r="614">
      <c r="A614" s="1" t="s">
        <v>609</v>
      </c>
      <c r="B614" s="2" t="str">
        <f>IFERROR(__xludf.DUMMYFUNCTION("SPLIT(A614,"" "")"),"$ls")</f>
        <v>$ls</v>
      </c>
      <c r="D614" s="2" t="str">
        <f>IFERROR(__xludf.DUMMYFUNCTION("IF(AND(B614=""$cd"",C614&lt;&gt;""..""),CONCATENATE(D613,""/"",C614),IF(C614="".."",MID(D613,1,LEN(D613)-LEN(REGEXEXTRACT(D613,""(/\w*)$""))),D613))"),"//snwqjgj/zcgrgff/rrfhvjf")</f>
        <v>//snwqjgj/zcgrgff/rrfhvjf</v>
      </c>
      <c r="K614" s="2"/>
    </row>
    <row r="615">
      <c r="A615" s="1" t="s">
        <v>360</v>
      </c>
      <c r="B615" s="2">
        <f>IFERROR(__xludf.DUMMYFUNCTION("SPLIT(A615,"" "")"),69149.0)</f>
        <v>69149</v>
      </c>
      <c r="C615" s="2" t="str">
        <f>IFERROR(__xludf.DUMMYFUNCTION("""COMPUTED_VALUE"""),"mqmwv.jmr")</f>
        <v>mqmwv.jmr</v>
      </c>
      <c r="D615" s="2" t="str">
        <f>IFERROR(__xludf.DUMMYFUNCTION("IF(AND(B615=""$cd"",C615&lt;&gt;""..""),CONCATENATE(D614,""/"",C615),IF(C615="".."",MID(D614,1,LEN(D614)-LEN(REGEXEXTRACT(D614,""(/\w*)$""))),D614))"),"//snwqjgj/zcgrgff/rrfhvjf")</f>
        <v>//snwqjgj/zcgrgff/rrfhvjf</v>
      </c>
      <c r="K615" s="2"/>
    </row>
    <row r="616">
      <c r="A616" s="1" t="s">
        <v>612</v>
      </c>
      <c r="B616" s="2" t="str">
        <f>IFERROR(__xludf.DUMMYFUNCTION("SPLIT(A616,"" "")"),"$cd")</f>
        <v>$cd</v>
      </c>
      <c r="C616" s="2" t="str">
        <f>IFERROR(__xludf.DUMMYFUNCTION("""COMPUTED_VALUE"""),"..")</f>
        <v>..</v>
      </c>
      <c r="D616" s="2" t="str">
        <f>IFERROR(__xludf.DUMMYFUNCTION("IF(AND(B616=""$cd"",C616&lt;&gt;""..""),CONCATENATE(D615,""/"",C616),IF(C616="".."",MID(D615,1,LEN(D615)-LEN(REGEXEXTRACT(D615,""(/\w*)$""))),D615))"),"//snwqjgj/zcgrgff")</f>
        <v>//snwqjgj/zcgrgff</v>
      </c>
      <c r="K616" s="2"/>
    </row>
    <row r="617">
      <c r="A617" s="1" t="s">
        <v>625</v>
      </c>
      <c r="B617" s="2" t="str">
        <f>IFERROR(__xludf.DUMMYFUNCTION("SPLIT(A617,"" "")"),"$cd")</f>
        <v>$cd</v>
      </c>
      <c r="C617" s="2" t="str">
        <f>IFERROR(__xludf.DUMMYFUNCTION("""COMPUTED_VALUE"""),"zcgrgff")</f>
        <v>zcgrgff</v>
      </c>
      <c r="D617" s="2" t="str">
        <f>IFERROR(__xludf.DUMMYFUNCTION("IF(AND(B617=""$cd"",C617&lt;&gt;""..""),CONCATENATE(D616,""/"",C617),IF(C617="".."",MID(D616,1,LEN(D616)-LEN(REGEXEXTRACT(D616,""(/\w*)$""))),D616))"),"//snwqjgj/zcgrgff/zcgrgff")</f>
        <v>//snwqjgj/zcgrgff/zcgrgff</v>
      </c>
      <c r="K617" s="2"/>
    </row>
    <row r="618">
      <c r="A618" s="1" t="s">
        <v>609</v>
      </c>
      <c r="B618" s="2" t="str">
        <f>IFERROR(__xludf.DUMMYFUNCTION("SPLIT(A618,"" "")"),"$ls")</f>
        <v>$ls</v>
      </c>
      <c r="D618" s="2" t="str">
        <f>IFERROR(__xludf.DUMMYFUNCTION("IF(AND(B618=""$cd"",C618&lt;&gt;""..""),CONCATENATE(D617,""/"",C618),IF(C618="".."",MID(D617,1,LEN(D617)-LEN(REGEXEXTRACT(D617,""(/\w*)$""))),D617))"),"//snwqjgj/zcgrgff/zcgrgff")</f>
        <v>//snwqjgj/zcgrgff/zcgrgff</v>
      </c>
      <c r="K618" s="2"/>
    </row>
    <row r="619">
      <c r="A619" s="1" t="s">
        <v>46</v>
      </c>
      <c r="B619" s="2" t="str">
        <f>IFERROR(__xludf.DUMMYFUNCTION("SPLIT(A619,"" "")"),"dir")</f>
        <v>dir</v>
      </c>
      <c r="C619" s="2" t="str">
        <f>IFERROR(__xludf.DUMMYFUNCTION("""COMPUTED_VALUE"""),"zcgrgff")</f>
        <v>zcgrgff</v>
      </c>
      <c r="D619" s="2" t="str">
        <f>IFERROR(__xludf.DUMMYFUNCTION("IF(AND(B619=""$cd"",C619&lt;&gt;""..""),CONCATENATE(D618,""/"",C619),IF(C619="".."",MID(D618,1,LEN(D618)-LEN(REGEXEXTRACT(D618,""(/\w*)$""))),D618))"),"//snwqjgj/zcgrgff/zcgrgff")</f>
        <v>//snwqjgj/zcgrgff/zcgrgff</v>
      </c>
      <c r="K619" s="2"/>
    </row>
    <row r="620">
      <c r="A620" s="1" t="s">
        <v>625</v>
      </c>
      <c r="B620" s="2" t="str">
        <f>IFERROR(__xludf.DUMMYFUNCTION("SPLIT(A620,"" "")"),"$cd")</f>
        <v>$cd</v>
      </c>
      <c r="C620" s="2" t="str">
        <f>IFERROR(__xludf.DUMMYFUNCTION("""COMPUTED_VALUE"""),"zcgrgff")</f>
        <v>zcgrgff</v>
      </c>
      <c r="D620" s="2" t="str">
        <f>IFERROR(__xludf.DUMMYFUNCTION("IF(AND(B620=""$cd"",C620&lt;&gt;""..""),CONCATENATE(D619,""/"",C620),IF(C620="".."",MID(D619,1,LEN(D619)-LEN(REGEXEXTRACT(D619,""(/\w*)$""))),D619))"),"//snwqjgj/zcgrgff/zcgrgff/zcgrgff")</f>
        <v>//snwqjgj/zcgrgff/zcgrgff/zcgrgff</v>
      </c>
      <c r="K620" s="2"/>
    </row>
    <row r="621">
      <c r="A621" s="1" t="s">
        <v>609</v>
      </c>
      <c r="B621" s="2" t="str">
        <f>IFERROR(__xludf.DUMMYFUNCTION("SPLIT(A621,"" "")"),"$ls")</f>
        <v>$ls</v>
      </c>
      <c r="D621" s="2" t="str">
        <f>IFERROR(__xludf.DUMMYFUNCTION("IF(AND(B621=""$cd"",C621&lt;&gt;""..""),CONCATENATE(D620,""/"",C621),IF(C621="".."",MID(D620,1,LEN(D620)-LEN(REGEXEXTRACT(D620,""(/\w*)$""))),D620))"),"//snwqjgj/zcgrgff/zcgrgff/zcgrgff")</f>
        <v>//snwqjgj/zcgrgff/zcgrgff/zcgrgff</v>
      </c>
      <c r="K621" s="2"/>
    </row>
    <row r="622">
      <c r="A622" s="1" t="s">
        <v>361</v>
      </c>
      <c r="B622" s="2">
        <f>IFERROR(__xludf.DUMMYFUNCTION("SPLIT(A622,"" "")"),183398.0)</f>
        <v>183398</v>
      </c>
      <c r="C622" s="2" t="str">
        <f>IFERROR(__xludf.DUMMYFUNCTION("""COMPUTED_VALUE"""),"hmqfdht")</f>
        <v>hmqfdht</v>
      </c>
      <c r="D622" s="2" t="str">
        <f>IFERROR(__xludf.DUMMYFUNCTION("IF(AND(B622=""$cd"",C622&lt;&gt;""..""),CONCATENATE(D621,""/"",C622),IF(C622="".."",MID(D621,1,LEN(D621)-LEN(REGEXEXTRACT(D621,""(/\w*)$""))),D621))"),"//snwqjgj/zcgrgff/zcgrgff/zcgrgff")</f>
        <v>//snwqjgj/zcgrgff/zcgrgff/zcgrgff</v>
      </c>
      <c r="K622" s="2"/>
    </row>
    <row r="623">
      <c r="A623" s="1" t="s">
        <v>362</v>
      </c>
      <c r="B623" s="2">
        <f>IFERROR(__xludf.DUMMYFUNCTION("SPLIT(A623,"" "")"),93968.0)</f>
        <v>93968</v>
      </c>
      <c r="C623" s="2" t="str">
        <f>IFERROR(__xludf.DUMMYFUNCTION("""COMPUTED_VALUE"""),"sdhmwd")</f>
        <v>sdhmwd</v>
      </c>
      <c r="D623" s="2" t="str">
        <f>IFERROR(__xludf.DUMMYFUNCTION("IF(AND(B623=""$cd"",C623&lt;&gt;""..""),CONCATENATE(D622,""/"",C623),IF(C623="".."",MID(D622,1,LEN(D622)-LEN(REGEXEXTRACT(D622,""(/\w*)$""))),D622))"),"//snwqjgj/zcgrgff/zcgrgff/zcgrgff")</f>
        <v>//snwqjgj/zcgrgff/zcgrgff/zcgrgff</v>
      </c>
      <c r="K623" s="2"/>
    </row>
    <row r="624">
      <c r="A624" s="1" t="s">
        <v>612</v>
      </c>
      <c r="B624" s="2" t="str">
        <f>IFERROR(__xludf.DUMMYFUNCTION("SPLIT(A624,"" "")"),"$cd")</f>
        <v>$cd</v>
      </c>
      <c r="C624" s="2" t="str">
        <f>IFERROR(__xludf.DUMMYFUNCTION("""COMPUTED_VALUE"""),"..")</f>
        <v>..</v>
      </c>
      <c r="D624" s="2" t="str">
        <f>IFERROR(__xludf.DUMMYFUNCTION("IF(AND(B624=""$cd"",C624&lt;&gt;""..""),CONCATENATE(D623,""/"",C624),IF(C624="".."",MID(D623,1,LEN(D623)-LEN(REGEXEXTRACT(D623,""(/\w*)$""))),D623))"),"//snwqjgj/zcgrgff/zcgrgff")</f>
        <v>//snwqjgj/zcgrgff/zcgrgff</v>
      </c>
      <c r="K624" s="2"/>
    </row>
    <row r="625">
      <c r="A625" s="1" t="s">
        <v>612</v>
      </c>
      <c r="B625" s="2" t="str">
        <f>IFERROR(__xludf.DUMMYFUNCTION("SPLIT(A625,"" "")"),"$cd")</f>
        <v>$cd</v>
      </c>
      <c r="C625" s="2" t="str">
        <f>IFERROR(__xludf.DUMMYFUNCTION("""COMPUTED_VALUE"""),"..")</f>
        <v>..</v>
      </c>
      <c r="D625" s="2" t="str">
        <f>IFERROR(__xludf.DUMMYFUNCTION("IF(AND(B625=""$cd"",C625&lt;&gt;""..""),CONCATENATE(D624,""/"",C625),IF(C625="".."",MID(D624,1,LEN(D624)-LEN(REGEXEXTRACT(D624,""(/\w*)$""))),D624))"),"//snwqjgj/zcgrgff")</f>
        <v>//snwqjgj/zcgrgff</v>
      </c>
      <c r="K625" s="2"/>
    </row>
    <row r="626">
      <c r="A626" s="1" t="s">
        <v>612</v>
      </c>
      <c r="B626" s="2" t="str">
        <f>IFERROR(__xludf.DUMMYFUNCTION("SPLIT(A626,"" "")"),"$cd")</f>
        <v>$cd</v>
      </c>
      <c r="C626" s="2" t="str">
        <f>IFERROR(__xludf.DUMMYFUNCTION("""COMPUTED_VALUE"""),"..")</f>
        <v>..</v>
      </c>
      <c r="D626" s="2" t="str">
        <f>IFERROR(__xludf.DUMMYFUNCTION("IF(AND(B626=""$cd"",C626&lt;&gt;""..""),CONCATENATE(D625,""/"",C626),IF(C626="".."",MID(D625,1,LEN(D625)-LEN(REGEXEXTRACT(D625,""(/\w*)$""))),D625))"),"//snwqjgj")</f>
        <v>//snwqjgj</v>
      </c>
      <c r="K626" s="2"/>
    </row>
    <row r="627">
      <c r="A627" s="1" t="s">
        <v>703</v>
      </c>
      <c r="B627" s="2" t="str">
        <f>IFERROR(__xludf.DUMMYFUNCTION("SPLIT(A627,"" "")"),"$cd")</f>
        <v>$cd</v>
      </c>
      <c r="C627" s="2" t="str">
        <f>IFERROR(__xludf.DUMMYFUNCTION("""COMPUTED_VALUE"""),"zldscsc")</f>
        <v>zldscsc</v>
      </c>
      <c r="D627" s="2" t="str">
        <f>IFERROR(__xludf.DUMMYFUNCTION("IF(AND(B627=""$cd"",C627&lt;&gt;""..""),CONCATENATE(D626,""/"",C627),IF(C627="".."",MID(D626,1,LEN(D626)-LEN(REGEXEXTRACT(D626,""(/\w*)$""))),D626))"),"//snwqjgj/zldscsc")</f>
        <v>//snwqjgj/zldscsc</v>
      </c>
      <c r="K627" s="2"/>
    </row>
    <row r="628">
      <c r="A628" s="1" t="s">
        <v>609</v>
      </c>
      <c r="B628" s="2" t="str">
        <f>IFERROR(__xludf.DUMMYFUNCTION("SPLIT(A628,"" "")"),"$ls")</f>
        <v>$ls</v>
      </c>
      <c r="D628" s="2" t="str">
        <f>IFERROR(__xludf.DUMMYFUNCTION("IF(AND(B628=""$cd"",C628&lt;&gt;""..""),CONCATENATE(D627,""/"",C628),IF(C628="".."",MID(D627,1,LEN(D627)-LEN(REGEXEXTRACT(D627,""(/\w*)$""))),D627))"),"//snwqjgj/zldscsc")</f>
        <v>//snwqjgj/zldscsc</v>
      </c>
      <c r="K628" s="2"/>
    </row>
    <row r="629">
      <c r="A629" s="1" t="s">
        <v>364</v>
      </c>
      <c r="B629" s="2" t="str">
        <f>IFERROR(__xludf.DUMMYFUNCTION("SPLIT(A629,"" "")"),"dir")</f>
        <v>dir</v>
      </c>
      <c r="C629" s="2" t="str">
        <f>IFERROR(__xludf.DUMMYFUNCTION("""COMPUTED_VALUE"""),"fmzvccvg")</f>
        <v>fmzvccvg</v>
      </c>
      <c r="D629" s="2" t="str">
        <f>IFERROR(__xludf.DUMMYFUNCTION("IF(AND(B629=""$cd"",C629&lt;&gt;""..""),CONCATENATE(D628,""/"",C629),IF(C629="".."",MID(D628,1,LEN(D628)-LEN(REGEXEXTRACT(D628,""(/\w*)$""))),D628))"),"//snwqjgj/zldscsc")</f>
        <v>//snwqjgj/zldscsc</v>
      </c>
      <c r="K629" s="2"/>
    </row>
    <row r="630">
      <c r="A630" s="1" t="s">
        <v>365</v>
      </c>
      <c r="B630" s="2">
        <f>IFERROR(__xludf.DUMMYFUNCTION("SPLIT(A630,"" "")"),299187.0)</f>
        <v>299187</v>
      </c>
      <c r="C630" s="2" t="str">
        <f>IFERROR(__xludf.DUMMYFUNCTION("""COMPUTED_VALUE"""),"mpq.cdn")</f>
        <v>mpq.cdn</v>
      </c>
      <c r="D630" s="2" t="str">
        <f>IFERROR(__xludf.DUMMYFUNCTION("IF(AND(B630=""$cd"",C630&lt;&gt;""..""),CONCATENATE(D629,""/"",C630),IF(C630="".."",MID(D629,1,LEN(D629)-LEN(REGEXEXTRACT(D629,""(/\w*)$""))),D629))"),"//snwqjgj/zldscsc")</f>
        <v>//snwqjgj/zldscsc</v>
      </c>
      <c r="K630" s="2"/>
    </row>
    <row r="631">
      <c r="A631" s="1" t="s">
        <v>366</v>
      </c>
      <c r="B631" s="2">
        <f>IFERROR(__xludf.DUMMYFUNCTION("SPLIT(A631,"" "")"),324288.0)</f>
        <v>324288</v>
      </c>
      <c r="C631" s="2" t="str">
        <f>IFERROR(__xludf.DUMMYFUNCTION("""COMPUTED_VALUE"""),"mzsfcvgv.srz")</f>
        <v>mzsfcvgv.srz</v>
      </c>
      <c r="D631" s="2" t="str">
        <f>IFERROR(__xludf.DUMMYFUNCTION("IF(AND(B631=""$cd"",C631&lt;&gt;""..""),CONCATENATE(D630,""/"",C631),IF(C631="".."",MID(D630,1,LEN(D630)-LEN(REGEXEXTRACT(D630,""(/\w*)$""))),D630))"),"//snwqjgj/zldscsc")</f>
        <v>//snwqjgj/zldscsc</v>
      </c>
      <c r="K631" s="2"/>
    </row>
    <row r="632">
      <c r="A632" s="1" t="s">
        <v>367</v>
      </c>
      <c r="B632" s="2" t="str">
        <f>IFERROR(__xludf.DUMMYFUNCTION("SPLIT(A632,"" "")"),"dir")</f>
        <v>dir</v>
      </c>
      <c r="C632" s="2" t="str">
        <f>IFERROR(__xludf.DUMMYFUNCTION("""COMPUTED_VALUE"""),"prdfldrf")</f>
        <v>prdfldrf</v>
      </c>
      <c r="D632" s="2" t="str">
        <f>IFERROR(__xludf.DUMMYFUNCTION("IF(AND(B632=""$cd"",C632&lt;&gt;""..""),CONCATENATE(D631,""/"",C632),IF(C632="".."",MID(D631,1,LEN(D631)-LEN(REGEXEXTRACT(D631,""(/\w*)$""))),D631))"),"//snwqjgj/zldscsc")</f>
        <v>//snwqjgj/zldscsc</v>
      </c>
      <c r="K632" s="2"/>
    </row>
    <row r="633">
      <c r="A633" s="1" t="s">
        <v>368</v>
      </c>
      <c r="B633" s="2" t="str">
        <f>IFERROR(__xludf.DUMMYFUNCTION("SPLIT(A633,"" "")"),"dir")</f>
        <v>dir</v>
      </c>
      <c r="C633" s="2" t="str">
        <f>IFERROR(__xludf.DUMMYFUNCTION("""COMPUTED_VALUE"""),"sgpdqw")</f>
        <v>sgpdqw</v>
      </c>
      <c r="D633" s="2" t="str">
        <f>IFERROR(__xludf.DUMMYFUNCTION("IF(AND(B633=""$cd"",C633&lt;&gt;""..""),CONCATENATE(D632,""/"",C633),IF(C633="".."",MID(D632,1,LEN(D632)-LEN(REGEXEXTRACT(D632,""(/\w*)$""))),D632))"),"//snwqjgj/zldscsc")</f>
        <v>//snwqjgj/zldscsc</v>
      </c>
      <c r="K633" s="2"/>
    </row>
    <row r="634">
      <c r="A634" s="1" t="s">
        <v>369</v>
      </c>
      <c r="B634" s="2">
        <f>IFERROR(__xludf.DUMMYFUNCTION("SPLIT(A634,"" "")"),289150.0)</f>
        <v>289150</v>
      </c>
      <c r="C634" s="2" t="str">
        <f>IFERROR(__xludf.DUMMYFUNCTION("""COMPUTED_VALUE"""),"ssssrhwz")</f>
        <v>ssssrhwz</v>
      </c>
      <c r="D634" s="2" t="str">
        <f>IFERROR(__xludf.DUMMYFUNCTION("IF(AND(B634=""$cd"",C634&lt;&gt;""..""),CONCATENATE(D633,""/"",C634),IF(C634="".."",MID(D633,1,LEN(D633)-LEN(REGEXEXTRACT(D633,""(/\w*)$""))),D633))"),"//snwqjgj/zldscsc")</f>
        <v>//snwqjgj/zldscsc</v>
      </c>
      <c r="K634" s="2"/>
    </row>
    <row r="635">
      <c r="A635" s="1" t="s">
        <v>370</v>
      </c>
      <c r="B635" s="2">
        <f>IFERROR(__xludf.DUMMYFUNCTION("SPLIT(A635,"" "")"),3330.0)</f>
        <v>3330</v>
      </c>
      <c r="C635" s="2" t="str">
        <f>IFERROR(__xludf.DUMMYFUNCTION("""COMPUTED_VALUE"""),"vwwj")</f>
        <v>vwwj</v>
      </c>
      <c r="D635" s="2" t="str">
        <f>IFERROR(__xludf.DUMMYFUNCTION("IF(AND(B635=""$cd"",C635&lt;&gt;""..""),CONCATENATE(D634,""/"",C635),IF(C635="".."",MID(D634,1,LEN(D634)-LEN(REGEXEXTRACT(D634,""(/\w*)$""))),D634))"),"//snwqjgj/zldscsc")</f>
        <v>//snwqjgj/zldscsc</v>
      </c>
      <c r="K635" s="2"/>
    </row>
    <row r="636">
      <c r="A636" s="1" t="s">
        <v>371</v>
      </c>
      <c r="B636" s="2">
        <f>IFERROR(__xludf.DUMMYFUNCTION("SPLIT(A636,"" "")"),133537.0)</f>
        <v>133537</v>
      </c>
      <c r="C636" s="2" t="str">
        <f>IFERROR(__xludf.DUMMYFUNCTION("""COMPUTED_VALUE"""),"wbb.fdl")</f>
        <v>wbb.fdl</v>
      </c>
      <c r="D636" s="2" t="str">
        <f>IFERROR(__xludf.DUMMYFUNCTION("IF(AND(B636=""$cd"",C636&lt;&gt;""..""),CONCATENATE(D635,""/"",C636),IF(C636="".."",MID(D635,1,LEN(D635)-LEN(REGEXEXTRACT(D635,""(/\w*)$""))),D635))"),"//snwqjgj/zldscsc")</f>
        <v>//snwqjgj/zldscsc</v>
      </c>
      <c r="K636" s="2"/>
    </row>
    <row r="637">
      <c r="A637" s="1" t="s">
        <v>372</v>
      </c>
      <c r="B637" s="2" t="str">
        <f>IFERROR(__xludf.DUMMYFUNCTION("SPLIT(A637,"" "")"),"dir")</f>
        <v>dir</v>
      </c>
      <c r="C637" s="2" t="str">
        <f>IFERROR(__xludf.DUMMYFUNCTION("""COMPUTED_VALUE"""),"wjdpws")</f>
        <v>wjdpws</v>
      </c>
      <c r="D637" s="2" t="str">
        <f>IFERROR(__xludf.DUMMYFUNCTION("IF(AND(B637=""$cd"",C637&lt;&gt;""..""),CONCATENATE(D636,""/"",C637),IF(C637="".."",MID(D636,1,LEN(D636)-LEN(REGEXEXTRACT(D636,""(/\w*)$""))),D636))"),"//snwqjgj/zldscsc")</f>
        <v>//snwqjgj/zldscsc</v>
      </c>
      <c r="K637" s="2"/>
    </row>
    <row r="638">
      <c r="A638" s="1" t="s">
        <v>704</v>
      </c>
      <c r="B638" s="2" t="str">
        <f>IFERROR(__xludf.DUMMYFUNCTION("SPLIT(A638,"" "")"),"$cd")</f>
        <v>$cd</v>
      </c>
      <c r="C638" s="2" t="str">
        <f>IFERROR(__xludf.DUMMYFUNCTION("""COMPUTED_VALUE"""),"fmzvccvg")</f>
        <v>fmzvccvg</v>
      </c>
      <c r="D638" s="2" t="str">
        <f>IFERROR(__xludf.DUMMYFUNCTION("IF(AND(B638=""$cd"",C638&lt;&gt;""..""),CONCATENATE(D637,""/"",C638),IF(C638="".."",MID(D637,1,LEN(D637)-LEN(REGEXEXTRACT(D637,""(/\w*)$""))),D637))"),"//snwqjgj/zldscsc/fmzvccvg")</f>
        <v>//snwqjgj/zldscsc/fmzvccvg</v>
      </c>
      <c r="K638" s="2"/>
    </row>
    <row r="639">
      <c r="A639" s="1" t="s">
        <v>609</v>
      </c>
      <c r="B639" s="2" t="str">
        <f>IFERROR(__xludf.DUMMYFUNCTION("SPLIT(A639,"" "")"),"$ls")</f>
        <v>$ls</v>
      </c>
      <c r="D639" s="2" t="str">
        <f>IFERROR(__xludf.DUMMYFUNCTION("IF(AND(B639=""$cd"",C639&lt;&gt;""..""),CONCATENATE(D638,""/"",C639),IF(C639="".."",MID(D638,1,LEN(D638)-LEN(REGEXEXTRACT(D638,""(/\w*)$""))),D638))"),"//snwqjgj/zldscsc/fmzvccvg")</f>
        <v>//snwqjgj/zldscsc/fmzvccvg</v>
      </c>
      <c r="K639" s="2"/>
    </row>
    <row r="640">
      <c r="A640" s="1" t="s">
        <v>374</v>
      </c>
      <c r="B640" s="2" t="str">
        <f>IFERROR(__xludf.DUMMYFUNCTION("SPLIT(A640,"" "")"),"dir")</f>
        <v>dir</v>
      </c>
      <c r="C640" s="2" t="str">
        <f>IFERROR(__xludf.DUMMYFUNCTION("""COMPUTED_VALUE"""),"brrlg")</f>
        <v>brrlg</v>
      </c>
      <c r="D640" s="2" t="str">
        <f>IFERROR(__xludf.DUMMYFUNCTION("IF(AND(B640=""$cd"",C640&lt;&gt;""..""),CONCATENATE(D639,""/"",C640),IF(C640="".."",MID(D639,1,LEN(D639)-LEN(REGEXEXTRACT(D639,""(/\w*)$""))),D639))"),"//snwqjgj/zldscsc/fmzvccvg")</f>
        <v>//snwqjgj/zldscsc/fmzvccvg</v>
      </c>
      <c r="K640" s="2"/>
    </row>
    <row r="641">
      <c r="A641" s="1" t="s">
        <v>375</v>
      </c>
      <c r="B641" s="2" t="str">
        <f>IFERROR(__xludf.DUMMYFUNCTION("SPLIT(A641,"" "")"),"dir")</f>
        <v>dir</v>
      </c>
      <c r="C641" s="2" t="str">
        <f>IFERROR(__xludf.DUMMYFUNCTION("""COMPUTED_VALUE"""),"crm")</f>
        <v>crm</v>
      </c>
      <c r="D641" s="2" t="str">
        <f>IFERROR(__xludf.DUMMYFUNCTION("IF(AND(B641=""$cd"",C641&lt;&gt;""..""),CONCATENATE(D640,""/"",C641),IF(C641="".."",MID(D640,1,LEN(D640)-LEN(REGEXEXTRACT(D640,""(/\w*)$""))),D640))"),"//snwqjgj/zldscsc/fmzvccvg")</f>
        <v>//snwqjgj/zldscsc/fmzvccvg</v>
      </c>
      <c r="K641" s="2"/>
    </row>
    <row r="642">
      <c r="A642" s="1" t="s">
        <v>128</v>
      </c>
      <c r="B642" s="2" t="str">
        <f>IFERROR(__xludf.DUMMYFUNCTION("SPLIT(A642,"" "")"),"dir")</f>
        <v>dir</v>
      </c>
      <c r="C642" s="2" t="str">
        <f>IFERROR(__xludf.DUMMYFUNCTION("""COMPUTED_VALUE"""),"mzsfcvgv")</f>
        <v>mzsfcvgv</v>
      </c>
      <c r="D642" s="2" t="str">
        <f>IFERROR(__xludf.DUMMYFUNCTION("IF(AND(B642=""$cd"",C642&lt;&gt;""..""),CONCATENATE(D641,""/"",C642),IF(C642="".."",MID(D641,1,LEN(D641)-LEN(REGEXEXTRACT(D641,""(/\w*)$""))),D641))"),"//snwqjgj/zldscsc/fmzvccvg")</f>
        <v>//snwqjgj/zldscsc/fmzvccvg</v>
      </c>
      <c r="K642" s="2"/>
    </row>
    <row r="643">
      <c r="A643" s="1" t="s">
        <v>705</v>
      </c>
      <c r="B643" s="2" t="str">
        <f>IFERROR(__xludf.DUMMYFUNCTION("SPLIT(A643,"" "")"),"$cd")</f>
        <v>$cd</v>
      </c>
      <c r="C643" s="2" t="str">
        <f>IFERROR(__xludf.DUMMYFUNCTION("""COMPUTED_VALUE"""),"brrlg")</f>
        <v>brrlg</v>
      </c>
      <c r="D643" s="2" t="str">
        <f>IFERROR(__xludf.DUMMYFUNCTION("IF(AND(B643=""$cd"",C643&lt;&gt;""..""),CONCATENATE(D642,""/"",C643),IF(C643="".."",MID(D642,1,LEN(D642)-LEN(REGEXEXTRACT(D642,""(/\w*)$""))),D642))"),"//snwqjgj/zldscsc/fmzvccvg/brrlg")</f>
        <v>//snwqjgj/zldscsc/fmzvccvg/brrlg</v>
      </c>
      <c r="K643" s="2"/>
    </row>
    <row r="644">
      <c r="A644" s="1" t="s">
        <v>609</v>
      </c>
      <c r="B644" s="2" t="str">
        <f>IFERROR(__xludf.DUMMYFUNCTION("SPLIT(A644,"" "")"),"$ls")</f>
        <v>$ls</v>
      </c>
      <c r="D644" s="2" t="str">
        <f>IFERROR(__xludf.DUMMYFUNCTION("IF(AND(B644=""$cd"",C644&lt;&gt;""..""),CONCATENATE(D643,""/"",C644),IF(C644="".."",MID(D643,1,LEN(D643)-LEN(REGEXEXTRACT(D643,""(/\w*)$""))),D643))"),"//snwqjgj/zldscsc/fmzvccvg/brrlg")</f>
        <v>//snwqjgj/zldscsc/fmzvccvg/brrlg</v>
      </c>
      <c r="K644" s="2"/>
    </row>
    <row r="645">
      <c r="A645" s="1" t="s">
        <v>377</v>
      </c>
      <c r="B645" s="2">
        <f>IFERROR(__xludf.DUMMYFUNCTION("SPLIT(A645,"" "")"),17776.0)</f>
        <v>17776</v>
      </c>
      <c r="C645" s="2" t="str">
        <f>IFERROR(__xludf.DUMMYFUNCTION("""COMPUTED_VALUE"""),"jnwr.qqz")</f>
        <v>jnwr.qqz</v>
      </c>
      <c r="D645" s="2" t="str">
        <f>IFERROR(__xludf.DUMMYFUNCTION("IF(AND(B645=""$cd"",C645&lt;&gt;""..""),CONCATENATE(D644,""/"",C645),IF(C645="".."",MID(D644,1,LEN(D644)-LEN(REGEXEXTRACT(D644,""(/\w*)$""))),D644))"),"//snwqjgj/zldscsc/fmzvccvg/brrlg")</f>
        <v>//snwqjgj/zldscsc/fmzvccvg/brrlg</v>
      </c>
      <c r="K645" s="2"/>
    </row>
    <row r="646">
      <c r="A646" s="1" t="s">
        <v>612</v>
      </c>
      <c r="B646" s="2" t="str">
        <f>IFERROR(__xludf.DUMMYFUNCTION("SPLIT(A646,"" "")"),"$cd")</f>
        <v>$cd</v>
      </c>
      <c r="C646" s="2" t="str">
        <f>IFERROR(__xludf.DUMMYFUNCTION("""COMPUTED_VALUE"""),"..")</f>
        <v>..</v>
      </c>
      <c r="D646" s="2" t="str">
        <f>IFERROR(__xludf.DUMMYFUNCTION("IF(AND(B646=""$cd"",C646&lt;&gt;""..""),CONCATENATE(D645,""/"",C646),IF(C646="".."",MID(D645,1,LEN(D645)-LEN(REGEXEXTRACT(D645,""(/\w*)$""))),D645))"),"//snwqjgj/zldscsc/fmzvccvg")</f>
        <v>//snwqjgj/zldscsc/fmzvccvg</v>
      </c>
      <c r="K646" s="2"/>
    </row>
    <row r="647">
      <c r="A647" s="1" t="s">
        <v>706</v>
      </c>
      <c r="B647" s="2" t="str">
        <f>IFERROR(__xludf.DUMMYFUNCTION("SPLIT(A647,"" "")"),"$cd")</f>
        <v>$cd</v>
      </c>
      <c r="C647" s="2" t="str">
        <f>IFERROR(__xludf.DUMMYFUNCTION("""COMPUTED_VALUE"""),"crm")</f>
        <v>crm</v>
      </c>
      <c r="D647" s="2" t="str">
        <f>IFERROR(__xludf.DUMMYFUNCTION("IF(AND(B647=""$cd"",C647&lt;&gt;""..""),CONCATENATE(D646,""/"",C647),IF(C647="".."",MID(D646,1,LEN(D646)-LEN(REGEXEXTRACT(D646,""(/\w*)$""))),D646))"),"//snwqjgj/zldscsc/fmzvccvg/crm")</f>
        <v>//snwqjgj/zldscsc/fmzvccvg/crm</v>
      </c>
      <c r="K647" s="2"/>
    </row>
    <row r="648">
      <c r="A648" s="1" t="s">
        <v>609</v>
      </c>
      <c r="B648" s="2" t="str">
        <f>IFERROR(__xludf.DUMMYFUNCTION("SPLIT(A648,"" "")"),"$ls")</f>
        <v>$ls</v>
      </c>
      <c r="D648" s="2" t="str">
        <f>IFERROR(__xludf.DUMMYFUNCTION("IF(AND(B648=""$cd"",C648&lt;&gt;""..""),CONCATENATE(D647,""/"",C648),IF(C648="".."",MID(D647,1,LEN(D647)-LEN(REGEXEXTRACT(D647,""(/\w*)$""))),D647))"),"//snwqjgj/zldscsc/fmzvccvg/crm")</f>
        <v>//snwqjgj/zldscsc/fmzvccvg/crm</v>
      </c>
      <c r="K648" s="2"/>
    </row>
    <row r="649">
      <c r="A649" s="1" t="s">
        <v>379</v>
      </c>
      <c r="B649" s="2">
        <f>IFERROR(__xludf.DUMMYFUNCTION("SPLIT(A649,"" "")"),220545.0)</f>
        <v>220545</v>
      </c>
      <c r="C649" s="2" t="str">
        <f>IFERROR(__xludf.DUMMYFUNCTION("""COMPUTED_VALUE"""),"mltrj")</f>
        <v>mltrj</v>
      </c>
      <c r="D649" s="2" t="str">
        <f>IFERROR(__xludf.DUMMYFUNCTION("IF(AND(B649=""$cd"",C649&lt;&gt;""..""),CONCATENATE(D648,""/"",C649),IF(C649="".."",MID(D648,1,LEN(D648)-LEN(REGEXEXTRACT(D648,""(/\w*)$""))),D648))"),"//snwqjgj/zldscsc/fmzvccvg/crm")</f>
        <v>//snwqjgj/zldscsc/fmzvccvg/crm</v>
      </c>
      <c r="K649" s="2"/>
    </row>
    <row r="650">
      <c r="A650" s="1" t="s">
        <v>380</v>
      </c>
      <c r="B650" s="2">
        <f>IFERROR(__xludf.DUMMYFUNCTION("SPLIT(A650,"" "")"),177044.0)</f>
        <v>177044</v>
      </c>
      <c r="C650" s="2" t="str">
        <f>IFERROR(__xludf.DUMMYFUNCTION("""COMPUTED_VALUE"""),"mzsfcvgv.thj")</f>
        <v>mzsfcvgv.thj</v>
      </c>
      <c r="D650" s="2" t="str">
        <f>IFERROR(__xludf.DUMMYFUNCTION("IF(AND(B650=""$cd"",C650&lt;&gt;""..""),CONCATENATE(D649,""/"",C650),IF(C650="".."",MID(D649,1,LEN(D649)-LEN(REGEXEXTRACT(D649,""(/\w*)$""))),D649))"),"//snwqjgj/zldscsc/fmzvccvg/crm")</f>
        <v>//snwqjgj/zldscsc/fmzvccvg/crm</v>
      </c>
      <c r="K650" s="2"/>
    </row>
    <row r="651">
      <c r="A651" s="1" t="s">
        <v>612</v>
      </c>
      <c r="B651" s="2" t="str">
        <f>IFERROR(__xludf.DUMMYFUNCTION("SPLIT(A651,"" "")"),"$cd")</f>
        <v>$cd</v>
      </c>
      <c r="C651" s="2" t="str">
        <f>IFERROR(__xludf.DUMMYFUNCTION("""COMPUTED_VALUE"""),"..")</f>
        <v>..</v>
      </c>
      <c r="D651" s="2" t="str">
        <f>IFERROR(__xludf.DUMMYFUNCTION("IF(AND(B651=""$cd"",C651&lt;&gt;""..""),CONCATENATE(D650,""/"",C651),IF(C651="".."",MID(D650,1,LEN(D650)-LEN(REGEXEXTRACT(D650,""(/\w*)$""))),D650))"),"//snwqjgj/zldscsc/fmzvccvg")</f>
        <v>//snwqjgj/zldscsc/fmzvccvg</v>
      </c>
      <c r="K651" s="2"/>
    </row>
    <row r="652">
      <c r="A652" s="1" t="s">
        <v>643</v>
      </c>
      <c r="B652" s="2" t="str">
        <f>IFERROR(__xludf.DUMMYFUNCTION("SPLIT(A652,"" "")"),"$cd")</f>
        <v>$cd</v>
      </c>
      <c r="C652" s="2" t="str">
        <f>IFERROR(__xludf.DUMMYFUNCTION("""COMPUTED_VALUE"""),"mzsfcvgv")</f>
        <v>mzsfcvgv</v>
      </c>
      <c r="D652" s="2" t="str">
        <f>IFERROR(__xludf.DUMMYFUNCTION("IF(AND(B652=""$cd"",C652&lt;&gt;""..""),CONCATENATE(D651,""/"",C652),IF(C652="".."",MID(D651,1,LEN(D651)-LEN(REGEXEXTRACT(D651,""(/\w*)$""))),D651))"),"//snwqjgj/zldscsc/fmzvccvg/mzsfcvgv")</f>
        <v>//snwqjgj/zldscsc/fmzvccvg/mzsfcvgv</v>
      </c>
      <c r="K652" s="2"/>
    </row>
    <row r="653">
      <c r="A653" s="1" t="s">
        <v>609</v>
      </c>
      <c r="B653" s="2" t="str">
        <f>IFERROR(__xludf.DUMMYFUNCTION("SPLIT(A653,"" "")"),"$ls")</f>
        <v>$ls</v>
      </c>
      <c r="D653" s="2" t="str">
        <f>IFERROR(__xludf.DUMMYFUNCTION("IF(AND(B653=""$cd"",C653&lt;&gt;""..""),CONCATENATE(D652,""/"",C653),IF(C653="".."",MID(D652,1,LEN(D652)-LEN(REGEXEXTRACT(D652,""(/\w*)$""))),D652))"),"//snwqjgj/zldscsc/fmzvccvg/mzsfcvgv")</f>
        <v>//snwqjgj/zldscsc/fmzvccvg/mzsfcvgv</v>
      </c>
      <c r="K653" s="2"/>
    </row>
    <row r="654">
      <c r="A654" s="1" t="s">
        <v>381</v>
      </c>
      <c r="B654" s="2">
        <f>IFERROR(__xludf.DUMMYFUNCTION("SPLIT(A654,"" "")"),51223.0)</f>
        <v>51223</v>
      </c>
      <c r="C654" s="2" t="str">
        <f>IFERROR(__xludf.DUMMYFUNCTION("""COMPUTED_VALUE"""),"pdnbml.qpg")</f>
        <v>pdnbml.qpg</v>
      </c>
      <c r="D654" s="2" t="str">
        <f>IFERROR(__xludf.DUMMYFUNCTION("IF(AND(B654=""$cd"",C654&lt;&gt;""..""),CONCATENATE(D653,""/"",C654),IF(C654="".."",MID(D653,1,LEN(D653)-LEN(REGEXEXTRACT(D653,""(/\w*)$""))),D653))"),"//snwqjgj/zldscsc/fmzvccvg/mzsfcvgv")</f>
        <v>//snwqjgj/zldscsc/fmzvccvg/mzsfcvgv</v>
      </c>
      <c r="K654" s="2"/>
    </row>
    <row r="655">
      <c r="A655" s="1" t="s">
        <v>612</v>
      </c>
      <c r="B655" s="2" t="str">
        <f>IFERROR(__xludf.DUMMYFUNCTION("SPLIT(A655,"" "")"),"$cd")</f>
        <v>$cd</v>
      </c>
      <c r="C655" s="2" t="str">
        <f>IFERROR(__xludf.DUMMYFUNCTION("""COMPUTED_VALUE"""),"..")</f>
        <v>..</v>
      </c>
      <c r="D655" s="2" t="str">
        <f>IFERROR(__xludf.DUMMYFUNCTION("IF(AND(B655=""$cd"",C655&lt;&gt;""..""),CONCATENATE(D654,""/"",C655),IF(C655="".."",MID(D654,1,LEN(D654)-LEN(REGEXEXTRACT(D654,""(/\w*)$""))),D654))"),"//snwqjgj/zldscsc/fmzvccvg")</f>
        <v>//snwqjgj/zldscsc/fmzvccvg</v>
      </c>
      <c r="K655" s="2"/>
    </row>
    <row r="656">
      <c r="A656" s="1" t="s">
        <v>612</v>
      </c>
      <c r="B656" s="2" t="str">
        <f>IFERROR(__xludf.DUMMYFUNCTION("SPLIT(A656,"" "")"),"$cd")</f>
        <v>$cd</v>
      </c>
      <c r="C656" s="2" t="str">
        <f>IFERROR(__xludf.DUMMYFUNCTION("""COMPUTED_VALUE"""),"..")</f>
        <v>..</v>
      </c>
      <c r="D656" s="2" t="str">
        <f>IFERROR(__xludf.DUMMYFUNCTION("IF(AND(B656=""$cd"",C656&lt;&gt;""..""),CONCATENATE(D655,""/"",C656),IF(C656="".."",MID(D655,1,LEN(D655)-LEN(REGEXEXTRACT(D655,""(/\w*)$""))),D655))"),"//snwqjgj/zldscsc")</f>
        <v>//snwqjgj/zldscsc</v>
      </c>
      <c r="K656" s="2"/>
    </row>
    <row r="657">
      <c r="A657" s="1" t="s">
        <v>707</v>
      </c>
      <c r="B657" s="2" t="str">
        <f>IFERROR(__xludf.DUMMYFUNCTION("SPLIT(A657,"" "")"),"$cd")</f>
        <v>$cd</v>
      </c>
      <c r="C657" s="2" t="str">
        <f>IFERROR(__xludf.DUMMYFUNCTION("""COMPUTED_VALUE"""),"prdfldrf")</f>
        <v>prdfldrf</v>
      </c>
      <c r="D657" s="2" t="str">
        <f>IFERROR(__xludf.DUMMYFUNCTION("IF(AND(B657=""$cd"",C657&lt;&gt;""..""),CONCATENATE(D656,""/"",C657),IF(C657="".."",MID(D656,1,LEN(D656)-LEN(REGEXEXTRACT(D656,""(/\w*)$""))),D656))"),"//snwqjgj/zldscsc/prdfldrf")</f>
        <v>//snwqjgj/zldscsc/prdfldrf</v>
      </c>
      <c r="K657" s="2"/>
    </row>
    <row r="658">
      <c r="A658" s="1" t="s">
        <v>609</v>
      </c>
      <c r="B658" s="2" t="str">
        <f>IFERROR(__xludf.DUMMYFUNCTION("SPLIT(A658,"" "")"),"$ls")</f>
        <v>$ls</v>
      </c>
      <c r="D658" s="2" t="str">
        <f>IFERROR(__xludf.DUMMYFUNCTION("IF(AND(B658=""$cd"",C658&lt;&gt;""..""),CONCATENATE(D657,""/"",C658),IF(C658="".."",MID(D657,1,LEN(D657)-LEN(REGEXEXTRACT(D657,""(/\w*)$""))),D657))"),"//snwqjgj/zldscsc/prdfldrf")</f>
        <v>//snwqjgj/zldscsc/prdfldrf</v>
      </c>
      <c r="K658" s="2"/>
    </row>
    <row r="659">
      <c r="A659" s="1" t="s">
        <v>383</v>
      </c>
      <c r="B659" s="2">
        <f>IFERROR(__xludf.DUMMYFUNCTION("SPLIT(A659,"" "")"),213872.0)</f>
        <v>213872</v>
      </c>
      <c r="C659" s="2" t="str">
        <f>IFERROR(__xludf.DUMMYFUNCTION("""COMPUTED_VALUE"""),"ftw")</f>
        <v>ftw</v>
      </c>
      <c r="D659" s="2" t="str">
        <f>IFERROR(__xludf.DUMMYFUNCTION("IF(AND(B659=""$cd"",C659&lt;&gt;""..""),CONCATENATE(D658,""/"",C659),IF(C659="".."",MID(D658,1,LEN(D658)-LEN(REGEXEXTRACT(D658,""(/\w*)$""))),D658))"),"//snwqjgj/zldscsc/prdfldrf")</f>
        <v>//snwqjgj/zldscsc/prdfldrf</v>
      </c>
      <c r="K659" s="2"/>
    </row>
    <row r="660">
      <c r="A660" s="1" t="s">
        <v>612</v>
      </c>
      <c r="B660" s="2" t="str">
        <f>IFERROR(__xludf.DUMMYFUNCTION("SPLIT(A660,"" "")"),"$cd")</f>
        <v>$cd</v>
      </c>
      <c r="C660" s="2" t="str">
        <f>IFERROR(__xludf.DUMMYFUNCTION("""COMPUTED_VALUE"""),"..")</f>
        <v>..</v>
      </c>
      <c r="D660" s="2" t="str">
        <f>IFERROR(__xludf.DUMMYFUNCTION("IF(AND(B660=""$cd"",C660&lt;&gt;""..""),CONCATENATE(D659,""/"",C660),IF(C660="".."",MID(D659,1,LEN(D659)-LEN(REGEXEXTRACT(D659,""(/\w*)$""))),D659))"),"//snwqjgj/zldscsc")</f>
        <v>//snwqjgj/zldscsc</v>
      </c>
      <c r="K660" s="2"/>
    </row>
    <row r="661">
      <c r="A661" s="1" t="s">
        <v>708</v>
      </c>
      <c r="B661" s="2" t="str">
        <f>IFERROR(__xludf.DUMMYFUNCTION("SPLIT(A661,"" "")"),"$cd")</f>
        <v>$cd</v>
      </c>
      <c r="C661" s="2" t="str">
        <f>IFERROR(__xludf.DUMMYFUNCTION("""COMPUTED_VALUE"""),"sgpdqw")</f>
        <v>sgpdqw</v>
      </c>
      <c r="D661" s="2" t="str">
        <f>IFERROR(__xludf.DUMMYFUNCTION("IF(AND(B661=""$cd"",C661&lt;&gt;""..""),CONCATENATE(D660,""/"",C661),IF(C661="".."",MID(D660,1,LEN(D660)-LEN(REGEXEXTRACT(D660,""(/\w*)$""))),D660))"),"//snwqjgj/zldscsc/sgpdqw")</f>
        <v>//snwqjgj/zldscsc/sgpdqw</v>
      </c>
      <c r="K661" s="2"/>
    </row>
    <row r="662">
      <c r="A662" s="1" t="s">
        <v>609</v>
      </c>
      <c r="B662" s="2" t="str">
        <f>IFERROR(__xludf.DUMMYFUNCTION("SPLIT(A662,"" "")"),"$ls")</f>
        <v>$ls</v>
      </c>
      <c r="D662" s="2" t="str">
        <f>IFERROR(__xludf.DUMMYFUNCTION("IF(AND(B662=""$cd"",C662&lt;&gt;""..""),CONCATENATE(D661,""/"",C662),IF(C662="".."",MID(D661,1,LEN(D661)-LEN(REGEXEXTRACT(D661,""(/\w*)$""))),D661))"),"//snwqjgj/zldscsc/sgpdqw")</f>
        <v>//snwqjgj/zldscsc/sgpdqw</v>
      </c>
      <c r="K662" s="2"/>
    </row>
    <row r="663">
      <c r="A663" s="1" t="s">
        <v>385</v>
      </c>
      <c r="B663" s="2">
        <f>IFERROR(__xludf.DUMMYFUNCTION("SPLIT(A663,"" "")"),205684.0)</f>
        <v>205684</v>
      </c>
      <c r="C663" s="2" t="str">
        <f>IFERROR(__xludf.DUMMYFUNCTION("""COMPUTED_VALUE"""),"whrfvw.dph")</f>
        <v>whrfvw.dph</v>
      </c>
      <c r="D663" s="2" t="str">
        <f>IFERROR(__xludf.DUMMYFUNCTION("IF(AND(B663=""$cd"",C663&lt;&gt;""..""),CONCATENATE(D662,""/"",C663),IF(C663="".."",MID(D662,1,LEN(D662)-LEN(REGEXEXTRACT(D662,""(/\w*)$""))),D662))"),"//snwqjgj/zldscsc/sgpdqw")</f>
        <v>//snwqjgj/zldscsc/sgpdqw</v>
      </c>
      <c r="K663" s="2"/>
    </row>
    <row r="664">
      <c r="A664" s="1" t="s">
        <v>612</v>
      </c>
      <c r="B664" s="2" t="str">
        <f>IFERROR(__xludf.DUMMYFUNCTION("SPLIT(A664,"" "")"),"$cd")</f>
        <v>$cd</v>
      </c>
      <c r="C664" s="2" t="str">
        <f>IFERROR(__xludf.DUMMYFUNCTION("""COMPUTED_VALUE"""),"..")</f>
        <v>..</v>
      </c>
      <c r="D664" s="2" t="str">
        <f>IFERROR(__xludf.DUMMYFUNCTION("IF(AND(B664=""$cd"",C664&lt;&gt;""..""),CONCATENATE(D663,""/"",C664),IF(C664="".."",MID(D663,1,LEN(D663)-LEN(REGEXEXTRACT(D663,""(/\w*)$""))),D663))"),"//snwqjgj/zldscsc")</f>
        <v>//snwqjgj/zldscsc</v>
      </c>
      <c r="K664" s="2"/>
    </row>
    <row r="665">
      <c r="A665" s="1" t="s">
        <v>709</v>
      </c>
      <c r="B665" s="2" t="str">
        <f>IFERROR(__xludf.DUMMYFUNCTION("SPLIT(A665,"" "")"),"$cd")</f>
        <v>$cd</v>
      </c>
      <c r="C665" s="2" t="str">
        <f>IFERROR(__xludf.DUMMYFUNCTION("""COMPUTED_VALUE"""),"wjdpws")</f>
        <v>wjdpws</v>
      </c>
      <c r="D665" s="2" t="str">
        <f>IFERROR(__xludf.DUMMYFUNCTION("IF(AND(B665=""$cd"",C665&lt;&gt;""..""),CONCATENATE(D664,""/"",C665),IF(C665="".."",MID(D664,1,LEN(D664)-LEN(REGEXEXTRACT(D664,""(/\w*)$""))),D664))"),"//snwqjgj/zldscsc/wjdpws")</f>
        <v>//snwqjgj/zldscsc/wjdpws</v>
      </c>
      <c r="K665" s="2"/>
    </row>
    <row r="666">
      <c r="A666" s="1" t="s">
        <v>609</v>
      </c>
      <c r="B666" s="2" t="str">
        <f>IFERROR(__xludf.DUMMYFUNCTION("SPLIT(A666,"" "")"),"$ls")</f>
        <v>$ls</v>
      </c>
      <c r="D666" s="2" t="str">
        <f>IFERROR(__xludf.DUMMYFUNCTION("IF(AND(B666=""$cd"",C666&lt;&gt;""..""),CONCATENATE(D665,""/"",C666),IF(C666="".."",MID(D665,1,LEN(D665)-LEN(REGEXEXTRACT(D665,""(/\w*)$""))),D665))"),"//snwqjgj/zldscsc/wjdpws")</f>
        <v>//snwqjgj/zldscsc/wjdpws</v>
      </c>
      <c r="K666" s="2"/>
    </row>
    <row r="667">
      <c r="A667" s="1" t="s">
        <v>50</v>
      </c>
      <c r="B667" s="2" t="str">
        <f>IFERROR(__xludf.DUMMYFUNCTION("SPLIT(A667,"" "")"),"dir")</f>
        <v>dir</v>
      </c>
      <c r="C667" s="2" t="str">
        <f>IFERROR(__xludf.DUMMYFUNCTION("""COMPUTED_VALUE"""),"hlvpfw")</f>
        <v>hlvpfw</v>
      </c>
      <c r="D667" s="2" t="str">
        <f>IFERROR(__xludf.DUMMYFUNCTION("IF(AND(B667=""$cd"",C667&lt;&gt;""..""),CONCATENATE(D666,""/"",C667),IF(C667="".."",MID(D666,1,LEN(D666)-LEN(REGEXEXTRACT(D666,""(/\w*)$""))),D666))"),"//snwqjgj/zldscsc/wjdpws")</f>
        <v>//snwqjgj/zldscsc/wjdpws</v>
      </c>
      <c r="K667" s="2"/>
    </row>
    <row r="668">
      <c r="A668" s="1" t="s">
        <v>622</v>
      </c>
      <c r="B668" s="2" t="str">
        <f>IFERROR(__xludf.DUMMYFUNCTION("SPLIT(A668,"" "")"),"$cd")</f>
        <v>$cd</v>
      </c>
      <c r="C668" s="2" t="str">
        <f>IFERROR(__xludf.DUMMYFUNCTION("""COMPUTED_VALUE"""),"hlvpfw")</f>
        <v>hlvpfw</v>
      </c>
      <c r="D668" s="2" t="str">
        <f>IFERROR(__xludf.DUMMYFUNCTION("IF(AND(B668=""$cd"",C668&lt;&gt;""..""),CONCATENATE(D667,""/"",C668),IF(C668="".."",MID(D667,1,LEN(D667)-LEN(REGEXEXTRACT(D667,""(/\w*)$""))),D667))"),"//snwqjgj/zldscsc/wjdpws/hlvpfw")</f>
        <v>//snwqjgj/zldscsc/wjdpws/hlvpfw</v>
      </c>
      <c r="K668" s="2"/>
    </row>
    <row r="669">
      <c r="A669" s="1" t="s">
        <v>609</v>
      </c>
      <c r="B669" s="2" t="str">
        <f>IFERROR(__xludf.DUMMYFUNCTION("SPLIT(A669,"" "")"),"$ls")</f>
        <v>$ls</v>
      </c>
      <c r="D669" s="2" t="str">
        <f>IFERROR(__xludf.DUMMYFUNCTION("IF(AND(B669=""$cd"",C669&lt;&gt;""..""),CONCATENATE(D668,""/"",C669),IF(C669="".."",MID(D668,1,LEN(D668)-LEN(REGEXEXTRACT(D668,""(/\w*)$""))),D668))"),"//snwqjgj/zldscsc/wjdpws/hlvpfw")</f>
        <v>//snwqjgj/zldscsc/wjdpws/hlvpfw</v>
      </c>
      <c r="K669" s="2"/>
    </row>
    <row r="670">
      <c r="A670" s="1" t="s">
        <v>387</v>
      </c>
      <c r="B670" s="2">
        <f>IFERROR(__xludf.DUMMYFUNCTION("SPLIT(A670,"" "")"),324522.0)</f>
        <v>324522</v>
      </c>
      <c r="C670" s="2" t="str">
        <f>IFERROR(__xludf.DUMMYFUNCTION("""COMPUTED_VALUE"""),"zbdp.gqb")</f>
        <v>zbdp.gqb</v>
      </c>
      <c r="D670" s="2" t="str">
        <f>IFERROR(__xludf.DUMMYFUNCTION("IF(AND(B670=""$cd"",C670&lt;&gt;""..""),CONCATENATE(D669,""/"",C670),IF(C670="".."",MID(D669,1,LEN(D669)-LEN(REGEXEXTRACT(D669,""(/\w*)$""))),D669))"),"//snwqjgj/zldscsc/wjdpws/hlvpfw")</f>
        <v>//snwqjgj/zldscsc/wjdpws/hlvpfw</v>
      </c>
      <c r="K670" s="2"/>
    </row>
    <row r="671">
      <c r="A671" s="1" t="s">
        <v>612</v>
      </c>
      <c r="B671" s="2" t="str">
        <f>IFERROR(__xludf.DUMMYFUNCTION("SPLIT(A671,"" "")"),"$cd")</f>
        <v>$cd</v>
      </c>
      <c r="C671" s="2" t="str">
        <f>IFERROR(__xludf.DUMMYFUNCTION("""COMPUTED_VALUE"""),"..")</f>
        <v>..</v>
      </c>
      <c r="D671" s="2" t="str">
        <f>IFERROR(__xludf.DUMMYFUNCTION("IF(AND(B671=""$cd"",C671&lt;&gt;""..""),CONCATENATE(D670,""/"",C671),IF(C671="".."",MID(D670,1,LEN(D670)-LEN(REGEXEXTRACT(D670,""(/\w*)$""))),D670))"),"//snwqjgj/zldscsc/wjdpws")</f>
        <v>//snwqjgj/zldscsc/wjdpws</v>
      </c>
      <c r="K671" s="2"/>
    </row>
    <row r="672">
      <c r="A672" s="1" t="s">
        <v>612</v>
      </c>
      <c r="B672" s="2" t="str">
        <f>IFERROR(__xludf.DUMMYFUNCTION("SPLIT(A672,"" "")"),"$cd")</f>
        <v>$cd</v>
      </c>
      <c r="C672" s="2" t="str">
        <f>IFERROR(__xludf.DUMMYFUNCTION("""COMPUTED_VALUE"""),"..")</f>
        <v>..</v>
      </c>
      <c r="D672" s="2" t="str">
        <f>IFERROR(__xludf.DUMMYFUNCTION("IF(AND(B672=""$cd"",C672&lt;&gt;""..""),CONCATENATE(D671,""/"",C672),IF(C672="".."",MID(D671,1,LEN(D671)-LEN(REGEXEXTRACT(D671,""(/\w*)$""))),D671))"),"//snwqjgj/zldscsc")</f>
        <v>//snwqjgj/zldscsc</v>
      </c>
      <c r="K672" s="2"/>
    </row>
    <row r="673">
      <c r="A673" s="1" t="s">
        <v>612</v>
      </c>
      <c r="B673" s="2" t="str">
        <f>IFERROR(__xludf.DUMMYFUNCTION("SPLIT(A673,"" "")"),"$cd")</f>
        <v>$cd</v>
      </c>
      <c r="C673" s="2" t="str">
        <f>IFERROR(__xludf.DUMMYFUNCTION("""COMPUTED_VALUE"""),"..")</f>
        <v>..</v>
      </c>
      <c r="D673" s="2" t="str">
        <f>IFERROR(__xludf.DUMMYFUNCTION("IF(AND(B673=""$cd"",C673&lt;&gt;""..""),CONCATENATE(D672,""/"",C673),IF(C673="".."",MID(D672,1,LEN(D672)-LEN(REGEXEXTRACT(D672,""(/\w*)$""))),D672))"),"//snwqjgj")</f>
        <v>//snwqjgj</v>
      </c>
      <c r="K673" s="2"/>
    </row>
    <row r="674">
      <c r="A674" s="1" t="s">
        <v>612</v>
      </c>
      <c r="B674" s="2" t="str">
        <f>IFERROR(__xludf.DUMMYFUNCTION("SPLIT(A674,"" "")"),"$cd")</f>
        <v>$cd</v>
      </c>
      <c r="C674" s="2" t="str">
        <f>IFERROR(__xludf.DUMMYFUNCTION("""COMPUTED_VALUE"""),"..")</f>
        <v>..</v>
      </c>
      <c r="D674" s="2" t="str">
        <f>IFERROR(__xludf.DUMMYFUNCTION("IF(AND(B674=""$cd"",C674&lt;&gt;""..""),CONCATENATE(D673,""/"",C674),IF(C674="".."",MID(D673,1,LEN(D673)-LEN(REGEXEXTRACT(D673,""(/\w*)$""))),D673))"),"/")</f>
        <v>/</v>
      </c>
      <c r="K674" s="2"/>
    </row>
    <row r="675">
      <c r="A675" s="1" t="s">
        <v>710</v>
      </c>
      <c r="B675" s="2" t="str">
        <f>IFERROR(__xludf.DUMMYFUNCTION("SPLIT(A675,"" "")"),"$cd")</f>
        <v>$cd</v>
      </c>
      <c r="C675" s="2" t="str">
        <f>IFERROR(__xludf.DUMMYFUNCTION("""COMPUTED_VALUE"""),"zddrb")</f>
        <v>zddrb</v>
      </c>
      <c r="D675" s="2" t="str">
        <f>IFERROR(__xludf.DUMMYFUNCTION("IF(AND(B675=""$cd"",C675&lt;&gt;""..""),CONCATENATE(D674,""/"",C675),IF(C675="".."",MID(D674,1,LEN(D674)-LEN(REGEXEXTRACT(D674,""(/\w*)$""))),D674))"),"//zddrb")</f>
        <v>//zddrb</v>
      </c>
      <c r="K675" s="2"/>
    </row>
    <row r="676">
      <c r="A676" s="1" t="s">
        <v>609</v>
      </c>
      <c r="B676" s="2" t="str">
        <f>IFERROR(__xludf.DUMMYFUNCTION("SPLIT(A676,"" "")"),"$ls")</f>
        <v>$ls</v>
      </c>
      <c r="D676" s="2" t="str">
        <f>IFERROR(__xludf.DUMMYFUNCTION("IF(AND(B676=""$cd"",C676&lt;&gt;""..""),CONCATENATE(D675,""/"",C676),IF(C676="".."",MID(D675,1,LEN(D675)-LEN(REGEXEXTRACT(D675,""(/\w*)$""))),D675))"),"//zddrb")</f>
        <v>//zddrb</v>
      </c>
      <c r="K676" s="2"/>
    </row>
    <row r="677">
      <c r="A677" s="1" t="s">
        <v>389</v>
      </c>
      <c r="B677" s="2">
        <f>IFERROR(__xludf.DUMMYFUNCTION("SPLIT(A677,"" "")"),238213.0)</f>
        <v>238213</v>
      </c>
      <c r="C677" s="2" t="str">
        <f>IFERROR(__xludf.DUMMYFUNCTION("""COMPUTED_VALUE"""),"dhrdjfzl.npj")</f>
        <v>dhrdjfzl.npj</v>
      </c>
      <c r="D677" s="2" t="str">
        <f>IFERROR(__xludf.DUMMYFUNCTION("IF(AND(B677=""$cd"",C677&lt;&gt;""..""),CONCATENATE(D676,""/"",C677),IF(C677="".."",MID(D676,1,LEN(D676)-LEN(REGEXEXTRACT(D676,""(/\w*)$""))),D676))"),"//zddrb")</f>
        <v>//zddrb</v>
      </c>
      <c r="K677" s="2"/>
    </row>
    <row r="678">
      <c r="A678" s="1" t="s">
        <v>390</v>
      </c>
      <c r="B678" s="2">
        <f>IFERROR(__xludf.DUMMYFUNCTION("SPLIT(A678,"" "")"),28938.0)</f>
        <v>28938</v>
      </c>
      <c r="C678" s="2" t="str">
        <f>IFERROR(__xludf.DUMMYFUNCTION("""COMPUTED_VALUE"""),"hlvpfw")</f>
        <v>hlvpfw</v>
      </c>
      <c r="D678" s="2" t="str">
        <f>IFERROR(__xludf.DUMMYFUNCTION("IF(AND(B678=""$cd"",C678&lt;&gt;""..""),CONCATENATE(D677,""/"",C678),IF(C678="".."",MID(D677,1,LEN(D677)-LEN(REGEXEXTRACT(D677,""(/\w*)$""))),D677))"),"//zddrb")</f>
        <v>//zddrb</v>
      </c>
      <c r="K678" s="2"/>
    </row>
    <row r="679">
      <c r="A679" s="1" t="s">
        <v>391</v>
      </c>
      <c r="B679" s="2">
        <f>IFERROR(__xludf.DUMMYFUNCTION("SPLIT(A679,"" "")"),313900.0)</f>
        <v>313900</v>
      </c>
      <c r="C679" s="2" t="str">
        <f>IFERROR(__xludf.DUMMYFUNCTION("""COMPUTED_VALUE"""),"hlvpfw.bwd")</f>
        <v>hlvpfw.bwd</v>
      </c>
      <c r="D679" s="2" t="str">
        <f>IFERROR(__xludf.DUMMYFUNCTION("IF(AND(B679=""$cd"",C679&lt;&gt;""..""),CONCATENATE(D678,""/"",C679),IF(C679="".."",MID(D678,1,LEN(D678)-LEN(REGEXEXTRACT(D678,""(/\w*)$""))),D678))"),"//zddrb")</f>
        <v>//zddrb</v>
      </c>
      <c r="K679" s="2"/>
    </row>
    <row r="680">
      <c r="A680" s="1" t="s">
        <v>392</v>
      </c>
      <c r="B680" s="2" t="str">
        <f>IFERROR(__xludf.DUMMYFUNCTION("SPLIT(A680,"" "")"),"dir")</f>
        <v>dir</v>
      </c>
      <c r="C680" s="2" t="str">
        <f>IFERROR(__xludf.DUMMYFUNCTION("""COMPUTED_VALUE"""),"pgbgpn")</f>
        <v>pgbgpn</v>
      </c>
      <c r="D680" s="2" t="str">
        <f>IFERROR(__xludf.DUMMYFUNCTION("IF(AND(B680=""$cd"",C680&lt;&gt;""..""),CONCATENATE(D679,""/"",C680),IF(C680="".."",MID(D679,1,LEN(D679)-LEN(REGEXEXTRACT(D679,""(/\w*)$""))),D679))"),"//zddrb")</f>
        <v>//zddrb</v>
      </c>
      <c r="K680" s="2"/>
    </row>
    <row r="681">
      <c r="A681" s="1" t="s">
        <v>393</v>
      </c>
      <c r="B681" s="2">
        <f>IFERROR(__xludf.DUMMYFUNCTION("SPLIT(A681,"" "")"),132967.0)</f>
        <v>132967</v>
      </c>
      <c r="C681" s="2" t="str">
        <f>IFERROR(__xludf.DUMMYFUNCTION("""COMPUTED_VALUE"""),"rrhsr")</f>
        <v>rrhsr</v>
      </c>
      <c r="D681" s="2" t="str">
        <f>IFERROR(__xludf.DUMMYFUNCTION("IF(AND(B681=""$cd"",C681&lt;&gt;""..""),CONCATENATE(D680,""/"",C681),IF(C681="".."",MID(D680,1,LEN(D680)-LEN(REGEXEXTRACT(D680,""(/\w*)$""))),D680))"),"//zddrb")</f>
        <v>//zddrb</v>
      </c>
      <c r="K681" s="2"/>
    </row>
    <row r="682">
      <c r="A682" s="1" t="s">
        <v>39</v>
      </c>
      <c r="B682" s="2" t="str">
        <f>IFERROR(__xludf.DUMMYFUNCTION("SPLIT(A682,"" "")"),"dir")</f>
        <v>dir</v>
      </c>
      <c r="C682" s="2" t="str">
        <f>IFERROR(__xludf.DUMMYFUNCTION("""COMPUTED_VALUE"""),"slzdbm")</f>
        <v>slzdbm</v>
      </c>
      <c r="D682" s="2" t="str">
        <f>IFERROR(__xludf.DUMMYFUNCTION("IF(AND(B682=""$cd"",C682&lt;&gt;""..""),CONCATENATE(D681,""/"",C682),IF(C682="".."",MID(D681,1,LEN(D681)-LEN(REGEXEXTRACT(D681,""(/\w*)$""))),D681))"),"//zddrb")</f>
        <v>//zddrb</v>
      </c>
      <c r="K682" s="2"/>
    </row>
    <row r="683">
      <c r="A683" s="1" t="s">
        <v>394</v>
      </c>
      <c r="B683" s="2">
        <f>IFERROR(__xludf.DUMMYFUNCTION("SPLIT(A683,"" "")"),142210.0)</f>
        <v>142210</v>
      </c>
      <c r="C683" s="2" t="str">
        <f>IFERROR(__xludf.DUMMYFUNCTION("""COMPUTED_VALUE"""),"wlvpwjjz")</f>
        <v>wlvpwjjz</v>
      </c>
      <c r="D683" s="2" t="str">
        <f>IFERROR(__xludf.DUMMYFUNCTION("IF(AND(B683=""$cd"",C683&lt;&gt;""..""),CONCATENATE(D682,""/"",C683),IF(C683="".."",MID(D682,1,LEN(D682)-LEN(REGEXEXTRACT(D682,""(/\w*)$""))),D682))"),"//zddrb")</f>
        <v>//zddrb</v>
      </c>
      <c r="K683" s="2"/>
    </row>
    <row r="684">
      <c r="A684" s="1" t="s">
        <v>395</v>
      </c>
      <c r="B684" s="2" t="str">
        <f>IFERROR(__xludf.DUMMYFUNCTION("SPLIT(A684,"" "")"),"dir")</f>
        <v>dir</v>
      </c>
      <c r="C684" s="2" t="str">
        <f>IFERROR(__xludf.DUMMYFUNCTION("""COMPUTED_VALUE"""),"zdhcp")</f>
        <v>zdhcp</v>
      </c>
      <c r="D684" s="2" t="str">
        <f>IFERROR(__xludf.DUMMYFUNCTION("IF(AND(B684=""$cd"",C684&lt;&gt;""..""),CONCATENATE(D683,""/"",C684),IF(C684="".."",MID(D683,1,LEN(D683)-LEN(REGEXEXTRACT(D683,""(/\w*)$""))),D683))"),"//zddrb")</f>
        <v>//zddrb</v>
      </c>
      <c r="K684" s="2"/>
    </row>
    <row r="685">
      <c r="A685" s="1" t="s">
        <v>711</v>
      </c>
      <c r="B685" s="2" t="str">
        <f>IFERROR(__xludf.DUMMYFUNCTION("SPLIT(A685,"" "")"),"$cd")</f>
        <v>$cd</v>
      </c>
      <c r="C685" s="2" t="str">
        <f>IFERROR(__xludf.DUMMYFUNCTION("""COMPUTED_VALUE"""),"pgbgpn")</f>
        <v>pgbgpn</v>
      </c>
      <c r="D685" s="2" t="str">
        <f>IFERROR(__xludf.DUMMYFUNCTION("IF(AND(B685=""$cd"",C685&lt;&gt;""..""),CONCATENATE(D684,""/"",C685),IF(C685="".."",MID(D684,1,LEN(D684)-LEN(REGEXEXTRACT(D684,""(/\w*)$""))),D684))"),"//zddrb/pgbgpn")</f>
        <v>//zddrb/pgbgpn</v>
      </c>
      <c r="K685" s="2"/>
    </row>
    <row r="686">
      <c r="A686" s="1" t="s">
        <v>609</v>
      </c>
      <c r="B686" s="2" t="str">
        <f>IFERROR(__xludf.DUMMYFUNCTION("SPLIT(A686,"" "")"),"$ls")</f>
        <v>$ls</v>
      </c>
      <c r="D686" s="2" t="str">
        <f>IFERROR(__xludf.DUMMYFUNCTION("IF(AND(B686=""$cd"",C686&lt;&gt;""..""),CONCATENATE(D685,""/"",C686),IF(C686="".."",MID(D685,1,LEN(D685)-LEN(REGEXEXTRACT(D685,""(/\w*)$""))),D685))"),"//zddrb/pgbgpn")</f>
        <v>//zddrb/pgbgpn</v>
      </c>
      <c r="K686" s="2"/>
    </row>
    <row r="687">
      <c r="A687" s="1" t="s">
        <v>397</v>
      </c>
      <c r="B687" s="2" t="str">
        <f>IFERROR(__xludf.DUMMYFUNCTION("SPLIT(A687,"" "")"),"dir")</f>
        <v>dir</v>
      </c>
      <c r="C687" s="2" t="str">
        <f>IFERROR(__xludf.DUMMYFUNCTION("""COMPUTED_VALUE"""),"jpmvrvt")</f>
        <v>jpmvrvt</v>
      </c>
      <c r="D687" s="2" t="str">
        <f>IFERROR(__xludf.DUMMYFUNCTION("IF(AND(B687=""$cd"",C687&lt;&gt;""..""),CONCATENATE(D686,""/"",C687),IF(C687="".."",MID(D686,1,LEN(D686)-LEN(REGEXEXTRACT(D686,""(/\w*)$""))),D686))"),"//zddrb/pgbgpn")</f>
        <v>//zddrb/pgbgpn</v>
      </c>
      <c r="K687" s="2"/>
    </row>
    <row r="688">
      <c r="A688" s="1" t="s">
        <v>398</v>
      </c>
      <c r="B688" s="2">
        <f>IFERROR(__xludf.DUMMYFUNCTION("SPLIT(A688,"" "")"),154268.0)</f>
        <v>154268</v>
      </c>
      <c r="C688" s="2" t="str">
        <f>IFERROR(__xludf.DUMMYFUNCTION("""COMPUTED_VALUE"""),"mpq.cdn")</f>
        <v>mpq.cdn</v>
      </c>
      <c r="D688" s="2" t="str">
        <f>IFERROR(__xludf.DUMMYFUNCTION("IF(AND(B688=""$cd"",C688&lt;&gt;""..""),CONCATENATE(D687,""/"",C688),IF(C688="".."",MID(D687,1,LEN(D687)-LEN(REGEXEXTRACT(D687,""(/\w*)$""))),D687))"),"//zddrb/pgbgpn")</f>
        <v>//zddrb/pgbgpn</v>
      </c>
      <c r="K688" s="2"/>
    </row>
    <row r="689">
      <c r="A689" s="1" t="s">
        <v>128</v>
      </c>
      <c r="B689" s="2" t="str">
        <f>IFERROR(__xludf.DUMMYFUNCTION("SPLIT(A689,"" "")"),"dir")</f>
        <v>dir</v>
      </c>
      <c r="C689" s="2" t="str">
        <f>IFERROR(__xludf.DUMMYFUNCTION("""COMPUTED_VALUE"""),"mzsfcvgv")</f>
        <v>mzsfcvgv</v>
      </c>
      <c r="D689" s="2" t="str">
        <f>IFERROR(__xludf.DUMMYFUNCTION("IF(AND(B689=""$cd"",C689&lt;&gt;""..""),CONCATENATE(D688,""/"",C689),IF(C689="".."",MID(D688,1,LEN(D688)-LEN(REGEXEXTRACT(D688,""(/\w*)$""))),D688))"),"//zddrb/pgbgpn")</f>
        <v>//zddrb/pgbgpn</v>
      </c>
      <c r="K689" s="2"/>
    </row>
    <row r="690">
      <c r="A690" s="1" t="s">
        <v>399</v>
      </c>
      <c r="B690" s="2" t="str">
        <f>IFERROR(__xludf.DUMMYFUNCTION("SPLIT(A690,"" "")"),"dir")</f>
        <v>dir</v>
      </c>
      <c r="C690" s="2" t="str">
        <f>IFERROR(__xludf.DUMMYFUNCTION("""COMPUTED_VALUE"""),"vvmwgngv")</f>
        <v>vvmwgngv</v>
      </c>
      <c r="D690" s="2" t="str">
        <f>IFERROR(__xludf.DUMMYFUNCTION("IF(AND(B690=""$cd"",C690&lt;&gt;""..""),CONCATENATE(D689,""/"",C690),IF(C690="".."",MID(D689,1,LEN(D689)-LEN(REGEXEXTRACT(D689,""(/\w*)$""))),D689))"),"//zddrb/pgbgpn")</f>
        <v>//zddrb/pgbgpn</v>
      </c>
      <c r="K690" s="2"/>
    </row>
    <row r="691">
      <c r="A691" s="1" t="s">
        <v>712</v>
      </c>
      <c r="B691" s="2" t="str">
        <f>IFERROR(__xludf.DUMMYFUNCTION("SPLIT(A691,"" "")"),"$cd")</f>
        <v>$cd</v>
      </c>
      <c r="C691" s="2" t="str">
        <f>IFERROR(__xludf.DUMMYFUNCTION("""COMPUTED_VALUE"""),"jpmvrvt")</f>
        <v>jpmvrvt</v>
      </c>
      <c r="D691" s="2" t="str">
        <f>IFERROR(__xludf.DUMMYFUNCTION("IF(AND(B691=""$cd"",C691&lt;&gt;""..""),CONCATENATE(D690,""/"",C691),IF(C691="".."",MID(D690,1,LEN(D690)-LEN(REGEXEXTRACT(D690,""(/\w*)$""))),D690))"),"//zddrb/pgbgpn/jpmvrvt")</f>
        <v>//zddrb/pgbgpn/jpmvrvt</v>
      </c>
      <c r="K691" s="2"/>
    </row>
    <row r="692">
      <c r="A692" s="1" t="s">
        <v>609</v>
      </c>
      <c r="B692" s="2" t="str">
        <f>IFERROR(__xludf.DUMMYFUNCTION("SPLIT(A692,"" "")"),"$ls")</f>
        <v>$ls</v>
      </c>
      <c r="D692" s="2" t="str">
        <f>IFERROR(__xludf.DUMMYFUNCTION("IF(AND(B692=""$cd"",C692&lt;&gt;""..""),CONCATENATE(D691,""/"",C692),IF(C692="".."",MID(D691,1,LEN(D691)-LEN(REGEXEXTRACT(D691,""(/\w*)$""))),D691))"),"//zddrb/pgbgpn/jpmvrvt")</f>
        <v>//zddrb/pgbgpn/jpmvrvt</v>
      </c>
      <c r="K692" s="2"/>
    </row>
    <row r="693">
      <c r="A693" s="1" t="s">
        <v>401</v>
      </c>
      <c r="B693" s="2">
        <f>IFERROR(__xludf.DUMMYFUNCTION("SPLIT(A693,"" "")"),150157.0)</f>
        <v>150157</v>
      </c>
      <c r="C693" s="2" t="str">
        <f>IFERROR(__xludf.DUMMYFUNCTION("""COMPUTED_VALUE"""),"ghcvqm")</f>
        <v>ghcvqm</v>
      </c>
      <c r="D693" s="2" t="str">
        <f>IFERROR(__xludf.DUMMYFUNCTION("IF(AND(B693=""$cd"",C693&lt;&gt;""..""),CONCATENATE(D692,""/"",C693),IF(C693="".."",MID(D692,1,LEN(D692)-LEN(REGEXEXTRACT(D692,""(/\w*)$""))),D692))"),"//zddrb/pgbgpn/jpmvrvt")</f>
        <v>//zddrb/pgbgpn/jpmvrvt</v>
      </c>
      <c r="K693" s="2"/>
    </row>
    <row r="694">
      <c r="A694" s="1" t="s">
        <v>612</v>
      </c>
      <c r="B694" s="2" t="str">
        <f>IFERROR(__xludf.DUMMYFUNCTION("SPLIT(A694,"" "")"),"$cd")</f>
        <v>$cd</v>
      </c>
      <c r="C694" s="2" t="str">
        <f>IFERROR(__xludf.DUMMYFUNCTION("""COMPUTED_VALUE"""),"..")</f>
        <v>..</v>
      </c>
      <c r="D694" s="2" t="str">
        <f>IFERROR(__xludf.DUMMYFUNCTION("IF(AND(B694=""$cd"",C694&lt;&gt;""..""),CONCATENATE(D693,""/"",C694),IF(C694="".."",MID(D693,1,LEN(D693)-LEN(REGEXEXTRACT(D693,""(/\w*)$""))),D693))"),"//zddrb/pgbgpn")</f>
        <v>//zddrb/pgbgpn</v>
      </c>
      <c r="K694" s="2"/>
    </row>
    <row r="695">
      <c r="A695" s="1" t="s">
        <v>643</v>
      </c>
      <c r="B695" s="2" t="str">
        <f>IFERROR(__xludf.DUMMYFUNCTION("SPLIT(A695,"" "")"),"$cd")</f>
        <v>$cd</v>
      </c>
      <c r="C695" s="2" t="str">
        <f>IFERROR(__xludf.DUMMYFUNCTION("""COMPUTED_VALUE"""),"mzsfcvgv")</f>
        <v>mzsfcvgv</v>
      </c>
      <c r="D695" s="2" t="str">
        <f>IFERROR(__xludf.DUMMYFUNCTION("IF(AND(B695=""$cd"",C695&lt;&gt;""..""),CONCATENATE(D694,""/"",C695),IF(C695="".."",MID(D694,1,LEN(D694)-LEN(REGEXEXTRACT(D694,""(/\w*)$""))),D694))"),"//zddrb/pgbgpn/mzsfcvgv")</f>
        <v>//zddrb/pgbgpn/mzsfcvgv</v>
      </c>
      <c r="K695" s="2"/>
    </row>
    <row r="696">
      <c r="A696" s="1" t="s">
        <v>609</v>
      </c>
      <c r="B696" s="2" t="str">
        <f>IFERROR(__xludf.DUMMYFUNCTION("SPLIT(A696,"" "")"),"$ls")</f>
        <v>$ls</v>
      </c>
      <c r="D696" s="2" t="str">
        <f>IFERROR(__xludf.DUMMYFUNCTION("IF(AND(B696=""$cd"",C696&lt;&gt;""..""),CONCATENATE(D695,""/"",C696),IF(C696="".."",MID(D695,1,LEN(D695)-LEN(REGEXEXTRACT(D695,""(/\w*)$""))),D695))"),"//zddrb/pgbgpn/mzsfcvgv")</f>
        <v>//zddrb/pgbgpn/mzsfcvgv</v>
      </c>
      <c r="K696" s="2"/>
    </row>
    <row r="697">
      <c r="A697" s="1" t="s">
        <v>402</v>
      </c>
      <c r="B697" s="2">
        <f>IFERROR(__xludf.DUMMYFUNCTION("SPLIT(A697,"" "")"),93810.0)</f>
        <v>93810</v>
      </c>
      <c r="C697" s="2" t="str">
        <f>IFERROR(__xludf.DUMMYFUNCTION("""COMPUTED_VALUE"""),"mjglpwbc.tvt")</f>
        <v>mjglpwbc.tvt</v>
      </c>
      <c r="D697" s="2" t="str">
        <f>IFERROR(__xludf.DUMMYFUNCTION("IF(AND(B697=""$cd"",C697&lt;&gt;""..""),CONCATENATE(D696,""/"",C697),IF(C697="".."",MID(D696,1,LEN(D696)-LEN(REGEXEXTRACT(D696,""(/\w*)$""))),D696))"),"//zddrb/pgbgpn/mzsfcvgv")</f>
        <v>//zddrb/pgbgpn/mzsfcvgv</v>
      </c>
      <c r="K697" s="2"/>
    </row>
    <row r="698">
      <c r="A698" s="1" t="s">
        <v>39</v>
      </c>
      <c r="B698" s="2" t="str">
        <f>IFERROR(__xludf.DUMMYFUNCTION("SPLIT(A698,"" "")"),"dir")</f>
        <v>dir</v>
      </c>
      <c r="C698" s="2" t="str">
        <f>IFERROR(__xludf.DUMMYFUNCTION("""COMPUTED_VALUE"""),"slzdbm")</f>
        <v>slzdbm</v>
      </c>
      <c r="D698" s="2" t="str">
        <f>IFERROR(__xludf.DUMMYFUNCTION("IF(AND(B698=""$cd"",C698&lt;&gt;""..""),CONCATENATE(D697,""/"",C698),IF(C698="".."",MID(D697,1,LEN(D697)-LEN(REGEXEXTRACT(D697,""(/\w*)$""))),D697))"),"//zddrb/pgbgpn/mzsfcvgv")</f>
        <v>//zddrb/pgbgpn/mzsfcvgv</v>
      </c>
      <c r="K698" s="2"/>
    </row>
    <row r="699">
      <c r="A699" s="1" t="s">
        <v>624</v>
      </c>
      <c r="B699" s="2" t="str">
        <f>IFERROR(__xludf.DUMMYFUNCTION("SPLIT(A699,"" "")"),"$cd")</f>
        <v>$cd</v>
      </c>
      <c r="C699" s="2" t="str">
        <f>IFERROR(__xludf.DUMMYFUNCTION("""COMPUTED_VALUE"""),"slzdbm")</f>
        <v>slzdbm</v>
      </c>
      <c r="D699" s="2" t="str">
        <f>IFERROR(__xludf.DUMMYFUNCTION("IF(AND(B699=""$cd"",C699&lt;&gt;""..""),CONCATENATE(D698,""/"",C699),IF(C699="".."",MID(D698,1,LEN(D698)-LEN(REGEXEXTRACT(D698,""(/\w*)$""))),D698))"),"//zddrb/pgbgpn/mzsfcvgv/slzdbm")</f>
        <v>//zddrb/pgbgpn/mzsfcvgv/slzdbm</v>
      </c>
      <c r="K699" s="2"/>
    </row>
    <row r="700">
      <c r="A700" s="1" t="s">
        <v>609</v>
      </c>
      <c r="B700" s="2" t="str">
        <f>IFERROR(__xludf.DUMMYFUNCTION("SPLIT(A700,"" "")"),"$ls")</f>
        <v>$ls</v>
      </c>
      <c r="D700" s="2" t="str">
        <f>IFERROR(__xludf.DUMMYFUNCTION("IF(AND(B700=""$cd"",C700&lt;&gt;""..""),CONCATENATE(D699,""/"",C700),IF(C700="".."",MID(D699,1,LEN(D699)-LEN(REGEXEXTRACT(D699,""(/\w*)$""))),D699))"),"//zddrb/pgbgpn/mzsfcvgv/slzdbm")</f>
        <v>//zddrb/pgbgpn/mzsfcvgv/slzdbm</v>
      </c>
      <c r="K700" s="2"/>
    </row>
    <row r="701">
      <c r="A701" s="1" t="s">
        <v>4</v>
      </c>
      <c r="B701" s="2" t="str">
        <f>IFERROR(__xludf.DUMMYFUNCTION("SPLIT(A701,"" "")"),"dir")</f>
        <v>dir</v>
      </c>
      <c r="C701" s="2" t="str">
        <f>IFERROR(__xludf.DUMMYFUNCTION("""COMPUTED_VALUE"""),"jnwr")</f>
        <v>jnwr</v>
      </c>
      <c r="D701" s="2" t="str">
        <f>IFERROR(__xludf.DUMMYFUNCTION("IF(AND(B701=""$cd"",C701&lt;&gt;""..""),CONCATENATE(D700,""/"",C701),IF(C701="".."",MID(D700,1,LEN(D700)-LEN(REGEXEXTRACT(D700,""(/\w*)$""))),D700))"),"//zddrb/pgbgpn/mzsfcvgv/slzdbm")</f>
        <v>//zddrb/pgbgpn/mzsfcvgv/slzdbm</v>
      </c>
      <c r="K701" s="2"/>
    </row>
    <row r="702">
      <c r="A702" s="1" t="s">
        <v>403</v>
      </c>
      <c r="B702" s="2">
        <f>IFERROR(__xludf.DUMMYFUNCTION("SPLIT(A702,"" "")"),174522.0)</f>
        <v>174522</v>
      </c>
      <c r="C702" s="2" t="str">
        <f>IFERROR(__xludf.DUMMYFUNCTION("""COMPUTED_VALUE"""),"slzdbm.ncl")</f>
        <v>slzdbm.ncl</v>
      </c>
      <c r="D702" s="2" t="str">
        <f>IFERROR(__xludf.DUMMYFUNCTION("IF(AND(B702=""$cd"",C702&lt;&gt;""..""),CONCATENATE(D701,""/"",C702),IF(C702="".."",MID(D701,1,LEN(D701)-LEN(REGEXEXTRACT(D701,""(/\w*)$""))),D701))"),"//zddrb/pgbgpn/mzsfcvgv/slzdbm")</f>
        <v>//zddrb/pgbgpn/mzsfcvgv/slzdbm</v>
      </c>
      <c r="K702" s="2"/>
    </row>
    <row r="703">
      <c r="A703" s="1" t="s">
        <v>614</v>
      </c>
      <c r="B703" s="2" t="str">
        <f>IFERROR(__xludf.DUMMYFUNCTION("SPLIT(A703,"" "")"),"$cd")</f>
        <v>$cd</v>
      </c>
      <c r="C703" s="2" t="str">
        <f>IFERROR(__xludf.DUMMYFUNCTION("""COMPUTED_VALUE"""),"jnwr")</f>
        <v>jnwr</v>
      </c>
      <c r="D703" s="2" t="str">
        <f>IFERROR(__xludf.DUMMYFUNCTION("IF(AND(B703=""$cd"",C703&lt;&gt;""..""),CONCATENATE(D702,""/"",C703),IF(C703="".."",MID(D702,1,LEN(D702)-LEN(REGEXEXTRACT(D702,""(/\w*)$""))),D702))"),"//zddrb/pgbgpn/mzsfcvgv/slzdbm/jnwr")</f>
        <v>//zddrb/pgbgpn/mzsfcvgv/slzdbm/jnwr</v>
      </c>
      <c r="K703" s="2"/>
    </row>
    <row r="704">
      <c r="A704" s="1" t="s">
        <v>609</v>
      </c>
      <c r="B704" s="2" t="str">
        <f>IFERROR(__xludf.DUMMYFUNCTION("SPLIT(A704,"" "")"),"$ls")</f>
        <v>$ls</v>
      </c>
      <c r="D704" s="2" t="str">
        <f>IFERROR(__xludf.DUMMYFUNCTION("IF(AND(B704=""$cd"",C704&lt;&gt;""..""),CONCATENATE(D703,""/"",C704),IF(C704="".."",MID(D703,1,LEN(D703)-LEN(REGEXEXTRACT(D703,""(/\w*)$""))),D703))"),"//zddrb/pgbgpn/mzsfcvgv/slzdbm/jnwr")</f>
        <v>//zddrb/pgbgpn/mzsfcvgv/slzdbm/jnwr</v>
      </c>
      <c r="K704" s="2"/>
    </row>
    <row r="705">
      <c r="A705" s="1" t="s">
        <v>404</v>
      </c>
      <c r="B705" s="2">
        <f>IFERROR(__xludf.DUMMYFUNCTION("SPLIT(A705,"" "")"),183686.0)</f>
        <v>183686</v>
      </c>
      <c r="C705" s="2" t="str">
        <f>IFERROR(__xludf.DUMMYFUNCTION("""COMPUTED_VALUE"""),"rpwjvc")</f>
        <v>rpwjvc</v>
      </c>
      <c r="D705" s="2" t="str">
        <f>IFERROR(__xludf.DUMMYFUNCTION("IF(AND(B705=""$cd"",C705&lt;&gt;""..""),CONCATENATE(D704,""/"",C705),IF(C705="".."",MID(D704,1,LEN(D704)-LEN(REGEXEXTRACT(D704,""(/\w*)$""))),D704))"),"//zddrb/pgbgpn/mzsfcvgv/slzdbm/jnwr")</f>
        <v>//zddrb/pgbgpn/mzsfcvgv/slzdbm/jnwr</v>
      </c>
      <c r="K705" s="2"/>
    </row>
    <row r="706">
      <c r="A706" s="1" t="s">
        <v>612</v>
      </c>
      <c r="B706" s="2" t="str">
        <f>IFERROR(__xludf.DUMMYFUNCTION("SPLIT(A706,"" "")"),"$cd")</f>
        <v>$cd</v>
      </c>
      <c r="C706" s="2" t="str">
        <f>IFERROR(__xludf.DUMMYFUNCTION("""COMPUTED_VALUE"""),"..")</f>
        <v>..</v>
      </c>
      <c r="D706" s="2" t="str">
        <f>IFERROR(__xludf.DUMMYFUNCTION("IF(AND(B706=""$cd"",C706&lt;&gt;""..""),CONCATENATE(D705,""/"",C706),IF(C706="".."",MID(D705,1,LEN(D705)-LEN(REGEXEXTRACT(D705,""(/\w*)$""))),D705))"),"//zddrb/pgbgpn/mzsfcvgv/slzdbm")</f>
        <v>//zddrb/pgbgpn/mzsfcvgv/slzdbm</v>
      </c>
      <c r="K706" s="2"/>
    </row>
    <row r="707">
      <c r="A707" s="1" t="s">
        <v>612</v>
      </c>
      <c r="B707" s="2" t="str">
        <f>IFERROR(__xludf.DUMMYFUNCTION("SPLIT(A707,"" "")"),"$cd")</f>
        <v>$cd</v>
      </c>
      <c r="C707" s="2" t="str">
        <f>IFERROR(__xludf.DUMMYFUNCTION("""COMPUTED_VALUE"""),"..")</f>
        <v>..</v>
      </c>
      <c r="D707" s="2" t="str">
        <f>IFERROR(__xludf.DUMMYFUNCTION("IF(AND(B707=""$cd"",C707&lt;&gt;""..""),CONCATENATE(D706,""/"",C707),IF(C707="".."",MID(D706,1,LEN(D706)-LEN(REGEXEXTRACT(D706,""(/\w*)$""))),D706))"),"//zddrb/pgbgpn/mzsfcvgv")</f>
        <v>//zddrb/pgbgpn/mzsfcvgv</v>
      </c>
      <c r="K707" s="2"/>
    </row>
    <row r="708">
      <c r="A708" s="1" t="s">
        <v>612</v>
      </c>
      <c r="B708" s="2" t="str">
        <f>IFERROR(__xludf.DUMMYFUNCTION("SPLIT(A708,"" "")"),"$cd")</f>
        <v>$cd</v>
      </c>
      <c r="C708" s="2" t="str">
        <f>IFERROR(__xludf.DUMMYFUNCTION("""COMPUTED_VALUE"""),"..")</f>
        <v>..</v>
      </c>
      <c r="D708" s="2" t="str">
        <f>IFERROR(__xludf.DUMMYFUNCTION("IF(AND(B708=""$cd"",C708&lt;&gt;""..""),CONCATENATE(D707,""/"",C708),IF(C708="".."",MID(D707,1,LEN(D707)-LEN(REGEXEXTRACT(D707,""(/\w*)$""))),D707))"),"//zddrb/pgbgpn")</f>
        <v>//zddrb/pgbgpn</v>
      </c>
      <c r="K708" s="2"/>
    </row>
    <row r="709">
      <c r="A709" s="1" t="s">
        <v>713</v>
      </c>
      <c r="B709" s="2" t="str">
        <f>IFERROR(__xludf.DUMMYFUNCTION("SPLIT(A709,"" "")"),"$cd")</f>
        <v>$cd</v>
      </c>
      <c r="C709" s="2" t="str">
        <f>IFERROR(__xludf.DUMMYFUNCTION("""COMPUTED_VALUE"""),"vvmwgngv")</f>
        <v>vvmwgngv</v>
      </c>
      <c r="D709" s="2" t="str">
        <f>IFERROR(__xludf.DUMMYFUNCTION("IF(AND(B709=""$cd"",C709&lt;&gt;""..""),CONCATENATE(D708,""/"",C709),IF(C709="".."",MID(D708,1,LEN(D708)-LEN(REGEXEXTRACT(D708,""(/\w*)$""))),D708))"),"//zddrb/pgbgpn/vvmwgngv")</f>
        <v>//zddrb/pgbgpn/vvmwgngv</v>
      </c>
      <c r="K709" s="2"/>
    </row>
    <row r="710">
      <c r="A710" s="1" t="s">
        <v>609</v>
      </c>
      <c r="B710" s="2" t="str">
        <f>IFERROR(__xludf.DUMMYFUNCTION("SPLIT(A710,"" "")"),"$ls")</f>
        <v>$ls</v>
      </c>
      <c r="D710" s="2" t="str">
        <f>IFERROR(__xludf.DUMMYFUNCTION("IF(AND(B710=""$cd"",C710&lt;&gt;""..""),CONCATENATE(D709,""/"",C710),IF(C710="".."",MID(D709,1,LEN(D709)-LEN(REGEXEXTRACT(D709,""(/\w*)$""))),D709))"),"//zddrb/pgbgpn/vvmwgngv")</f>
        <v>//zddrb/pgbgpn/vvmwgngv</v>
      </c>
      <c r="K710" s="2"/>
    </row>
    <row r="711">
      <c r="A711" s="1" t="s">
        <v>406</v>
      </c>
      <c r="B711" s="2" t="str">
        <f>IFERROR(__xludf.DUMMYFUNCTION("SPLIT(A711,"" "")"),"dir")</f>
        <v>dir</v>
      </c>
      <c r="C711" s="2" t="str">
        <f>IFERROR(__xludf.DUMMYFUNCTION("""COMPUTED_VALUE"""),"bqc")</f>
        <v>bqc</v>
      </c>
      <c r="D711" s="2" t="str">
        <f>IFERROR(__xludf.DUMMYFUNCTION("IF(AND(B711=""$cd"",C711&lt;&gt;""..""),CONCATENATE(D710,""/"",C711),IF(C711="".."",MID(D710,1,LEN(D710)-LEN(REGEXEXTRACT(D710,""(/\w*)$""))),D710))"),"//zddrb/pgbgpn/vvmwgngv")</f>
        <v>//zddrb/pgbgpn/vvmwgngv</v>
      </c>
      <c r="K711" s="2"/>
    </row>
    <row r="712">
      <c r="A712" s="1" t="s">
        <v>128</v>
      </c>
      <c r="B712" s="2" t="str">
        <f>IFERROR(__xludf.DUMMYFUNCTION("SPLIT(A712,"" "")"),"dir")</f>
        <v>dir</v>
      </c>
      <c r="C712" s="2" t="str">
        <f>IFERROR(__xludf.DUMMYFUNCTION("""COMPUTED_VALUE"""),"mzsfcvgv")</f>
        <v>mzsfcvgv</v>
      </c>
      <c r="D712" s="2" t="str">
        <f>IFERROR(__xludf.DUMMYFUNCTION("IF(AND(B712=""$cd"",C712&lt;&gt;""..""),CONCATENATE(D711,""/"",C712),IF(C712="".."",MID(D711,1,LEN(D711)-LEN(REGEXEXTRACT(D711,""(/\w*)$""))),D711))"),"//zddrb/pgbgpn/vvmwgngv")</f>
        <v>//zddrb/pgbgpn/vvmwgngv</v>
      </c>
      <c r="K712" s="2"/>
    </row>
    <row r="713">
      <c r="A713" s="1" t="s">
        <v>407</v>
      </c>
      <c r="B713" s="2" t="str">
        <f>IFERROR(__xludf.DUMMYFUNCTION("SPLIT(A713,"" "")"),"dir")</f>
        <v>dir</v>
      </c>
      <c r="C713" s="2" t="str">
        <f>IFERROR(__xludf.DUMMYFUNCTION("""COMPUTED_VALUE"""),"qgj")</f>
        <v>qgj</v>
      </c>
      <c r="D713" s="2" t="str">
        <f>IFERROR(__xludf.DUMMYFUNCTION("IF(AND(B713=""$cd"",C713&lt;&gt;""..""),CONCATENATE(D712,""/"",C713),IF(C713="".."",MID(D712,1,LEN(D712)-LEN(REGEXEXTRACT(D712,""(/\w*)$""))),D712))"),"//zddrb/pgbgpn/vvmwgngv")</f>
        <v>//zddrb/pgbgpn/vvmwgngv</v>
      </c>
      <c r="K713" s="2"/>
    </row>
    <row r="714">
      <c r="A714" s="1" t="s">
        <v>408</v>
      </c>
      <c r="B714" s="2" t="str">
        <f>IFERROR(__xludf.DUMMYFUNCTION("SPLIT(A714,"" "")"),"dir")</f>
        <v>dir</v>
      </c>
      <c r="C714" s="2" t="str">
        <f>IFERROR(__xludf.DUMMYFUNCTION("""COMPUTED_VALUE"""),"wfjzls")</f>
        <v>wfjzls</v>
      </c>
      <c r="D714" s="2" t="str">
        <f>IFERROR(__xludf.DUMMYFUNCTION("IF(AND(B714=""$cd"",C714&lt;&gt;""..""),CONCATENATE(D713,""/"",C714),IF(C714="".."",MID(D713,1,LEN(D713)-LEN(REGEXEXTRACT(D713,""(/\w*)$""))),D713))"),"//zddrb/pgbgpn/vvmwgngv")</f>
        <v>//zddrb/pgbgpn/vvmwgngv</v>
      </c>
      <c r="K714" s="2"/>
    </row>
    <row r="715">
      <c r="A715" s="1" t="s">
        <v>714</v>
      </c>
      <c r="B715" s="2" t="str">
        <f>IFERROR(__xludf.DUMMYFUNCTION("SPLIT(A715,"" "")"),"$cd")</f>
        <v>$cd</v>
      </c>
      <c r="C715" s="2" t="str">
        <f>IFERROR(__xludf.DUMMYFUNCTION("""COMPUTED_VALUE"""),"bqc")</f>
        <v>bqc</v>
      </c>
      <c r="D715" s="2" t="str">
        <f>IFERROR(__xludf.DUMMYFUNCTION("IF(AND(B715=""$cd"",C715&lt;&gt;""..""),CONCATENATE(D714,""/"",C715),IF(C715="".."",MID(D714,1,LEN(D714)-LEN(REGEXEXTRACT(D714,""(/\w*)$""))),D714))"),"//zddrb/pgbgpn/vvmwgngv/bqc")</f>
        <v>//zddrb/pgbgpn/vvmwgngv/bqc</v>
      </c>
      <c r="K715" s="2"/>
    </row>
    <row r="716">
      <c r="A716" s="1" t="s">
        <v>609</v>
      </c>
      <c r="B716" s="2" t="str">
        <f>IFERROR(__xludf.DUMMYFUNCTION("SPLIT(A716,"" "")"),"$ls")</f>
        <v>$ls</v>
      </c>
      <c r="D716" s="2" t="str">
        <f>IFERROR(__xludf.DUMMYFUNCTION("IF(AND(B716=""$cd"",C716&lt;&gt;""..""),CONCATENATE(D715,""/"",C716),IF(C716="".."",MID(D715,1,LEN(D715)-LEN(REGEXEXTRACT(D715,""(/\w*)$""))),D715))"),"//zddrb/pgbgpn/vvmwgngv/bqc")</f>
        <v>//zddrb/pgbgpn/vvmwgngv/bqc</v>
      </c>
      <c r="K716" s="2"/>
    </row>
    <row r="717">
      <c r="A717" s="1" t="s">
        <v>410</v>
      </c>
      <c r="B717" s="2">
        <f>IFERROR(__xludf.DUMMYFUNCTION("SPLIT(A717,"" "")"),191442.0)</f>
        <v>191442</v>
      </c>
      <c r="C717" s="2" t="str">
        <f>IFERROR(__xludf.DUMMYFUNCTION("""COMPUTED_VALUE"""),"bqsn")</f>
        <v>bqsn</v>
      </c>
      <c r="D717" s="2" t="str">
        <f>IFERROR(__xludf.DUMMYFUNCTION("IF(AND(B717=""$cd"",C717&lt;&gt;""..""),CONCATENATE(D716,""/"",C717),IF(C717="".."",MID(D716,1,LEN(D716)-LEN(REGEXEXTRACT(D716,""(/\w*)$""))),D716))"),"//zddrb/pgbgpn/vvmwgngv/bqc")</f>
        <v>//zddrb/pgbgpn/vvmwgngv/bqc</v>
      </c>
      <c r="K717" s="2"/>
    </row>
    <row r="718">
      <c r="A718" s="1" t="s">
        <v>411</v>
      </c>
      <c r="B718" s="2" t="str">
        <f>IFERROR(__xludf.DUMMYFUNCTION("SPLIT(A718,"" "")"),"dir")</f>
        <v>dir</v>
      </c>
      <c r="C718" s="2" t="str">
        <f>IFERROR(__xludf.DUMMYFUNCTION("""COMPUTED_VALUE"""),"lmnvtg")</f>
        <v>lmnvtg</v>
      </c>
      <c r="D718" s="2" t="str">
        <f>IFERROR(__xludf.DUMMYFUNCTION("IF(AND(B718=""$cd"",C718&lt;&gt;""..""),CONCATENATE(D717,""/"",C718),IF(C718="".."",MID(D717,1,LEN(D717)-LEN(REGEXEXTRACT(D717,""(/\w*)$""))),D717))"),"//zddrb/pgbgpn/vvmwgngv/bqc")</f>
        <v>//zddrb/pgbgpn/vvmwgngv/bqc</v>
      </c>
      <c r="K718" s="2"/>
    </row>
    <row r="719">
      <c r="A719" s="1" t="s">
        <v>412</v>
      </c>
      <c r="B719" s="2">
        <f>IFERROR(__xludf.DUMMYFUNCTION("SPLIT(A719,"" "")"),278861.0)</f>
        <v>278861</v>
      </c>
      <c r="C719" s="2" t="str">
        <f>IFERROR(__xludf.DUMMYFUNCTION("""COMPUTED_VALUE"""),"mpq.cdn")</f>
        <v>mpq.cdn</v>
      </c>
      <c r="D719" s="2" t="str">
        <f>IFERROR(__xludf.DUMMYFUNCTION("IF(AND(B719=""$cd"",C719&lt;&gt;""..""),CONCATENATE(D718,""/"",C719),IF(C719="".."",MID(D718,1,LEN(D718)-LEN(REGEXEXTRACT(D718,""(/\w*)$""))),D718))"),"//zddrb/pgbgpn/vvmwgngv/bqc")</f>
        <v>//zddrb/pgbgpn/vvmwgngv/bqc</v>
      </c>
      <c r="K719" s="2"/>
    </row>
    <row r="720">
      <c r="A720" s="1" t="s">
        <v>413</v>
      </c>
      <c r="B720" s="2">
        <f>IFERROR(__xludf.DUMMYFUNCTION("SPLIT(A720,"" "")"),191779.0)</f>
        <v>191779</v>
      </c>
      <c r="C720" s="2" t="str">
        <f>IFERROR(__xludf.DUMMYFUNCTION("""COMPUTED_VALUE"""),"mthgd.mjp")</f>
        <v>mthgd.mjp</v>
      </c>
      <c r="D720" s="2" t="str">
        <f>IFERROR(__xludf.DUMMYFUNCTION("IF(AND(B720=""$cd"",C720&lt;&gt;""..""),CONCATENATE(D719,""/"",C720),IF(C720="".."",MID(D719,1,LEN(D719)-LEN(REGEXEXTRACT(D719,""(/\w*)$""))),D719))"),"//zddrb/pgbgpn/vvmwgngv/bqc")</f>
        <v>//zddrb/pgbgpn/vvmwgngv/bqc</v>
      </c>
      <c r="K720" s="2"/>
    </row>
    <row r="721">
      <c r="A721" s="1" t="s">
        <v>128</v>
      </c>
      <c r="B721" s="2" t="str">
        <f>IFERROR(__xludf.DUMMYFUNCTION("SPLIT(A721,"" "")"),"dir")</f>
        <v>dir</v>
      </c>
      <c r="C721" s="2" t="str">
        <f>IFERROR(__xludf.DUMMYFUNCTION("""COMPUTED_VALUE"""),"mzsfcvgv")</f>
        <v>mzsfcvgv</v>
      </c>
      <c r="D721" s="2" t="str">
        <f>IFERROR(__xludf.DUMMYFUNCTION("IF(AND(B721=""$cd"",C721&lt;&gt;""..""),CONCATENATE(D720,""/"",C721),IF(C721="".."",MID(D720,1,LEN(D720)-LEN(REGEXEXTRACT(D720,""(/\w*)$""))),D720))"),"//zddrb/pgbgpn/vvmwgngv/bqc")</f>
        <v>//zddrb/pgbgpn/vvmwgngv/bqc</v>
      </c>
      <c r="K721" s="2"/>
    </row>
    <row r="722">
      <c r="A722" s="1" t="s">
        <v>414</v>
      </c>
      <c r="B722" s="2" t="str">
        <f>IFERROR(__xludf.DUMMYFUNCTION("SPLIT(A722,"" "")"),"dir")</f>
        <v>dir</v>
      </c>
      <c r="C722" s="2" t="str">
        <f>IFERROR(__xludf.DUMMYFUNCTION("""COMPUTED_VALUE"""),"twzq")</f>
        <v>twzq</v>
      </c>
      <c r="D722" s="2" t="str">
        <f>IFERROR(__xludf.DUMMYFUNCTION("IF(AND(B722=""$cd"",C722&lt;&gt;""..""),CONCATENATE(D721,""/"",C722),IF(C722="".."",MID(D721,1,LEN(D721)-LEN(REGEXEXTRACT(D721,""(/\w*)$""))),D721))"),"//zddrb/pgbgpn/vvmwgngv/bqc")</f>
        <v>//zddrb/pgbgpn/vvmwgngv/bqc</v>
      </c>
      <c r="K722" s="2"/>
    </row>
    <row r="723">
      <c r="A723" s="1" t="s">
        <v>715</v>
      </c>
      <c r="B723" s="2" t="str">
        <f>IFERROR(__xludf.DUMMYFUNCTION("SPLIT(A723,"" "")"),"$cd")</f>
        <v>$cd</v>
      </c>
      <c r="C723" s="2" t="str">
        <f>IFERROR(__xludf.DUMMYFUNCTION("""COMPUTED_VALUE"""),"lmnvtg")</f>
        <v>lmnvtg</v>
      </c>
      <c r="D723" s="2" t="str">
        <f>IFERROR(__xludf.DUMMYFUNCTION("IF(AND(B723=""$cd"",C723&lt;&gt;""..""),CONCATENATE(D722,""/"",C723),IF(C723="".."",MID(D722,1,LEN(D722)-LEN(REGEXEXTRACT(D722,""(/\w*)$""))),D722))"),"//zddrb/pgbgpn/vvmwgngv/bqc/lmnvtg")</f>
        <v>//zddrb/pgbgpn/vvmwgngv/bqc/lmnvtg</v>
      </c>
      <c r="K723" s="2"/>
    </row>
    <row r="724">
      <c r="A724" s="1" t="s">
        <v>609</v>
      </c>
      <c r="B724" s="2" t="str">
        <f>IFERROR(__xludf.DUMMYFUNCTION("SPLIT(A724,"" "")"),"$ls")</f>
        <v>$ls</v>
      </c>
      <c r="D724" s="2" t="str">
        <f>IFERROR(__xludf.DUMMYFUNCTION("IF(AND(B724=""$cd"",C724&lt;&gt;""..""),CONCATENATE(D723,""/"",C724),IF(C724="".."",MID(D723,1,LEN(D723)-LEN(REGEXEXTRACT(D723,""(/\w*)$""))),D723))"),"//zddrb/pgbgpn/vvmwgngv/bqc/lmnvtg")</f>
        <v>//zddrb/pgbgpn/vvmwgngv/bqc/lmnvtg</v>
      </c>
      <c r="K724" s="2"/>
    </row>
    <row r="725">
      <c r="A725" s="1" t="s">
        <v>416</v>
      </c>
      <c r="B725" s="2" t="str">
        <f>IFERROR(__xludf.DUMMYFUNCTION("SPLIT(A725,"" "")"),"dir")</f>
        <v>dir</v>
      </c>
      <c r="C725" s="2" t="str">
        <f>IFERROR(__xludf.DUMMYFUNCTION("""COMPUTED_VALUE"""),"dzdd")</f>
        <v>dzdd</v>
      </c>
      <c r="D725" s="2" t="str">
        <f>IFERROR(__xludf.DUMMYFUNCTION("IF(AND(B725=""$cd"",C725&lt;&gt;""..""),CONCATENATE(D724,""/"",C725),IF(C725="".."",MID(D724,1,LEN(D724)-LEN(REGEXEXTRACT(D724,""(/\w*)$""))),D724))"),"//zddrb/pgbgpn/vvmwgngv/bqc/lmnvtg")</f>
        <v>//zddrb/pgbgpn/vvmwgngv/bqc/lmnvtg</v>
      </c>
      <c r="K725" s="2"/>
    </row>
    <row r="726">
      <c r="A726" s="1" t="s">
        <v>417</v>
      </c>
      <c r="B726" s="2">
        <f>IFERROR(__xludf.DUMMYFUNCTION("SPLIT(A726,"" "")"),7920.0)</f>
        <v>7920</v>
      </c>
      <c r="C726" s="2" t="str">
        <f>IFERROR(__xludf.DUMMYFUNCTION("""COMPUTED_VALUE"""),"hmqfdht")</f>
        <v>hmqfdht</v>
      </c>
      <c r="D726" s="2" t="str">
        <f>IFERROR(__xludf.DUMMYFUNCTION("IF(AND(B726=""$cd"",C726&lt;&gt;""..""),CONCATENATE(D725,""/"",C726),IF(C726="".."",MID(D725,1,LEN(D725)-LEN(REGEXEXTRACT(D725,""(/\w*)$""))),D725))"),"//zddrb/pgbgpn/vvmwgngv/bqc/lmnvtg")</f>
        <v>//zddrb/pgbgpn/vvmwgngv/bqc/lmnvtg</v>
      </c>
      <c r="K726" s="2"/>
    </row>
    <row r="727">
      <c r="A727" s="1" t="s">
        <v>418</v>
      </c>
      <c r="B727" s="2" t="str">
        <f>IFERROR(__xludf.DUMMYFUNCTION("SPLIT(A727,"" "")"),"dir")</f>
        <v>dir</v>
      </c>
      <c r="C727" s="2" t="str">
        <f>IFERROR(__xludf.DUMMYFUNCTION("""COMPUTED_VALUE"""),"rnlctfm")</f>
        <v>rnlctfm</v>
      </c>
      <c r="D727" s="2" t="str">
        <f>IFERROR(__xludf.DUMMYFUNCTION("IF(AND(B727=""$cd"",C727&lt;&gt;""..""),CONCATENATE(D726,""/"",C727),IF(C727="".."",MID(D726,1,LEN(D726)-LEN(REGEXEXTRACT(D726,""(/\w*)$""))),D726))"),"//zddrb/pgbgpn/vvmwgngv/bqc/lmnvtg")</f>
        <v>//zddrb/pgbgpn/vvmwgngv/bqc/lmnvtg</v>
      </c>
      <c r="K727" s="2"/>
    </row>
    <row r="728">
      <c r="A728" s="1" t="s">
        <v>39</v>
      </c>
      <c r="B728" s="2" t="str">
        <f>IFERROR(__xludf.DUMMYFUNCTION("SPLIT(A728,"" "")"),"dir")</f>
        <v>dir</v>
      </c>
      <c r="C728" s="2" t="str">
        <f>IFERROR(__xludf.DUMMYFUNCTION("""COMPUTED_VALUE"""),"slzdbm")</f>
        <v>slzdbm</v>
      </c>
      <c r="D728" s="2" t="str">
        <f>IFERROR(__xludf.DUMMYFUNCTION("IF(AND(B728=""$cd"",C728&lt;&gt;""..""),CONCATENATE(D727,""/"",C728),IF(C728="".."",MID(D727,1,LEN(D727)-LEN(REGEXEXTRACT(D727,""(/\w*)$""))),D727))"),"//zddrb/pgbgpn/vvmwgngv/bqc/lmnvtg")</f>
        <v>//zddrb/pgbgpn/vvmwgngv/bqc/lmnvtg</v>
      </c>
      <c r="K728" s="2"/>
    </row>
    <row r="729">
      <c r="A729" s="1" t="s">
        <v>419</v>
      </c>
      <c r="B729" s="2">
        <f>IFERROR(__xludf.DUMMYFUNCTION("SPLIT(A729,"" "")"),213184.0)</f>
        <v>213184</v>
      </c>
      <c r="C729" s="2" t="str">
        <f>IFERROR(__xludf.DUMMYFUNCTION("""COMPUTED_VALUE"""),"zcgrgff.vln")</f>
        <v>zcgrgff.vln</v>
      </c>
      <c r="D729" s="2" t="str">
        <f>IFERROR(__xludf.DUMMYFUNCTION("IF(AND(B729=""$cd"",C729&lt;&gt;""..""),CONCATENATE(D728,""/"",C729),IF(C729="".."",MID(D728,1,LEN(D728)-LEN(REGEXEXTRACT(D728,""(/\w*)$""))),D728))"),"//zddrb/pgbgpn/vvmwgngv/bqc/lmnvtg")</f>
        <v>//zddrb/pgbgpn/vvmwgngv/bqc/lmnvtg</v>
      </c>
      <c r="K729" s="2"/>
    </row>
    <row r="730">
      <c r="A730" s="1" t="s">
        <v>716</v>
      </c>
      <c r="B730" s="2" t="str">
        <f>IFERROR(__xludf.DUMMYFUNCTION("SPLIT(A730,"" "")"),"$cd")</f>
        <v>$cd</v>
      </c>
      <c r="C730" s="2" t="str">
        <f>IFERROR(__xludf.DUMMYFUNCTION("""COMPUTED_VALUE"""),"dzdd")</f>
        <v>dzdd</v>
      </c>
      <c r="D730" s="2" t="str">
        <f>IFERROR(__xludf.DUMMYFUNCTION("IF(AND(B730=""$cd"",C730&lt;&gt;""..""),CONCATENATE(D729,""/"",C730),IF(C730="".."",MID(D729,1,LEN(D729)-LEN(REGEXEXTRACT(D729,""(/\w*)$""))),D729))"),"//zddrb/pgbgpn/vvmwgngv/bqc/lmnvtg/dzdd")</f>
        <v>//zddrb/pgbgpn/vvmwgngv/bqc/lmnvtg/dzdd</v>
      </c>
      <c r="K730" s="2"/>
    </row>
    <row r="731">
      <c r="A731" s="1" t="s">
        <v>609</v>
      </c>
      <c r="B731" s="2" t="str">
        <f>IFERROR(__xludf.DUMMYFUNCTION("SPLIT(A731,"" "")"),"$ls")</f>
        <v>$ls</v>
      </c>
      <c r="D731" s="2" t="str">
        <f>IFERROR(__xludf.DUMMYFUNCTION("IF(AND(B731=""$cd"",C731&lt;&gt;""..""),CONCATENATE(D730,""/"",C731),IF(C731="".."",MID(D730,1,LEN(D730)-LEN(REGEXEXTRACT(D730,""(/\w*)$""))),D730))"),"//zddrb/pgbgpn/vvmwgngv/bqc/lmnvtg/dzdd")</f>
        <v>//zddrb/pgbgpn/vvmwgngv/bqc/lmnvtg/dzdd</v>
      </c>
      <c r="K731" s="2"/>
    </row>
    <row r="732">
      <c r="A732" s="1" t="s">
        <v>4</v>
      </c>
      <c r="B732" s="2" t="str">
        <f>IFERROR(__xludf.DUMMYFUNCTION("SPLIT(A732,"" "")"),"dir")</f>
        <v>dir</v>
      </c>
      <c r="C732" s="2" t="str">
        <f>IFERROR(__xludf.DUMMYFUNCTION("""COMPUTED_VALUE"""),"jnwr")</f>
        <v>jnwr</v>
      </c>
      <c r="D732" s="2" t="str">
        <f>IFERROR(__xludf.DUMMYFUNCTION("IF(AND(B732=""$cd"",C732&lt;&gt;""..""),CONCATENATE(D731,""/"",C732),IF(C732="".."",MID(D731,1,LEN(D731)-LEN(REGEXEXTRACT(D731,""(/\w*)$""))),D731))"),"//zddrb/pgbgpn/vvmwgngv/bqc/lmnvtg/dzdd")</f>
        <v>//zddrb/pgbgpn/vvmwgngv/bqc/lmnvtg/dzdd</v>
      </c>
      <c r="K732" s="2"/>
    </row>
    <row r="733">
      <c r="A733" s="1" t="s">
        <v>614</v>
      </c>
      <c r="B733" s="2" t="str">
        <f>IFERROR(__xludf.DUMMYFUNCTION("SPLIT(A733,"" "")"),"$cd")</f>
        <v>$cd</v>
      </c>
      <c r="C733" s="2" t="str">
        <f>IFERROR(__xludf.DUMMYFUNCTION("""COMPUTED_VALUE"""),"jnwr")</f>
        <v>jnwr</v>
      </c>
      <c r="D733" s="2" t="str">
        <f>IFERROR(__xludf.DUMMYFUNCTION("IF(AND(B733=""$cd"",C733&lt;&gt;""..""),CONCATENATE(D732,""/"",C733),IF(C733="".."",MID(D732,1,LEN(D732)-LEN(REGEXEXTRACT(D732,""(/\w*)$""))),D732))"),"//zddrb/pgbgpn/vvmwgngv/bqc/lmnvtg/dzdd/jnwr")</f>
        <v>//zddrb/pgbgpn/vvmwgngv/bqc/lmnvtg/dzdd/jnwr</v>
      </c>
      <c r="K733" s="2"/>
    </row>
    <row r="734">
      <c r="A734" s="1" t="s">
        <v>609</v>
      </c>
      <c r="B734" s="2" t="str">
        <f>IFERROR(__xludf.DUMMYFUNCTION("SPLIT(A734,"" "")"),"$ls")</f>
        <v>$ls</v>
      </c>
      <c r="D734" s="2" t="str">
        <f>IFERROR(__xludf.DUMMYFUNCTION("IF(AND(B734=""$cd"",C734&lt;&gt;""..""),CONCATENATE(D733,""/"",C734),IF(C734="".."",MID(D733,1,LEN(D733)-LEN(REGEXEXTRACT(D733,""(/\w*)$""))),D733))"),"//zddrb/pgbgpn/vvmwgngv/bqc/lmnvtg/dzdd/jnwr")</f>
        <v>//zddrb/pgbgpn/vvmwgngv/bqc/lmnvtg/dzdd/jnwr</v>
      </c>
      <c r="K734" s="2"/>
    </row>
    <row r="735">
      <c r="A735" s="1" t="s">
        <v>421</v>
      </c>
      <c r="B735" s="2">
        <f>IFERROR(__xludf.DUMMYFUNCTION("SPLIT(A735,"" "")"),71772.0)</f>
        <v>71772</v>
      </c>
      <c r="C735" s="2" t="str">
        <f>IFERROR(__xludf.DUMMYFUNCTION("""COMPUTED_VALUE"""),"hlvpfw")</f>
        <v>hlvpfw</v>
      </c>
      <c r="D735" s="2" t="str">
        <f>IFERROR(__xludf.DUMMYFUNCTION("IF(AND(B735=""$cd"",C735&lt;&gt;""..""),CONCATENATE(D734,""/"",C735),IF(C735="".."",MID(D734,1,LEN(D734)-LEN(REGEXEXTRACT(D734,""(/\w*)$""))),D734))"),"//zddrb/pgbgpn/vvmwgngv/bqc/lmnvtg/dzdd/jnwr")</f>
        <v>//zddrb/pgbgpn/vvmwgngv/bqc/lmnvtg/dzdd/jnwr</v>
      </c>
      <c r="K735" s="2"/>
    </row>
    <row r="736">
      <c r="A736" s="1" t="s">
        <v>612</v>
      </c>
      <c r="B736" s="2" t="str">
        <f>IFERROR(__xludf.DUMMYFUNCTION("SPLIT(A736,"" "")"),"$cd")</f>
        <v>$cd</v>
      </c>
      <c r="C736" s="2" t="str">
        <f>IFERROR(__xludf.DUMMYFUNCTION("""COMPUTED_VALUE"""),"..")</f>
        <v>..</v>
      </c>
      <c r="D736" s="2" t="str">
        <f>IFERROR(__xludf.DUMMYFUNCTION("IF(AND(B736=""$cd"",C736&lt;&gt;""..""),CONCATENATE(D735,""/"",C736),IF(C736="".."",MID(D735,1,LEN(D735)-LEN(REGEXEXTRACT(D735,""(/\w*)$""))),D735))"),"//zddrb/pgbgpn/vvmwgngv/bqc/lmnvtg/dzdd")</f>
        <v>//zddrb/pgbgpn/vvmwgngv/bqc/lmnvtg/dzdd</v>
      </c>
      <c r="K736" s="2"/>
    </row>
    <row r="737">
      <c r="A737" s="1" t="s">
        <v>612</v>
      </c>
      <c r="B737" s="2" t="str">
        <f>IFERROR(__xludf.DUMMYFUNCTION("SPLIT(A737,"" "")"),"$cd")</f>
        <v>$cd</v>
      </c>
      <c r="C737" s="2" t="str">
        <f>IFERROR(__xludf.DUMMYFUNCTION("""COMPUTED_VALUE"""),"..")</f>
        <v>..</v>
      </c>
      <c r="D737" s="2" t="str">
        <f>IFERROR(__xludf.DUMMYFUNCTION("IF(AND(B737=""$cd"",C737&lt;&gt;""..""),CONCATENATE(D736,""/"",C737),IF(C737="".."",MID(D736,1,LEN(D736)-LEN(REGEXEXTRACT(D736,""(/\w*)$""))),D736))"),"//zddrb/pgbgpn/vvmwgngv/bqc/lmnvtg")</f>
        <v>//zddrb/pgbgpn/vvmwgngv/bqc/lmnvtg</v>
      </c>
      <c r="K737" s="2"/>
    </row>
    <row r="738">
      <c r="A738" s="1" t="s">
        <v>717</v>
      </c>
      <c r="B738" s="2" t="str">
        <f>IFERROR(__xludf.DUMMYFUNCTION("SPLIT(A738,"" "")"),"$cd")</f>
        <v>$cd</v>
      </c>
      <c r="C738" s="2" t="str">
        <f>IFERROR(__xludf.DUMMYFUNCTION("""COMPUTED_VALUE"""),"rnlctfm")</f>
        <v>rnlctfm</v>
      </c>
      <c r="D738" s="2" t="str">
        <f>IFERROR(__xludf.DUMMYFUNCTION("IF(AND(B738=""$cd"",C738&lt;&gt;""..""),CONCATENATE(D737,""/"",C738),IF(C738="".."",MID(D737,1,LEN(D737)-LEN(REGEXEXTRACT(D737,""(/\w*)$""))),D737))"),"//zddrb/pgbgpn/vvmwgngv/bqc/lmnvtg/rnlctfm")</f>
        <v>//zddrb/pgbgpn/vvmwgngv/bqc/lmnvtg/rnlctfm</v>
      </c>
      <c r="K738" s="2"/>
    </row>
    <row r="739">
      <c r="A739" s="1" t="s">
        <v>609</v>
      </c>
      <c r="B739" s="2" t="str">
        <f>IFERROR(__xludf.DUMMYFUNCTION("SPLIT(A739,"" "")"),"$ls")</f>
        <v>$ls</v>
      </c>
      <c r="D739" s="2" t="str">
        <f>IFERROR(__xludf.DUMMYFUNCTION("IF(AND(B739=""$cd"",C739&lt;&gt;""..""),CONCATENATE(D738,""/"",C739),IF(C739="".."",MID(D738,1,LEN(D738)-LEN(REGEXEXTRACT(D738,""(/\w*)$""))),D738))"),"//zddrb/pgbgpn/vvmwgngv/bqc/lmnvtg/rnlctfm")</f>
        <v>//zddrb/pgbgpn/vvmwgngv/bqc/lmnvtg/rnlctfm</v>
      </c>
      <c r="K739" s="2"/>
    </row>
    <row r="740">
      <c r="A740" s="1" t="s">
        <v>423</v>
      </c>
      <c r="B740" s="2">
        <f>IFERROR(__xludf.DUMMYFUNCTION("SPLIT(A740,"" "")"),282289.0)</f>
        <v>282289</v>
      </c>
      <c r="C740" s="2" t="str">
        <f>IFERROR(__xludf.DUMMYFUNCTION("""COMPUTED_VALUE"""),"jvnmblr.mdc")</f>
        <v>jvnmblr.mdc</v>
      </c>
      <c r="D740" s="2" t="str">
        <f>IFERROR(__xludf.DUMMYFUNCTION("IF(AND(B740=""$cd"",C740&lt;&gt;""..""),CONCATENATE(D739,""/"",C740),IF(C740="".."",MID(D739,1,LEN(D739)-LEN(REGEXEXTRACT(D739,""(/\w*)$""))),D739))"),"//zddrb/pgbgpn/vvmwgngv/bqc/lmnvtg/rnlctfm")</f>
        <v>//zddrb/pgbgpn/vvmwgngv/bqc/lmnvtg/rnlctfm</v>
      </c>
      <c r="K740" s="2"/>
    </row>
    <row r="741">
      <c r="A741" s="1" t="s">
        <v>424</v>
      </c>
      <c r="B741" s="2">
        <f>IFERROR(__xludf.DUMMYFUNCTION("SPLIT(A741,"" "")"),24454.0)</f>
        <v>24454</v>
      </c>
      <c r="C741" s="2" t="str">
        <f>IFERROR(__xludf.DUMMYFUNCTION("""COMPUTED_VALUE"""),"ssssrhwz")</f>
        <v>ssssrhwz</v>
      </c>
      <c r="D741" s="2" t="str">
        <f>IFERROR(__xludf.DUMMYFUNCTION("IF(AND(B741=""$cd"",C741&lt;&gt;""..""),CONCATENATE(D740,""/"",C741),IF(C741="".."",MID(D740,1,LEN(D740)-LEN(REGEXEXTRACT(D740,""(/\w*)$""))),D740))"),"//zddrb/pgbgpn/vvmwgngv/bqc/lmnvtg/rnlctfm")</f>
        <v>//zddrb/pgbgpn/vvmwgngv/bqc/lmnvtg/rnlctfm</v>
      </c>
      <c r="K741" s="2"/>
    </row>
    <row r="742">
      <c r="A742" s="1" t="s">
        <v>612</v>
      </c>
      <c r="B742" s="2" t="str">
        <f>IFERROR(__xludf.DUMMYFUNCTION("SPLIT(A742,"" "")"),"$cd")</f>
        <v>$cd</v>
      </c>
      <c r="C742" s="2" t="str">
        <f>IFERROR(__xludf.DUMMYFUNCTION("""COMPUTED_VALUE"""),"..")</f>
        <v>..</v>
      </c>
      <c r="D742" s="2" t="str">
        <f>IFERROR(__xludf.DUMMYFUNCTION("IF(AND(B742=""$cd"",C742&lt;&gt;""..""),CONCATENATE(D741,""/"",C742),IF(C742="".."",MID(D741,1,LEN(D741)-LEN(REGEXEXTRACT(D741,""(/\w*)$""))),D741))"),"//zddrb/pgbgpn/vvmwgngv/bqc/lmnvtg")</f>
        <v>//zddrb/pgbgpn/vvmwgngv/bqc/lmnvtg</v>
      </c>
      <c r="K742" s="2"/>
    </row>
    <row r="743">
      <c r="A743" s="1" t="s">
        <v>624</v>
      </c>
      <c r="B743" s="2" t="str">
        <f>IFERROR(__xludf.DUMMYFUNCTION("SPLIT(A743,"" "")"),"$cd")</f>
        <v>$cd</v>
      </c>
      <c r="C743" s="2" t="str">
        <f>IFERROR(__xludf.DUMMYFUNCTION("""COMPUTED_VALUE"""),"slzdbm")</f>
        <v>slzdbm</v>
      </c>
      <c r="D743" s="2" t="str">
        <f>IFERROR(__xludf.DUMMYFUNCTION("IF(AND(B743=""$cd"",C743&lt;&gt;""..""),CONCATENATE(D742,""/"",C743),IF(C743="".."",MID(D742,1,LEN(D742)-LEN(REGEXEXTRACT(D742,""(/\w*)$""))),D742))"),"//zddrb/pgbgpn/vvmwgngv/bqc/lmnvtg/slzdbm")</f>
        <v>//zddrb/pgbgpn/vvmwgngv/bqc/lmnvtg/slzdbm</v>
      </c>
      <c r="K743" s="2"/>
    </row>
    <row r="744">
      <c r="A744" s="1" t="s">
        <v>609</v>
      </c>
      <c r="B744" s="2" t="str">
        <f>IFERROR(__xludf.DUMMYFUNCTION("SPLIT(A744,"" "")"),"$ls")</f>
        <v>$ls</v>
      </c>
      <c r="D744" s="2" t="str">
        <f>IFERROR(__xludf.DUMMYFUNCTION("IF(AND(B744=""$cd"",C744&lt;&gt;""..""),CONCATENATE(D743,""/"",C744),IF(C744="".."",MID(D743,1,LEN(D743)-LEN(REGEXEXTRACT(D743,""(/\w*)$""))),D743))"),"//zddrb/pgbgpn/vvmwgngv/bqc/lmnvtg/slzdbm")</f>
        <v>//zddrb/pgbgpn/vvmwgngv/bqc/lmnvtg/slzdbm</v>
      </c>
      <c r="K744" s="2"/>
    </row>
    <row r="745">
      <c r="A745" s="1" t="s">
        <v>425</v>
      </c>
      <c r="B745" s="2">
        <f>IFERROR(__xludf.DUMMYFUNCTION("SPLIT(A745,"" "")"),316131.0)</f>
        <v>316131</v>
      </c>
      <c r="C745" s="2" t="str">
        <f>IFERROR(__xludf.DUMMYFUNCTION("""COMPUTED_VALUE"""),"mzsfcvgv.czz")</f>
        <v>mzsfcvgv.czz</v>
      </c>
      <c r="D745" s="2" t="str">
        <f>IFERROR(__xludf.DUMMYFUNCTION("IF(AND(B745=""$cd"",C745&lt;&gt;""..""),CONCATENATE(D744,""/"",C745),IF(C745="".."",MID(D744,1,LEN(D744)-LEN(REGEXEXTRACT(D744,""(/\w*)$""))),D744))"),"//zddrb/pgbgpn/vvmwgngv/bqc/lmnvtg/slzdbm")</f>
        <v>//zddrb/pgbgpn/vvmwgngv/bqc/lmnvtg/slzdbm</v>
      </c>
      <c r="K745" s="2"/>
    </row>
    <row r="746">
      <c r="A746" s="1" t="s">
        <v>612</v>
      </c>
      <c r="B746" s="2" t="str">
        <f>IFERROR(__xludf.DUMMYFUNCTION("SPLIT(A746,"" "")"),"$cd")</f>
        <v>$cd</v>
      </c>
      <c r="C746" s="2" t="str">
        <f>IFERROR(__xludf.DUMMYFUNCTION("""COMPUTED_VALUE"""),"..")</f>
        <v>..</v>
      </c>
      <c r="D746" s="2" t="str">
        <f>IFERROR(__xludf.DUMMYFUNCTION("IF(AND(B746=""$cd"",C746&lt;&gt;""..""),CONCATENATE(D745,""/"",C746),IF(C746="".."",MID(D745,1,LEN(D745)-LEN(REGEXEXTRACT(D745,""(/\w*)$""))),D745))"),"//zddrb/pgbgpn/vvmwgngv/bqc/lmnvtg")</f>
        <v>//zddrb/pgbgpn/vvmwgngv/bqc/lmnvtg</v>
      </c>
      <c r="K746" s="2"/>
    </row>
    <row r="747">
      <c r="A747" s="1" t="s">
        <v>612</v>
      </c>
      <c r="B747" s="2" t="str">
        <f>IFERROR(__xludf.DUMMYFUNCTION("SPLIT(A747,"" "")"),"$cd")</f>
        <v>$cd</v>
      </c>
      <c r="C747" s="2" t="str">
        <f>IFERROR(__xludf.DUMMYFUNCTION("""COMPUTED_VALUE"""),"..")</f>
        <v>..</v>
      </c>
      <c r="D747" s="2" t="str">
        <f>IFERROR(__xludf.DUMMYFUNCTION("IF(AND(B747=""$cd"",C747&lt;&gt;""..""),CONCATENATE(D746,""/"",C747),IF(C747="".."",MID(D746,1,LEN(D746)-LEN(REGEXEXTRACT(D746,""(/\w*)$""))),D746))"),"//zddrb/pgbgpn/vvmwgngv/bqc")</f>
        <v>//zddrb/pgbgpn/vvmwgngv/bqc</v>
      </c>
      <c r="K747" s="2"/>
    </row>
    <row r="748">
      <c r="A748" s="1" t="s">
        <v>643</v>
      </c>
      <c r="B748" s="2" t="str">
        <f>IFERROR(__xludf.DUMMYFUNCTION("SPLIT(A748,"" "")"),"$cd")</f>
        <v>$cd</v>
      </c>
      <c r="C748" s="2" t="str">
        <f>IFERROR(__xludf.DUMMYFUNCTION("""COMPUTED_VALUE"""),"mzsfcvgv")</f>
        <v>mzsfcvgv</v>
      </c>
      <c r="D748" s="2" t="str">
        <f>IFERROR(__xludf.DUMMYFUNCTION("IF(AND(B748=""$cd"",C748&lt;&gt;""..""),CONCATENATE(D747,""/"",C748),IF(C748="".."",MID(D747,1,LEN(D747)-LEN(REGEXEXTRACT(D747,""(/\w*)$""))),D747))"),"//zddrb/pgbgpn/vvmwgngv/bqc/mzsfcvgv")</f>
        <v>//zddrb/pgbgpn/vvmwgngv/bqc/mzsfcvgv</v>
      </c>
      <c r="K748" s="2"/>
    </row>
    <row r="749">
      <c r="A749" s="1" t="s">
        <v>609</v>
      </c>
      <c r="B749" s="2" t="str">
        <f>IFERROR(__xludf.DUMMYFUNCTION("SPLIT(A749,"" "")"),"$ls")</f>
        <v>$ls</v>
      </c>
      <c r="D749" s="2" t="str">
        <f>IFERROR(__xludf.DUMMYFUNCTION("IF(AND(B749=""$cd"",C749&lt;&gt;""..""),CONCATENATE(D748,""/"",C749),IF(C749="".."",MID(D748,1,LEN(D748)-LEN(REGEXEXTRACT(D748,""(/\w*)$""))),D748))"),"//zddrb/pgbgpn/vvmwgngv/bqc/mzsfcvgv")</f>
        <v>//zddrb/pgbgpn/vvmwgngv/bqc/mzsfcvgv</v>
      </c>
      <c r="K749" s="2"/>
    </row>
    <row r="750">
      <c r="A750" s="1" t="s">
        <v>426</v>
      </c>
      <c r="B750" s="2" t="str">
        <f>IFERROR(__xludf.DUMMYFUNCTION("SPLIT(A750,"" "")"),"dir")</f>
        <v>dir</v>
      </c>
      <c r="C750" s="2" t="str">
        <f>IFERROR(__xludf.DUMMYFUNCTION("""COMPUTED_VALUE"""),"nsvn")</f>
        <v>nsvn</v>
      </c>
      <c r="D750" s="2" t="str">
        <f>IFERROR(__xludf.DUMMYFUNCTION("IF(AND(B750=""$cd"",C750&lt;&gt;""..""),CONCATENATE(D749,""/"",C750),IF(C750="".."",MID(D749,1,LEN(D749)-LEN(REGEXEXTRACT(D749,""(/\w*)$""))),D749))"),"//zddrb/pgbgpn/vvmwgngv/bqc/mzsfcvgv")</f>
        <v>//zddrb/pgbgpn/vvmwgngv/bqc/mzsfcvgv</v>
      </c>
      <c r="K750" s="2"/>
    </row>
    <row r="751">
      <c r="A751" s="1" t="s">
        <v>427</v>
      </c>
      <c r="B751" s="2" t="str">
        <f>IFERROR(__xludf.DUMMYFUNCTION("SPLIT(A751,"" "")"),"dir")</f>
        <v>dir</v>
      </c>
      <c r="C751" s="2" t="str">
        <f>IFERROR(__xludf.DUMMYFUNCTION("""COMPUTED_VALUE"""),"plj")</f>
        <v>plj</v>
      </c>
      <c r="D751" s="2" t="str">
        <f>IFERROR(__xludf.DUMMYFUNCTION("IF(AND(B751=""$cd"",C751&lt;&gt;""..""),CONCATENATE(D750,""/"",C751),IF(C751="".."",MID(D750,1,LEN(D750)-LEN(REGEXEXTRACT(D750,""(/\w*)$""))),D750))"),"//zddrb/pgbgpn/vvmwgngv/bqc/mzsfcvgv")</f>
        <v>//zddrb/pgbgpn/vvmwgngv/bqc/mzsfcvgv</v>
      </c>
      <c r="K751" s="2"/>
    </row>
    <row r="752">
      <c r="A752" s="1" t="s">
        <v>428</v>
      </c>
      <c r="B752" s="2" t="str">
        <f>IFERROR(__xludf.DUMMYFUNCTION("SPLIT(A752,"" "")"),"dir")</f>
        <v>dir</v>
      </c>
      <c r="C752" s="2" t="str">
        <f>IFERROR(__xludf.DUMMYFUNCTION("""COMPUTED_VALUE"""),"tvmv")</f>
        <v>tvmv</v>
      </c>
      <c r="D752" s="2" t="str">
        <f>IFERROR(__xludf.DUMMYFUNCTION("IF(AND(B752=""$cd"",C752&lt;&gt;""..""),CONCATENATE(D751,""/"",C752),IF(C752="".."",MID(D751,1,LEN(D751)-LEN(REGEXEXTRACT(D751,""(/\w*)$""))),D751))"),"//zddrb/pgbgpn/vvmwgngv/bqc/mzsfcvgv")</f>
        <v>//zddrb/pgbgpn/vvmwgngv/bqc/mzsfcvgv</v>
      </c>
      <c r="K752" s="2"/>
    </row>
    <row r="753">
      <c r="A753" s="1" t="s">
        <v>718</v>
      </c>
      <c r="B753" s="2" t="str">
        <f>IFERROR(__xludf.DUMMYFUNCTION("SPLIT(A753,"" "")"),"$cd")</f>
        <v>$cd</v>
      </c>
      <c r="C753" s="2" t="str">
        <f>IFERROR(__xludf.DUMMYFUNCTION("""COMPUTED_VALUE"""),"nsvn")</f>
        <v>nsvn</v>
      </c>
      <c r="D753" s="2" t="str">
        <f>IFERROR(__xludf.DUMMYFUNCTION("IF(AND(B753=""$cd"",C753&lt;&gt;""..""),CONCATENATE(D752,""/"",C753),IF(C753="".."",MID(D752,1,LEN(D752)-LEN(REGEXEXTRACT(D752,""(/\w*)$""))),D752))"),"//zddrb/pgbgpn/vvmwgngv/bqc/mzsfcvgv/nsvn")</f>
        <v>//zddrb/pgbgpn/vvmwgngv/bqc/mzsfcvgv/nsvn</v>
      </c>
      <c r="K753" s="2"/>
    </row>
    <row r="754">
      <c r="A754" s="1" t="s">
        <v>609</v>
      </c>
      <c r="B754" s="2" t="str">
        <f>IFERROR(__xludf.DUMMYFUNCTION("SPLIT(A754,"" "")"),"$ls")</f>
        <v>$ls</v>
      </c>
      <c r="D754" s="2" t="str">
        <f>IFERROR(__xludf.DUMMYFUNCTION("IF(AND(B754=""$cd"",C754&lt;&gt;""..""),CONCATENATE(D753,""/"",C754),IF(C754="".."",MID(D753,1,LEN(D753)-LEN(REGEXEXTRACT(D753,""(/\w*)$""))),D753))"),"//zddrb/pgbgpn/vvmwgngv/bqc/mzsfcvgv/nsvn")</f>
        <v>//zddrb/pgbgpn/vvmwgngv/bqc/mzsfcvgv/nsvn</v>
      </c>
      <c r="K754" s="2"/>
    </row>
    <row r="755">
      <c r="A755" s="1" t="s">
        <v>430</v>
      </c>
      <c r="B755" s="2" t="str">
        <f>IFERROR(__xludf.DUMMYFUNCTION("SPLIT(A755,"" "")"),"dir")</f>
        <v>dir</v>
      </c>
      <c r="C755" s="2" t="str">
        <f>IFERROR(__xludf.DUMMYFUNCTION("""COMPUTED_VALUE"""),"bcmd")</f>
        <v>bcmd</v>
      </c>
      <c r="D755" s="2" t="str">
        <f>IFERROR(__xludf.DUMMYFUNCTION("IF(AND(B755=""$cd"",C755&lt;&gt;""..""),CONCATENATE(D754,""/"",C755),IF(C755="".."",MID(D754,1,LEN(D754)-LEN(REGEXEXTRACT(D754,""(/\w*)$""))),D754))"),"//zddrb/pgbgpn/vvmwgngv/bqc/mzsfcvgv/nsvn")</f>
        <v>//zddrb/pgbgpn/vvmwgngv/bqc/mzsfcvgv/nsvn</v>
      </c>
      <c r="K755" s="2"/>
    </row>
    <row r="756">
      <c r="A756" s="1" t="s">
        <v>431</v>
      </c>
      <c r="B756" s="2" t="str">
        <f>IFERROR(__xludf.DUMMYFUNCTION("SPLIT(A756,"" "")"),"dir")</f>
        <v>dir</v>
      </c>
      <c r="C756" s="2" t="str">
        <f>IFERROR(__xludf.DUMMYFUNCTION("""COMPUTED_VALUE"""),"jcjsp")</f>
        <v>jcjsp</v>
      </c>
      <c r="D756" s="2" t="str">
        <f>IFERROR(__xludf.DUMMYFUNCTION("IF(AND(B756=""$cd"",C756&lt;&gt;""..""),CONCATENATE(D755,""/"",C756),IF(C756="".."",MID(D755,1,LEN(D755)-LEN(REGEXEXTRACT(D755,""(/\w*)$""))),D755))"),"//zddrb/pgbgpn/vvmwgngv/bqc/mzsfcvgv/nsvn")</f>
        <v>//zddrb/pgbgpn/vvmwgngv/bqc/mzsfcvgv/nsvn</v>
      </c>
      <c r="K756" s="2"/>
    </row>
    <row r="757">
      <c r="A757" s="1" t="s">
        <v>4</v>
      </c>
      <c r="B757" s="2" t="str">
        <f>IFERROR(__xludf.DUMMYFUNCTION("SPLIT(A757,"" "")"),"dir")</f>
        <v>dir</v>
      </c>
      <c r="C757" s="2" t="str">
        <f>IFERROR(__xludf.DUMMYFUNCTION("""COMPUTED_VALUE"""),"jnwr")</f>
        <v>jnwr</v>
      </c>
      <c r="D757" s="2" t="str">
        <f>IFERROR(__xludf.DUMMYFUNCTION("IF(AND(B757=""$cd"",C757&lt;&gt;""..""),CONCATENATE(D756,""/"",C757),IF(C757="".."",MID(D756,1,LEN(D756)-LEN(REGEXEXTRACT(D756,""(/\w*)$""))),D756))"),"//zddrb/pgbgpn/vvmwgngv/bqc/mzsfcvgv/nsvn")</f>
        <v>//zddrb/pgbgpn/vvmwgngv/bqc/mzsfcvgv/nsvn</v>
      </c>
      <c r="K757" s="2"/>
    </row>
    <row r="758">
      <c r="A758" s="1" t="s">
        <v>719</v>
      </c>
      <c r="B758" s="2" t="str">
        <f>IFERROR(__xludf.DUMMYFUNCTION("SPLIT(A758,"" "")"),"$cd")</f>
        <v>$cd</v>
      </c>
      <c r="C758" s="2" t="str">
        <f>IFERROR(__xludf.DUMMYFUNCTION("""COMPUTED_VALUE"""),"bcmd")</f>
        <v>bcmd</v>
      </c>
      <c r="D758" s="2" t="str">
        <f>IFERROR(__xludf.DUMMYFUNCTION("IF(AND(B758=""$cd"",C758&lt;&gt;""..""),CONCATENATE(D757,""/"",C758),IF(C758="".."",MID(D757,1,LEN(D757)-LEN(REGEXEXTRACT(D757,""(/\w*)$""))),D757))"),"//zddrb/pgbgpn/vvmwgngv/bqc/mzsfcvgv/nsvn/bcmd")</f>
        <v>//zddrb/pgbgpn/vvmwgngv/bqc/mzsfcvgv/nsvn/bcmd</v>
      </c>
      <c r="K758" s="2"/>
    </row>
    <row r="759">
      <c r="A759" s="1" t="s">
        <v>609</v>
      </c>
      <c r="B759" s="2" t="str">
        <f>IFERROR(__xludf.DUMMYFUNCTION("SPLIT(A759,"" "")"),"$ls")</f>
        <v>$ls</v>
      </c>
      <c r="D759" s="2" t="str">
        <f>IFERROR(__xludf.DUMMYFUNCTION("IF(AND(B759=""$cd"",C759&lt;&gt;""..""),CONCATENATE(D758,""/"",C759),IF(C759="".."",MID(D758,1,LEN(D758)-LEN(REGEXEXTRACT(D758,""(/\w*)$""))),D758))"),"//zddrb/pgbgpn/vvmwgngv/bqc/mzsfcvgv/nsvn/bcmd")</f>
        <v>//zddrb/pgbgpn/vvmwgngv/bqc/mzsfcvgv/nsvn/bcmd</v>
      </c>
      <c r="K759" s="2"/>
    </row>
    <row r="760">
      <c r="A760" s="1" t="s">
        <v>433</v>
      </c>
      <c r="B760" s="2">
        <f>IFERROR(__xludf.DUMMYFUNCTION("SPLIT(A760,"" "")"),206778.0)</f>
        <v>206778</v>
      </c>
      <c r="C760" s="2" t="str">
        <f>IFERROR(__xludf.DUMMYFUNCTION("""COMPUTED_VALUE"""),"cpljbvm.vws")</f>
        <v>cpljbvm.vws</v>
      </c>
      <c r="D760" s="2" t="str">
        <f>IFERROR(__xludf.DUMMYFUNCTION("IF(AND(B760=""$cd"",C760&lt;&gt;""..""),CONCATENATE(D759,""/"",C760),IF(C760="".."",MID(D759,1,LEN(D759)-LEN(REGEXEXTRACT(D759,""(/\w*)$""))),D759))"),"//zddrb/pgbgpn/vvmwgngv/bqc/mzsfcvgv/nsvn/bcmd")</f>
        <v>//zddrb/pgbgpn/vvmwgngv/bqc/mzsfcvgv/nsvn/bcmd</v>
      </c>
      <c r="K760" s="2"/>
    </row>
    <row r="761">
      <c r="A761" s="1" t="s">
        <v>434</v>
      </c>
      <c r="B761" s="2">
        <f>IFERROR(__xludf.DUMMYFUNCTION("SPLIT(A761,"" "")"),86096.0)</f>
        <v>86096</v>
      </c>
      <c r="C761" s="2" t="str">
        <f>IFERROR(__xludf.DUMMYFUNCTION("""COMPUTED_VALUE"""),"lfgjnzhw.rtm")</f>
        <v>lfgjnzhw.rtm</v>
      </c>
      <c r="D761" s="2" t="str">
        <f>IFERROR(__xludf.DUMMYFUNCTION("IF(AND(B761=""$cd"",C761&lt;&gt;""..""),CONCATENATE(D760,""/"",C761),IF(C761="".."",MID(D760,1,LEN(D760)-LEN(REGEXEXTRACT(D760,""(/\w*)$""))),D760))"),"//zddrb/pgbgpn/vvmwgngv/bqc/mzsfcvgv/nsvn/bcmd")</f>
        <v>//zddrb/pgbgpn/vvmwgngv/bqc/mzsfcvgv/nsvn/bcmd</v>
      </c>
      <c r="K761" s="2"/>
    </row>
    <row r="762">
      <c r="A762" s="1" t="s">
        <v>612</v>
      </c>
      <c r="B762" s="2" t="str">
        <f>IFERROR(__xludf.DUMMYFUNCTION("SPLIT(A762,"" "")"),"$cd")</f>
        <v>$cd</v>
      </c>
      <c r="C762" s="2" t="str">
        <f>IFERROR(__xludf.DUMMYFUNCTION("""COMPUTED_VALUE"""),"..")</f>
        <v>..</v>
      </c>
      <c r="D762" s="2" t="str">
        <f>IFERROR(__xludf.DUMMYFUNCTION("IF(AND(B762=""$cd"",C762&lt;&gt;""..""),CONCATENATE(D761,""/"",C762),IF(C762="".."",MID(D761,1,LEN(D761)-LEN(REGEXEXTRACT(D761,""(/\w*)$""))),D761))"),"//zddrb/pgbgpn/vvmwgngv/bqc/mzsfcvgv/nsvn")</f>
        <v>//zddrb/pgbgpn/vvmwgngv/bqc/mzsfcvgv/nsvn</v>
      </c>
      <c r="K762" s="2"/>
    </row>
    <row r="763">
      <c r="A763" s="1" t="s">
        <v>720</v>
      </c>
      <c r="B763" s="2" t="str">
        <f>IFERROR(__xludf.DUMMYFUNCTION("SPLIT(A763,"" "")"),"$cd")</f>
        <v>$cd</v>
      </c>
      <c r="C763" s="2" t="str">
        <f>IFERROR(__xludf.DUMMYFUNCTION("""COMPUTED_VALUE"""),"jcjsp")</f>
        <v>jcjsp</v>
      </c>
      <c r="D763" s="2" t="str">
        <f>IFERROR(__xludf.DUMMYFUNCTION("IF(AND(B763=""$cd"",C763&lt;&gt;""..""),CONCATENATE(D762,""/"",C763),IF(C763="".."",MID(D762,1,LEN(D762)-LEN(REGEXEXTRACT(D762,""(/\w*)$""))),D762))"),"//zddrb/pgbgpn/vvmwgngv/bqc/mzsfcvgv/nsvn/jcjsp")</f>
        <v>//zddrb/pgbgpn/vvmwgngv/bqc/mzsfcvgv/nsvn/jcjsp</v>
      </c>
      <c r="K763" s="2"/>
    </row>
    <row r="764">
      <c r="A764" s="1" t="s">
        <v>609</v>
      </c>
      <c r="B764" s="2" t="str">
        <f>IFERROR(__xludf.DUMMYFUNCTION("SPLIT(A764,"" "")"),"$ls")</f>
        <v>$ls</v>
      </c>
      <c r="D764" s="2" t="str">
        <f>IFERROR(__xludf.DUMMYFUNCTION("IF(AND(B764=""$cd"",C764&lt;&gt;""..""),CONCATENATE(D763,""/"",C764),IF(C764="".."",MID(D763,1,LEN(D763)-LEN(REGEXEXTRACT(D763,""(/\w*)$""))),D763))"),"//zddrb/pgbgpn/vvmwgngv/bqc/mzsfcvgv/nsvn/jcjsp")</f>
        <v>//zddrb/pgbgpn/vvmwgngv/bqc/mzsfcvgv/nsvn/jcjsp</v>
      </c>
      <c r="K764" s="2"/>
    </row>
    <row r="765">
      <c r="A765" s="1" t="s">
        <v>436</v>
      </c>
      <c r="B765" s="2">
        <f>IFERROR(__xludf.DUMMYFUNCTION("SPLIT(A765,"" "")"),188389.0)</f>
        <v>188389</v>
      </c>
      <c r="C765" s="2" t="str">
        <f>IFERROR(__xludf.DUMMYFUNCTION("""COMPUTED_VALUE"""),"zbdp.gqb")</f>
        <v>zbdp.gqb</v>
      </c>
      <c r="D765" s="2" t="str">
        <f>IFERROR(__xludf.DUMMYFUNCTION("IF(AND(B765=""$cd"",C765&lt;&gt;""..""),CONCATENATE(D764,""/"",C765),IF(C765="".."",MID(D764,1,LEN(D764)-LEN(REGEXEXTRACT(D764,""(/\w*)$""))),D764))"),"//zddrb/pgbgpn/vvmwgngv/bqc/mzsfcvgv/nsvn/jcjsp")</f>
        <v>//zddrb/pgbgpn/vvmwgngv/bqc/mzsfcvgv/nsvn/jcjsp</v>
      </c>
      <c r="K765" s="2"/>
    </row>
    <row r="766">
      <c r="A766" s="1" t="s">
        <v>612</v>
      </c>
      <c r="B766" s="2" t="str">
        <f>IFERROR(__xludf.DUMMYFUNCTION("SPLIT(A766,"" "")"),"$cd")</f>
        <v>$cd</v>
      </c>
      <c r="C766" s="2" t="str">
        <f>IFERROR(__xludf.DUMMYFUNCTION("""COMPUTED_VALUE"""),"..")</f>
        <v>..</v>
      </c>
      <c r="D766" s="2" t="str">
        <f>IFERROR(__xludf.DUMMYFUNCTION("IF(AND(B766=""$cd"",C766&lt;&gt;""..""),CONCATENATE(D765,""/"",C766),IF(C766="".."",MID(D765,1,LEN(D765)-LEN(REGEXEXTRACT(D765,""(/\w*)$""))),D765))"),"//zddrb/pgbgpn/vvmwgngv/bqc/mzsfcvgv/nsvn")</f>
        <v>//zddrb/pgbgpn/vvmwgngv/bqc/mzsfcvgv/nsvn</v>
      </c>
      <c r="K766" s="2"/>
    </row>
    <row r="767">
      <c r="A767" s="1" t="s">
        <v>614</v>
      </c>
      <c r="B767" s="2" t="str">
        <f>IFERROR(__xludf.DUMMYFUNCTION("SPLIT(A767,"" "")"),"$cd")</f>
        <v>$cd</v>
      </c>
      <c r="C767" s="2" t="str">
        <f>IFERROR(__xludf.DUMMYFUNCTION("""COMPUTED_VALUE"""),"jnwr")</f>
        <v>jnwr</v>
      </c>
      <c r="D767" s="2" t="str">
        <f>IFERROR(__xludf.DUMMYFUNCTION("IF(AND(B767=""$cd"",C767&lt;&gt;""..""),CONCATENATE(D766,""/"",C767),IF(C767="".."",MID(D766,1,LEN(D766)-LEN(REGEXEXTRACT(D766,""(/\w*)$""))),D766))"),"//zddrb/pgbgpn/vvmwgngv/bqc/mzsfcvgv/nsvn/jnwr")</f>
        <v>//zddrb/pgbgpn/vvmwgngv/bqc/mzsfcvgv/nsvn/jnwr</v>
      </c>
      <c r="K767" s="2"/>
    </row>
    <row r="768">
      <c r="A768" s="1" t="s">
        <v>609</v>
      </c>
      <c r="B768" s="2" t="str">
        <f>IFERROR(__xludf.DUMMYFUNCTION("SPLIT(A768,"" "")"),"$ls")</f>
        <v>$ls</v>
      </c>
      <c r="D768" s="2" t="str">
        <f>IFERROR(__xludf.DUMMYFUNCTION("IF(AND(B768=""$cd"",C768&lt;&gt;""..""),CONCATENATE(D767,""/"",C768),IF(C768="".."",MID(D767,1,LEN(D767)-LEN(REGEXEXTRACT(D767,""(/\w*)$""))),D767))"),"//zddrb/pgbgpn/vvmwgngv/bqc/mzsfcvgv/nsvn/jnwr")</f>
        <v>//zddrb/pgbgpn/vvmwgngv/bqc/mzsfcvgv/nsvn/jnwr</v>
      </c>
      <c r="K768" s="2"/>
    </row>
    <row r="769">
      <c r="A769" s="1" t="s">
        <v>437</v>
      </c>
      <c r="B769" s="2">
        <f>IFERROR(__xludf.DUMMYFUNCTION("SPLIT(A769,"" "")"),293633.0)</f>
        <v>293633</v>
      </c>
      <c r="C769" s="2" t="str">
        <f>IFERROR(__xludf.DUMMYFUNCTION("""COMPUTED_VALUE"""),"jhh.wtj")</f>
        <v>jhh.wtj</v>
      </c>
      <c r="D769" s="2" t="str">
        <f>IFERROR(__xludf.DUMMYFUNCTION("IF(AND(B769=""$cd"",C769&lt;&gt;""..""),CONCATENATE(D768,""/"",C769),IF(C769="".."",MID(D768,1,LEN(D768)-LEN(REGEXEXTRACT(D768,""(/\w*)$""))),D768))"),"//zddrb/pgbgpn/vvmwgngv/bqc/mzsfcvgv/nsvn/jnwr")</f>
        <v>//zddrb/pgbgpn/vvmwgngv/bqc/mzsfcvgv/nsvn/jnwr</v>
      </c>
      <c r="K769" s="2"/>
    </row>
    <row r="770">
      <c r="A770" s="1" t="s">
        <v>612</v>
      </c>
      <c r="B770" s="2" t="str">
        <f>IFERROR(__xludf.DUMMYFUNCTION("SPLIT(A770,"" "")"),"$cd")</f>
        <v>$cd</v>
      </c>
      <c r="C770" s="2" t="str">
        <f>IFERROR(__xludf.DUMMYFUNCTION("""COMPUTED_VALUE"""),"..")</f>
        <v>..</v>
      </c>
      <c r="D770" s="2" t="str">
        <f>IFERROR(__xludf.DUMMYFUNCTION("IF(AND(B770=""$cd"",C770&lt;&gt;""..""),CONCATENATE(D769,""/"",C770),IF(C770="".."",MID(D769,1,LEN(D769)-LEN(REGEXEXTRACT(D769,""(/\w*)$""))),D769))"),"//zddrb/pgbgpn/vvmwgngv/bqc/mzsfcvgv/nsvn")</f>
        <v>//zddrb/pgbgpn/vvmwgngv/bqc/mzsfcvgv/nsvn</v>
      </c>
      <c r="K770" s="2"/>
    </row>
    <row r="771">
      <c r="A771" s="1" t="s">
        <v>612</v>
      </c>
      <c r="B771" s="2" t="str">
        <f>IFERROR(__xludf.DUMMYFUNCTION("SPLIT(A771,"" "")"),"$cd")</f>
        <v>$cd</v>
      </c>
      <c r="C771" s="2" t="str">
        <f>IFERROR(__xludf.DUMMYFUNCTION("""COMPUTED_VALUE"""),"..")</f>
        <v>..</v>
      </c>
      <c r="D771" s="2" t="str">
        <f>IFERROR(__xludf.DUMMYFUNCTION("IF(AND(B771=""$cd"",C771&lt;&gt;""..""),CONCATENATE(D770,""/"",C771),IF(C771="".."",MID(D770,1,LEN(D770)-LEN(REGEXEXTRACT(D770,""(/\w*)$""))),D770))"),"//zddrb/pgbgpn/vvmwgngv/bqc/mzsfcvgv")</f>
        <v>//zddrb/pgbgpn/vvmwgngv/bqc/mzsfcvgv</v>
      </c>
      <c r="K771" s="2"/>
    </row>
    <row r="772">
      <c r="A772" s="1" t="s">
        <v>721</v>
      </c>
      <c r="B772" s="2" t="str">
        <f>IFERROR(__xludf.DUMMYFUNCTION("SPLIT(A772,"" "")"),"$cd")</f>
        <v>$cd</v>
      </c>
      <c r="C772" s="2" t="str">
        <f>IFERROR(__xludf.DUMMYFUNCTION("""COMPUTED_VALUE"""),"plj")</f>
        <v>plj</v>
      </c>
      <c r="D772" s="2" t="str">
        <f>IFERROR(__xludf.DUMMYFUNCTION("IF(AND(B772=""$cd"",C772&lt;&gt;""..""),CONCATENATE(D771,""/"",C772),IF(C772="".."",MID(D771,1,LEN(D771)-LEN(REGEXEXTRACT(D771,""(/\w*)$""))),D771))"),"//zddrb/pgbgpn/vvmwgngv/bqc/mzsfcvgv/plj")</f>
        <v>//zddrb/pgbgpn/vvmwgngv/bqc/mzsfcvgv/plj</v>
      </c>
      <c r="K772" s="2"/>
    </row>
    <row r="773">
      <c r="A773" s="1" t="s">
        <v>609</v>
      </c>
      <c r="B773" s="2" t="str">
        <f>IFERROR(__xludf.DUMMYFUNCTION("SPLIT(A773,"" "")"),"$ls")</f>
        <v>$ls</v>
      </c>
      <c r="D773" s="2" t="str">
        <f>IFERROR(__xludf.DUMMYFUNCTION("IF(AND(B773=""$cd"",C773&lt;&gt;""..""),CONCATENATE(D772,""/"",C773),IF(C773="".."",MID(D772,1,LEN(D772)-LEN(REGEXEXTRACT(D772,""(/\w*)$""))),D772))"),"//zddrb/pgbgpn/vvmwgngv/bqc/mzsfcvgv/plj")</f>
        <v>//zddrb/pgbgpn/vvmwgngv/bqc/mzsfcvgv/plj</v>
      </c>
      <c r="K773" s="2"/>
    </row>
    <row r="774">
      <c r="A774" s="1" t="s">
        <v>439</v>
      </c>
      <c r="B774" s="2">
        <f>IFERROR(__xludf.DUMMYFUNCTION("SPLIT(A774,"" "")"),323119.0)</f>
        <v>323119</v>
      </c>
      <c r="C774" s="2" t="str">
        <f>IFERROR(__xludf.DUMMYFUNCTION("""COMPUTED_VALUE"""),"qgs")</f>
        <v>qgs</v>
      </c>
      <c r="D774" s="2" t="str">
        <f>IFERROR(__xludf.DUMMYFUNCTION("IF(AND(B774=""$cd"",C774&lt;&gt;""..""),CONCATENATE(D773,""/"",C774),IF(C774="".."",MID(D773,1,LEN(D773)-LEN(REGEXEXTRACT(D773,""(/\w*)$""))),D773))"),"//zddrb/pgbgpn/vvmwgngv/bqc/mzsfcvgv/plj")</f>
        <v>//zddrb/pgbgpn/vvmwgngv/bqc/mzsfcvgv/plj</v>
      </c>
      <c r="K774" s="2"/>
    </row>
    <row r="775">
      <c r="A775" s="1" t="s">
        <v>440</v>
      </c>
      <c r="B775" s="2">
        <f>IFERROR(__xludf.DUMMYFUNCTION("SPLIT(A775,"" "")"),221100.0)</f>
        <v>221100</v>
      </c>
      <c r="C775" s="2" t="str">
        <f>IFERROR(__xludf.DUMMYFUNCTION("""COMPUTED_VALUE"""),"ssssrhwz")</f>
        <v>ssssrhwz</v>
      </c>
      <c r="D775" s="2" t="str">
        <f>IFERROR(__xludf.DUMMYFUNCTION("IF(AND(B775=""$cd"",C775&lt;&gt;""..""),CONCATENATE(D774,""/"",C775),IF(C775="".."",MID(D774,1,LEN(D774)-LEN(REGEXEXTRACT(D774,""(/\w*)$""))),D774))"),"//zddrb/pgbgpn/vvmwgngv/bqc/mzsfcvgv/plj")</f>
        <v>//zddrb/pgbgpn/vvmwgngv/bqc/mzsfcvgv/plj</v>
      </c>
      <c r="K775" s="2"/>
    </row>
    <row r="776">
      <c r="A776" s="1" t="s">
        <v>441</v>
      </c>
      <c r="B776" s="2">
        <f>IFERROR(__xludf.DUMMYFUNCTION("SPLIT(A776,"" "")"),264549.0)</f>
        <v>264549</v>
      </c>
      <c r="C776" s="2" t="str">
        <f>IFERROR(__xludf.DUMMYFUNCTION("""COMPUTED_VALUE"""),"zbdp.gqb")</f>
        <v>zbdp.gqb</v>
      </c>
      <c r="D776" s="2" t="str">
        <f>IFERROR(__xludf.DUMMYFUNCTION("IF(AND(B776=""$cd"",C776&lt;&gt;""..""),CONCATENATE(D775,""/"",C776),IF(C776="".."",MID(D775,1,LEN(D775)-LEN(REGEXEXTRACT(D775,""(/\w*)$""))),D775))"),"//zddrb/pgbgpn/vvmwgngv/bqc/mzsfcvgv/plj")</f>
        <v>//zddrb/pgbgpn/vvmwgngv/bqc/mzsfcvgv/plj</v>
      </c>
      <c r="K776" s="2"/>
    </row>
    <row r="777">
      <c r="A777" s="1" t="s">
        <v>612</v>
      </c>
      <c r="B777" s="2" t="str">
        <f>IFERROR(__xludf.DUMMYFUNCTION("SPLIT(A777,"" "")"),"$cd")</f>
        <v>$cd</v>
      </c>
      <c r="C777" s="2" t="str">
        <f>IFERROR(__xludf.DUMMYFUNCTION("""COMPUTED_VALUE"""),"..")</f>
        <v>..</v>
      </c>
      <c r="D777" s="2" t="str">
        <f>IFERROR(__xludf.DUMMYFUNCTION("IF(AND(B777=""$cd"",C777&lt;&gt;""..""),CONCATENATE(D776,""/"",C777),IF(C777="".."",MID(D776,1,LEN(D776)-LEN(REGEXEXTRACT(D776,""(/\w*)$""))),D776))"),"//zddrb/pgbgpn/vvmwgngv/bqc/mzsfcvgv")</f>
        <v>//zddrb/pgbgpn/vvmwgngv/bqc/mzsfcvgv</v>
      </c>
      <c r="K777" s="2"/>
    </row>
    <row r="778">
      <c r="A778" s="1" t="s">
        <v>722</v>
      </c>
      <c r="B778" s="2" t="str">
        <f>IFERROR(__xludf.DUMMYFUNCTION("SPLIT(A778,"" "")"),"$cd")</f>
        <v>$cd</v>
      </c>
      <c r="C778" s="2" t="str">
        <f>IFERROR(__xludf.DUMMYFUNCTION("""COMPUTED_VALUE"""),"tvmv")</f>
        <v>tvmv</v>
      </c>
      <c r="D778" s="2" t="str">
        <f>IFERROR(__xludf.DUMMYFUNCTION("IF(AND(B778=""$cd"",C778&lt;&gt;""..""),CONCATENATE(D777,""/"",C778),IF(C778="".."",MID(D777,1,LEN(D777)-LEN(REGEXEXTRACT(D777,""(/\w*)$""))),D777))"),"//zddrb/pgbgpn/vvmwgngv/bqc/mzsfcvgv/tvmv")</f>
        <v>//zddrb/pgbgpn/vvmwgngv/bqc/mzsfcvgv/tvmv</v>
      </c>
      <c r="K778" s="2"/>
    </row>
    <row r="779">
      <c r="A779" s="1" t="s">
        <v>609</v>
      </c>
      <c r="B779" s="2" t="str">
        <f>IFERROR(__xludf.DUMMYFUNCTION("SPLIT(A779,"" "")"),"$ls")</f>
        <v>$ls</v>
      </c>
      <c r="D779" s="2" t="str">
        <f>IFERROR(__xludf.DUMMYFUNCTION("IF(AND(B779=""$cd"",C779&lt;&gt;""..""),CONCATENATE(D778,""/"",C779),IF(C779="".."",MID(D778,1,LEN(D778)-LEN(REGEXEXTRACT(D778,""(/\w*)$""))),D778))"),"//zddrb/pgbgpn/vvmwgngv/bqc/mzsfcvgv/tvmv")</f>
        <v>//zddrb/pgbgpn/vvmwgngv/bqc/mzsfcvgv/tvmv</v>
      </c>
      <c r="K779" s="2"/>
    </row>
    <row r="780">
      <c r="A780" s="1" t="s">
        <v>443</v>
      </c>
      <c r="B780" s="2">
        <f>IFERROR(__xludf.DUMMYFUNCTION("SPLIT(A780,"" "")"),198197.0)</f>
        <v>198197</v>
      </c>
      <c r="C780" s="2" t="str">
        <f>IFERROR(__xludf.DUMMYFUNCTION("""COMPUTED_VALUE"""),"mpq.cdn")</f>
        <v>mpq.cdn</v>
      </c>
      <c r="D780" s="2" t="str">
        <f>IFERROR(__xludf.DUMMYFUNCTION("IF(AND(B780=""$cd"",C780&lt;&gt;""..""),CONCATENATE(D779,""/"",C780),IF(C780="".."",MID(D779,1,LEN(D779)-LEN(REGEXEXTRACT(D779,""(/\w*)$""))),D779))"),"//zddrb/pgbgpn/vvmwgngv/bqc/mzsfcvgv/tvmv")</f>
        <v>//zddrb/pgbgpn/vvmwgngv/bqc/mzsfcvgv/tvmv</v>
      </c>
      <c r="K780" s="2"/>
    </row>
    <row r="781">
      <c r="A781" s="1" t="s">
        <v>612</v>
      </c>
      <c r="B781" s="2" t="str">
        <f>IFERROR(__xludf.DUMMYFUNCTION("SPLIT(A781,"" "")"),"$cd")</f>
        <v>$cd</v>
      </c>
      <c r="C781" s="2" t="str">
        <f>IFERROR(__xludf.DUMMYFUNCTION("""COMPUTED_VALUE"""),"..")</f>
        <v>..</v>
      </c>
      <c r="D781" s="2" t="str">
        <f>IFERROR(__xludf.DUMMYFUNCTION("IF(AND(B781=""$cd"",C781&lt;&gt;""..""),CONCATENATE(D780,""/"",C781),IF(C781="".."",MID(D780,1,LEN(D780)-LEN(REGEXEXTRACT(D780,""(/\w*)$""))),D780))"),"//zddrb/pgbgpn/vvmwgngv/bqc/mzsfcvgv")</f>
        <v>//zddrb/pgbgpn/vvmwgngv/bqc/mzsfcvgv</v>
      </c>
      <c r="K781" s="2"/>
    </row>
    <row r="782">
      <c r="A782" s="1" t="s">
        <v>612</v>
      </c>
      <c r="B782" s="2" t="str">
        <f>IFERROR(__xludf.DUMMYFUNCTION("SPLIT(A782,"" "")"),"$cd")</f>
        <v>$cd</v>
      </c>
      <c r="C782" s="2" t="str">
        <f>IFERROR(__xludf.DUMMYFUNCTION("""COMPUTED_VALUE"""),"..")</f>
        <v>..</v>
      </c>
      <c r="D782" s="2" t="str">
        <f>IFERROR(__xludf.DUMMYFUNCTION("IF(AND(B782=""$cd"",C782&lt;&gt;""..""),CONCATENATE(D781,""/"",C782),IF(C782="".."",MID(D781,1,LEN(D781)-LEN(REGEXEXTRACT(D781,""(/\w*)$""))),D781))"),"//zddrb/pgbgpn/vvmwgngv/bqc")</f>
        <v>//zddrb/pgbgpn/vvmwgngv/bqc</v>
      </c>
      <c r="K782" s="2"/>
    </row>
    <row r="783">
      <c r="A783" s="1" t="s">
        <v>723</v>
      </c>
      <c r="B783" s="2" t="str">
        <f>IFERROR(__xludf.DUMMYFUNCTION("SPLIT(A783,"" "")"),"$cd")</f>
        <v>$cd</v>
      </c>
      <c r="C783" s="2" t="str">
        <f>IFERROR(__xludf.DUMMYFUNCTION("""COMPUTED_VALUE"""),"twzq")</f>
        <v>twzq</v>
      </c>
      <c r="D783" s="2" t="str">
        <f>IFERROR(__xludf.DUMMYFUNCTION("IF(AND(B783=""$cd"",C783&lt;&gt;""..""),CONCATENATE(D782,""/"",C783),IF(C783="".."",MID(D782,1,LEN(D782)-LEN(REGEXEXTRACT(D782,""(/\w*)$""))),D782))"),"//zddrb/pgbgpn/vvmwgngv/bqc/twzq")</f>
        <v>//zddrb/pgbgpn/vvmwgngv/bqc/twzq</v>
      </c>
      <c r="K783" s="2"/>
    </row>
    <row r="784">
      <c r="A784" s="1" t="s">
        <v>609</v>
      </c>
      <c r="B784" s="2" t="str">
        <f>IFERROR(__xludf.DUMMYFUNCTION("SPLIT(A784,"" "")"),"$ls")</f>
        <v>$ls</v>
      </c>
      <c r="D784" s="2" t="str">
        <f>IFERROR(__xludf.DUMMYFUNCTION("IF(AND(B784=""$cd"",C784&lt;&gt;""..""),CONCATENATE(D783,""/"",C784),IF(C784="".."",MID(D783,1,LEN(D783)-LEN(REGEXEXTRACT(D783,""(/\w*)$""))),D783))"),"//zddrb/pgbgpn/vvmwgngv/bqc/twzq")</f>
        <v>//zddrb/pgbgpn/vvmwgngv/bqc/twzq</v>
      </c>
      <c r="K784" s="2"/>
    </row>
    <row r="785">
      <c r="A785" s="1" t="s">
        <v>445</v>
      </c>
      <c r="B785" s="2" t="str">
        <f>IFERROR(__xludf.DUMMYFUNCTION("SPLIT(A785,"" "")"),"dir")</f>
        <v>dir</v>
      </c>
      <c r="C785" s="2" t="str">
        <f>IFERROR(__xludf.DUMMYFUNCTION("""COMPUTED_VALUE"""),"hwgndwpj")</f>
        <v>hwgndwpj</v>
      </c>
      <c r="D785" s="2" t="str">
        <f>IFERROR(__xludf.DUMMYFUNCTION("IF(AND(B785=""$cd"",C785&lt;&gt;""..""),CONCATENATE(D784,""/"",C785),IF(C785="".."",MID(D784,1,LEN(D784)-LEN(REGEXEXTRACT(D784,""(/\w*)$""))),D784))"),"//zddrb/pgbgpn/vvmwgngv/bqc/twzq")</f>
        <v>//zddrb/pgbgpn/vvmwgngv/bqc/twzq</v>
      </c>
      <c r="K785" s="2"/>
    </row>
    <row r="786">
      <c r="A786" s="1" t="s">
        <v>724</v>
      </c>
      <c r="B786" s="2" t="str">
        <f>IFERROR(__xludf.DUMMYFUNCTION("SPLIT(A786,"" "")"),"$cd")</f>
        <v>$cd</v>
      </c>
      <c r="C786" s="2" t="str">
        <f>IFERROR(__xludf.DUMMYFUNCTION("""COMPUTED_VALUE"""),"hwgndwpj")</f>
        <v>hwgndwpj</v>
      </c>
      <c r="D786" s="2" t="str">
        <f>IFERROR(__xludf.DUMMYFUNCTION("IF(AND(B786=""$cd"",C786&lt;&gt;""..""),CONCATENATE(D785,""/"",C786),IF(C786="".."",MID(D785,1,LEN(D785)-LEN(REGEXEXTRACT(D785,""(/\w*)$""))),D785))"),"//zddrb/pgbgpn/vvmwgngv/bqc/twzq/hwgndwpj")</f>
        <v>//zddrb/pgbgpn/vvmwgngv/bqc/twzq/hwgndwpj</v>
      </c>
      <c r="K786" s="2"/>
    </row>
    <row r="787">
      <c r="A787" s="1" t="s">
        <v>609</v>
      </c>
      <c r="B787" s="2" t="str">
        <f>IFERROR(__xludf.DUMMYFUNCTION("SPLIT(A787,"" "")"),"$ls")</f>
        <v>$ls</v>
      </c>
      <c r="D787" s="2" t="str">
        <f>IFERROR(__xludf.DUMMYFUNCTION("IF(AND(B787=""$cd"",C787&lt;&gt;""..""),CONCATENATE(D786,""/"",C787),IF(C787="".."",MID(D786,1,LEN(D786)-LEN(REGEXEXTRACT(D786,""(/\w*)$""))),D786))"),"//zddrb/pgbgpn/vvmwgngv/bqc/twzq/hwgndwpj")</f>
        <v>//zddrb/pgbgpn/vvmwgngv/bqc/twzq/hwgndwpj</v>
      </c>
      <c r="K787" s="2"/>
    </row>
    <row r="788">
      <c r="A788" s="1" t="s">
        <v>447</v>
      </c>
      <c r="B788" s="2" t="str">
        <f>IFERROR(__xludf.DUMMYFUNCTION("SPLIT(A788,"" "")"),"dir")</f>
        <v>dir</v>
      </c>
      <c r="C788" s="2" t="str">
        <f>IFERROR(__xludf.DUMMYFUNCTION("""COMPUTED_VALUE"""),"srdzqqf")</f>
        <v>srdzqqf</v>
      </c>
      <c r="D788" s="2" t="str">
        <f>IFERROR(__xludf.DUMMYFUNCTION("IF(AND(B788=""$cd"",C788&lt;&gt;""..""),CONCATENATE(D787,""/"",C788),IF(C788="".."",MID(D787,1,LEN(D787)-LEN(REGEXEXTRACT(D787,""(/\w*)$""))),D787))"),"//zddrb/pgbgpn/vvmwgngv/bqc/twzq/hwgndwpj")</f>
        <v>//zddrb/pgbgpn/vvmwgngv/bqc/twzq/hwgndwpj</v>
      </c>
      <c r="K788" s="2"/>
    </row>
    <row r="789">
      <c r="A789" s="1" t="s">
        <v>725</v>
      </c>
      <c r="B789" s="2" t="str">
        <f>IFERROR(__xludf.DUMMYFUNCTION("SPLIT(A789,"" "")"),"$cd")</f>
        <v>$cd</v>
      </c>
      <c r="C789" s="2" t="str">
        <f>IFERROR(__xludf.DUMMYFUNCTION("""COMPUTED_VALUE"""),"srdzqqf")</f>
        <v>srdzqqf</v>
      </c>
      <c r="D789" s="2" t="str">
        <f>IFERROR(__xludf.DUMMYFUNCTION("IF(AND(B789=""$cd"",C789&lt;&gt;""..""),CONCATENATE(D788,""/"",C789),IF(C789="".."",MID(D788,1,LEN(D788)-LEN(REGEXEXTRACT(D788,""(/\w*)$""))),D788))"),"//zddrb/pgbgpn/vvmwgngv/bqc/twzq/hwgndwpj/srdzqqf")</f>
        <v>//zddrb/pgbgpn/vvmwgngv/bqc/twzq/hwgndwpj/srdzqqf</v>
      </c>
      <c r="K789" s="2"/>
    </row>
    <row r="790">
      <c r="A790" s="1" t="s">
        <v>609</v>
      </c>
      <c r="B790" s="2" t="str">
        <f>IFERROR(__xludf.DUMMYFUNCTION("SPLIT(A790,"" "")"),"$ls")</f>
        <v>$ls</v>
      </c>
      <c r="D790" s="2" t="str">
        <f>IFERROR(__xludf.DUMMYFUNCTION("IF(AND(B790=""$cd"",C790&lt;&gt;""..""),CONCATENATE(D789,""/"",C790),IF(C790="".."",MID(D789,1,LEN(D789)-LEN(REGEXEXTRACT(D789,""(/\w*)$""))),D789))"),"//zddrb/pgbgpn/vvmwgngv/bqc/twzq/hwgndwpj/srdzqqf")</f>
        <v>//zddrb/pgbgpn/vvmwgngv/bqc/twzq/hwgndwpj/srdzqqf</v>
      </c>
      <c r="K790" s="2"/>
    </row>
    <row r="791">
      <c r="A791" s="1" t="s">
        <v>449</v>
      </c>
      <c r="B791" s="2">
        <f>IFERROR(__xludf.DUMMYFUNCTION("SPLIT(A791,"" "")"),101738.0)</f>
        <v>101738</v>
      </c>
      <c r="C791" s="2" t="str">
        <f>IFERROR(__xludf.DUMMYFUNCTION("""COMPUTED_VALUE"""),"slzdbm")</f>
        <v>slzdbm</v>
      </c>
      <c r="D791" s="2" t="str">
        <f>IFERROR(__xludf.DUMMYFUNCTION("IF(AND(B791=""$cd"",C791&lt;&gt;""..""),CONCATENATE(D790,""/"",C791),IF(C791="".."",MID(D790,1,LEN(D790)-LEN(REGEXEXTRACT(D790,""(/\w*)$""))),D790))"),"//zddrb/pgbgpn/vvmwgngv/bqc/twzq/hwgndwpj/srdzqqf")</f>
        <v>//zddrb/pgbgpn/vvmwgngv/bqc/twzq/hwgndwpj/srdzqqf</v>
      </c>
      <c r="K791" s="2"/>
    </row>
    <row r="792">
      <c r="A792" s="1" t="s">
        <v>612</v>
      </c>
      <c r="B792" s="2" t="str">
        <f>IFERROR(__xludf.DUMMYFUNCTION("SPLIT(A792,"" "")"),"$cd")</f>
        <v>$cd</v>
      </c>
      <c r="C792" s="2" t="str">
        <f>IFERROR(__xludf.DUMMYFUNCTION("""COMPUTED_VALUE"""),"..")</f>
        <v>..</v>
      </c>
      <c r="D792" s="2" t="str">
        <f>IFERROR(__xludf.DUMMYFUNCTION("IF(AND(B792=""$cd"",C792&lt;&gt;""..""),CONCATENATE(D791,""/"",C792),IF(C792="".."",MID(D791,1,LEN(D791)-LEN(REGEXEXTRACT(D791,""(/\w*)$""))),D791))"),"//zddrb/pgbgpn/vvmwgngv/bqc/twzq/hwgndwpj")</f>
        <v>//zddrb/pgbgpn/vvmwgngv/bqc/twzq/hwgndwpj</v>
      </c>
      <c r="K792" s="2"/>
    </row>
    <row r="793">
      <c r="A793" s="1" t="s">
        <v>612</v>
      </c>
      <c r="B793" s="2" t="str">
        <f>IFERROR(__xludf.DUMMYFUNCTION("SPLIT(A793,"" "")"),"$cd")</f>
        <v>$cd</v>
      </c>
      <c r="C793" s="2" t="str">
        <f>IFERROR(__xludf.DUMMYFUNCTION("""COMPUTED_VALUE"""),"..")</f>
        <v>..</v>
      </c>
      <c r="D793" s="2" t="str">
        <f>IFERROR(__xludf.DUMMYFUNCTION("IF(AND(B793=""$cd"",C793&lt;&gt;""..""),CONCATENATE(D792,""/"",C793),IF(C793="".."",MID(D792,1,LEN(D792)-LEN(REGEXEXTRACT(D792,""(/\w*)$""))),D792))"),"//zddrb/pgbgpn/vvmwgngv/bqc/twzq")</f>
        <v>//zddrb/pgbgpn/vvmwgngv/bqc/twzq</v>
      </c>
      <c r="K793" s="2"/>
    </row>
    <row r="794">
      <c r="A794" s="1" t="s">
        <v>612</v>
      </c>
      <c r="B794" s="2" t="str">
        <f>IFERROR(__xludf.DUMMYFUNCTION("SPLIT(A794,"" "")"),"$cd")</f>
        <v>$cd</v>
      </c>
      <c r="C794" s="2" t="str">
        <f>IFERROR(__xludf.DUMMYFUNCTION("""COMPUTED_VALUE"""),"..")</f>
        <v>..</v>
      </c>
      <c r="D794" s="2" t="str">
        <f>IFERROR(__xludf.DUMMYFUNCTION("IF(AND(B794=""$cd"",C794&lt;&gt;""..""),CONCATENATE(D793,""/"",C794),IF(C794="".."",MID(D793,1,LEN(D793)-LEN(REGEXEXTRACT(D793,""(/\w*)$""))),D793))"),"//zddrb/pgbgpn/vvmwgngv/bqc")</f>
        <v>//zddrb/pgbgpn/vvmwgngv/bqc</v>
      </c>
      <c r="K794" s="2"/>
    </row>
    <row r="795">
      <c r="A795" s="1" t="s">
        <v>612</v>
      </c>
      <c r="B795" s="2" t="str">
        <f>IFERROR(__xludf.DUMMYFUNCTION("SPLIT(A795,"" "")"),"$cd")</f>
        <v>$cd</v>
      </c>
      <c r="C795" s="2" t="str">
        <f>IFERROR(__xludf.DUMMYFUNCTION("""COMPUTED_VALUE"""),"..")</f>
        <v>..</v>
      </c>
      <c r="D795" s="2" t="str">
        <f>IFERROR(__xludf.DUMMYFUNCTION("IF(AND(B795=""$cd"",C795&lt;&gt;""..""),CONCATENATE(D794,""/"",C795),IF(C795="".."",MID(D794,1,LEN(D794)-LEN(REGEXEXTRACT(D794,""(/\w*)$""))),D794))"),"//zddrb/pgbgpn/vvmwgngv")</f>
        <v>//zddrb/pgbgpn/vvmwgngv</v>
      </c>
      <c r="K795" s="2"/>
    </row>
    <row r="796">
      <c r="A796" s="1" t="s">
        <v>643</v>
      </c>
      <c r="B796" s="2" t="str">
        <f>IFERROR(__xludf.DUMMYFUNCTION("SPLIT(A796,"" "")"),"$cd")</f>
        <v>$cd</v>
      </c>
      <c r="C796" s="2" t="str">
        <f>IFERROR(__xludf.DUMMYFUNCTION("""COMPUTED_VALUE"""),"mzsfcvgv")</f>
        <v>mzsfcvgv</v>
      </c>
      <c r="D796" s="2" t="str">
        <f>IFERROR(__xludf.DUMMYFUNCTION("IF(AND(B796=""$cd"",C796&lt;&gt;""..""),CONCATENATE(D795,""/"",C796),IF(C796="".."",MID(D795,1,LEN(D795)-LEN(REGEXEXTRACT(D795,""(/\w*)$""))),D795))"),"//zddrb/pgbgpn/vvmwgngv/mzsfcvgv")</f>
        <v>//zddrb/pgbgpn/vvmwgngv/mzsfcvgv</v>
      </c>
      <c r="K796" s="2"/>
    </row>
    <row r="797">
      <c r="A797" s="1" t="s">
        <v>609</v>
      </c>
      <c r="B797" s="2" t="str">
        <f>IFERROR(__xludf.DUMMYFUNCTION("SPLIT(A797,"" "")"),"$ls")</f>
        <v>$ls</v>
      </c>
      <c r="D797" s="2" t="str">
        <f>IFERROR(__xludf.DUMMYFUNCTION("IF(AND(B797=""$cd"",C797&lt;&gt;""..""),CONCATENATE(D796,""/"",C797),IF(C797="".."",MID(D796,1,LEN(D796)-LEN(REGEXEXTRACT(D796,""(/\w*)$""))),D796))"),"//zddrb/pgbgpn/vvmwgngv/mzsfcvgv")</f>
        <v>//zddrb/pgbgpn/vvmwgngv/mzsfcvgv</v>
      </c>
      <c r="K797" s="2"/>
    </row>
    <row r="798">
      <c r="A798" s="1" t="s">
        <v>50</v>
      </c>
      <c r="B798" s="2" t="str">
        <f>IFERROR(__xludf.DUMMYFUNCTION("SPLIT(A798,"" "")"),"dir")</f>
        <v>dir</v>
      </c>
      <c r="C798" s="2" t="str">
        <f>IFERROR(__xludf.DUMMYFUNCTION("""COMPUTED_VALUE"""),"hlvpfw")</f>
        <v>hlvpfw</v>
      </c>
      <c r="D798" s="2" t="str">
        <f>IFERROR(__xludf.DUMMYFUNCTION("IF(AND(B798=""$cd"",C798&lt;&gt;""..""),CONCATENATE(D797,""/"",C798),IF(C798="".."",MID(D797,1,LEN(D797)-LEN(REGEXEXTRACT(D797,""(/\w*)$""))),D797))"),"//zddrb/pgbgpn/vvmwgngv/mzsfcvgv")</f>
        <v>//zddrb/pgbgpn/vvmwgngv/mzsfcvgv</v>
      </c>
      <c r="K798" s="2"/>
    </row>
    <row r="799">
      <c r="A799" s="1" t="s">
        <v>450</v>
      </c>
      <c r="B799" s="2" t="str">
        <f>IFERROR(__xludf.DUMMYFUNCTION("SPLIT(A799,"" "")"),"dir")</f>
        <v>dir</v>
      </c>
      <c r="C799" s="2" t="str">
        <f>IFERROR(__xludf.DUMMYFUNCTION("""COMPUTED_VALUE"""),"vbdw")</f>
        <v>vbdw</v>
      </c>
      <c r="D799" s="2" t="str">
        <f>IFERROR(__xludf.DUMMYFUNCTION("IF(AND(B799=""$cd"",C799&lt;&gt;""..""),CONCATENATE(D798,""/"",C799),IF(C799="".."",MID(D798,1,LEN(D798)-LEN(REGEXEXTRACT(D798,""(/\w*)$""))),D798))"),"//zddrb/pgbgpn/vvmwgngv/mzsfcvgv")</f>
        <v>//zddrb/pgbgpn/vvmwgngv/mzsfcvgv</v>
      </c>
      <c r="K799" s="2"/>
    </row>
    <row r="800">
      <c r="A800" s="1" t="s">
        <v>622</v>
      </c>
      <c r="B800" s="2" t="str">
        <f>IFERROR(__xludf.DUMMYFUNCTION("SPLIT(A800,"" "")"),"$cd")</f>
        <v>$cd</v>
      </c>
      <c r="C800" s="2" t="str">
        <f>IFERROR(__xludf.DUMMYFUNCTION("""COMPUTED_VALUE"""),"hlvpfw")</f>
        <v>hlvpfw</v>
      </c>
      <c r="D800" s="2" t="str">
        <f>IFERROR(__xludf.DUMMYFUNCTION("IF(AND(B800=""$cd"",C800&lt;&gt;""..""),CONCATENATE(D799,""/"",C800),IF(C800="".."",MID(D799,1,LEN(D799)-LEN(REGEXEXTRACT(D799,""(/\w*)$""))),D799))"),"//zddrb/pgbgpn/vvmwgngv/mzsfcvgv/hlvpfw")</f>
        <v>//zddrb/pgbgpn/vvmwgngv/mzsfcvgv/hlvpfw</v>
      </c>
      <c r="K800" s="2"/>
    </row>
    <row r="801">
      <c r="A801" s="1" t="s">
        <v>609</v>
      </c>
      <c r="B801" s="2" t="str">
        <f>IFERROR(__xludf.DUMMYFUNCTION("SPLIT(A801,"" "")"),"$ls")</f>
        <v>$ls</v>
      </c>
      <c r="D801" s="2" t="str">
        <f>IFERROR(__xludf.DUMMYFUNCTION("IF(AND(B801=""$cd"",C801&lt;&gt;""..""),CONCATENATE(D800,""/"",C801),IF(C801="".."",MID(D800,1,LEN(D800)-LEN(REGEXEXTRACT(D800,""(/\w*)$""))),D800))"),"//zddrb/pgbgpn/vvmwgngv/mzsfcvgv/hlvpfw")</f>
        <v>//zddrb/pgbgpn/vvmwgngv/mzsfcvgv/hlvpfw</v>
      </c>
      <c r="K801" s="2"/>
    </row>
    <row r="802">
      <c r="A802" s="1" t="s">
        <v>451</v>
      </c>
      <c r="B802" s="2">
        <f>IFERROR(__xludf.DUMMYFUNCTION("SPLIT(A802,"" "")"),270309.0)</f>
        <v>270309</v>
      </c>
      <c r="C802" s="2" t="str">
        <f>IFERROR(__xludf.DUMMYFUNCTION("""COMPUTED_VALUE"""),"wncrt")</f>
        <v>wncrt</v>
      </c>
      <c r="D802" s="2" t="str">
        <f>IFERROR(__xludf.DUMMYFUNCTION("IF(AND(B802=""$cd"",C802&lt;&gt;""..""),CONCATENATE(D801,""/"",C802),IF(C802="".."",MID(D801,1,LEN(D801)-LEN(REGEXEXTRACT(D801,""(/\w*)$""))),D801))"),"//zddrb/pgbgpn/vvmwgngv/mzsfcvgv/hlvpfw")</f>
        <v>//zddrb/pgbgpn/vvmwgngv/mzsfcvgv/hlvpfw</v>
      </c>
      <c r="K802" s="2"/>
    </row>
    <row r="803">
      <c r="A803" s="1" t="s">
        <v>612</v>
      </c>
      <c r="B803" s="2" t="str">
        <f>IFERROR(__xludf.DUMMYFUNCTION("SPLIT(A803,"" "")"),"$cd")</f>
        <v>$cd</v>
      </c>
      <c r="C803" s="2" t="str">
        <f>IFERROR(__xludf.DUMMYFUNCTION("""COMPUTED_VALUE"""),"..")</f>
        <v>..</v>
      </c>
      <c r="D803" s="2" t="str">
        <f>IFERROR(__xludf.DUMMYFUNCTION("IF(AND(B803=""$cd"",C803&lt;&gt;""..""),CONCATENATE(D802,""/"",C803),IF(C803="".."",MID(D802,1,LEN(D802)-LEN(REGEXEXTRACT(D802,""(/\w*)$""))),D802))"),"//zddrb/pgbgpn/vvmwgngv/mzsfcvgv")</f>
        <v>//zddrb/pgbgpn/vvmwgngv/mzsfcvgv</v>
      </c>
      <c r="K803" s="2"/>
    </row>
    <row r="804">
      <c r="A804" s="1" t="s">
        <v>726</v>
      </c>
      <c r="B804" s="2" t="str">
        <f>IFERROR(__xludf.DUMMYFUNCTION("SPLIT(A804,"" "")"),"$cd")</f>
        <v>$cd</v>
      </c>
      <c r="C804" s="2" t="str">
        <f>IFERROR(__xludf.DUMMYFUNCTION("""COMPUTED_VALUE"""),"vbdw")</f>
        <v>vbdw</v>
      </c>
      <c r="D804" s="2" t="str">
        <f>IFERROR(__xludf.DUMMYFUNCTION("IF(AND(B804=""$cd"",C804&lt;&gt;""..""),CONCATENATE(D803,""/"",C804),IF(C804="".."",MID(D803,1,LEN(D803)-LEN(REGEXEXTRACT(D803,""(/\w*)$""))),D803))"),"//zddrb/pgbgpn/vvmwgngv/mzsfcvgv/vbdw")</f>
        <v>//zddrb/pgbgpn/vvmwgngv/mzsfcvgv/vbdw</v>
      </c>
      <c r="K804" s="2"/>
    </row>
    <row r="805">
      <c r="A805" s="1" t="s">
        <v>609</v>
      </c>
      <c r="B805" s="2" t="str">
        <f>IFERROR(__xludf.DUMMYFUNCTION("SPLIT(A805,"" "")"),"$ls")</f>
        <v>$ls</v>
      </c>
      <c r="D805" s="2" t="str">
        <f>IFERROR(__xludf.DUMMYFUNCTION("IF(AND(B805=""$cd"",C805&lt;&gt;""..""),CONCATENATE(D804,""/"",C805),IF(C805="".."",MID(D804,1,LEN(D804)-LEN(REGEXEXTRACT(D804,""(/\w*)$""))),D804))"),"//zddrb/pgbgpn/vvmwgngv/mzsfcvgv/vbdw")</f>
        <v>//zddrb/pgbgpn/vvmwgngv/mzsfcvgv/vbdw</v>
      </c>
      <c r="K805" s="2"/>
    </row>
    <row r="806">
      <c r="A806" s="1" t="s">
        <v>453</v>
      </c>
      <c r="B806" s="2" t="str">
        <f>IFERROR(__xludf.DUMMYFUNCTION("SPLIT(A806,"" "")"),"dir")</f>
        <v>dir</v>
      </c>
      <c r="C806" s="2" t="str">
        <f>IFERROR(__xludf.DUMMYFUNCTION("""COMPUTED_VALUE"""),"csw")</f>
        <v>csw</v>
      </c>
      <c r="D806" s="2" t="str">
        <f>IFERROR(__xludf.DUMMYFUNCTION("IF(AND(B806=""$cd"",C806&lt;&gt;""..""),CONCATENATE(D805,""/"",C806),IF(C806="".."",MID(D805,1,LEN(D805)-LEN(REGEXEXTRACT(D805,""(/\w*)$""))),D805))"),"//zddrb/pgbgpn/vvmwgngv/mzsfcvgv/vbdw")</f>
        <v>//zddrb/pgbgpn/vvmwgngv/mzsfcvgv/vbdw</v>
      </c>
      <c r="K806" s="2"/>
    </row>
    <row r="807">
      <c r="A807" s="1" t="s">
        <v>727</v>
      </c>
      <c r="B807" s="2" t="str">
        <f>IFERROR(__xludf.DUMMYFUNCTION("SPLIT(A807,"" "")"),"$cd")</f>
        <v>$cd</v>
      </c>
      <c r="C807" s="2" t="str">
        <f>IFERROR(__xludf.DUMMYFUNCTION("""COMPUTED_VALUE"""),"csw")</f>
        <v>csw</v>
      </c>
      <c r="D807" s="2" t="str">
        <f>IFERROR(__xludf.DUMMYFUNCTION("IF(AND(B807=""$cd"",C807&lt;&gt;""..""),CONCATENATE(D806,""/"",C807),IF(C807="".."",MID(D806,1,LEN(D806)-LEN(REGEXEXTRACT(D806,""(/\w*)$""))),D806))"),"//zddrb/pgbgpn/vvmwgngv/mzsfcvgv/vbdw/csw")</f>
        <v>//zddrb/pgbgpn/vvmwgngv/mzsfcvgv/vbdw/csw</v>
      </c>
      <c r="K807" s="2"/>
    </row>
    <row r="808">
      <c r="A808" s="1" t="s">
        <v>609</v>
      </c>
      <c r="B808" s="2" t="str">
        <f>IFERROR(__xludf.DUMMYFUNCTION("SPLIT(A808,"" "")"),"$ls")</f>
        <v>$ls</v>
      </c>
      <c r="D808" s="2" t="str">
        <f>IFERROR(__xludf.DUMMYFUNCTION("IF(AND(B808=""$cd"",C808&lt;&gt;""..""),CONCATENATE(D807,""/"",C808),IF(C808="".."",MID(D807,1,LEN(D807)-LEN(REGEXEXTRACT(D807,""(/\w*)$""))),D807))"),"//zddrb/pgbgpn/vvmwgngv/mzsfcvgv/vbdw/csw")</f>
        <v>//zddrb/pgbgpn/vvmwgngv/mzsfcvgv/vbdw/csw</v>
      </c>
      <c r="K808" s="2"/>
    </row>
    <row r="809">
      <c r="A809" s="1" t="s">
        <v>455</v>
      </c>
      <c r="B809" s="2">
        <f>IFERROR(__xludf.DUMMYFUNCTION("SPLIT(A809,"" "")"),231750.0)</f>
        <v>231750</v>
      </c>
      <c r="C809" s="2" t="str">
        <f>IFERROR(__xludf.DUMMYFUNCTION("""COMPUTED_VALUE"""),"dcjr.jgb")</f>
        <v>dcjr.jgb</v>
      </c>
      <c r="D809" s="2" t="str">
        <f>IFERROR(__xludf.DUMMYFUNCTION("IF(AND(B809=""$cd"",C809&lt;&gt;""..""),CONCATENATE(D808,""/"",C809),IF(C809="".."",MID(D808,1,LEN(D808)-LEN(REGEXEXTRACT(D808,""(/\w*)$""))),D808))"),"//zddrb/pgbgpn/vvmwgngv/mzsfcvgv/vbdw/csw")</f>
        <v>//zddrb/pgbgpn/vvmwgngv/mzsfcvgv/vbdw/csw</v>
      </c>
      <c r="K809" s="2"/>
    </row>
    <row r="810">
      <c r="A810" s="1" t="s">
        <v>456</v>
      </c>
      <c r="B810" s="2">
        <f>IFERROR(__xludf.DUMMYFUNCTION("SPLIT(A810,"" "")"),297504.0)</f>
        <v>297504</v>
      </c>
      <c r="C810" s="2" t="str">
        <f>IFERROR(__xludf.DUMMYFUNCTION("""COMPUTED_VALUE"""),"mpq.cdn")</f>
        <v>mpq.cdn</v>
      </c>
      <c r="D810" s="2" t="str">
        <f>IFERROR(__xludf.DUMMYFUNCTION("IF(AND(B810=""$cd"",C810&lt;&gt;""..""),CONCATENATE(D809,""/"",C810),IF(C810="".."",MID(D809,1,LEN(D809)-LEN(REGEXEXTRACT(D809,""(/\w*)$""))),D809))"),"//zddrb/pgbgpn/vvmwgngv/mzsfcvgv/vbdw/csw")</f>
        <v>//zddrb/pgbgpn/vvmwgngv/mzsfcvgv/vbdw/csw</v>
      </c>
      <c r="K810" s="2"/>
    </row>
    <row r="811">
      <c r="A811" s="1" t="s">
        <v>457</v>
      </c>
      <c r="B811" s="2">
        <f>IFERROR(__xludf.DUMMYFUNCTION("SPLIT(A811,"" "")"),215564.0)</f>
        <v>215564</v>
      </c>
      <c r="C811" s="2" t="str">
        <f>IFERROR(__xludf.DUMMYFUNCTION("""COMPUTED_VALUE"""),"plm.rtl")</f>
        <v>plm.rtl</v>
      </c>
      <c r="D811" s="2" t="str">
        <f>IFERROR(__xludf.DUMMYFUNCTION("IF(AND(B811=""$cd"",C811&lt;&gt;""..""),CONCATENATE(D810,""/"",C811),IF(C811="".."",MID(D810,1,LEN(D810)-LEN(REGEXEXTRACT(D810,""(/\w*)$""))),D810))"),"//zddrb/pgbgpn/vvmwgngv/mzsfcvgv/vbdw/csw")</f>
        <v>//zddrb/pgbgpn/vvmwgngv/mzsfcvgv/vbdw/csw</v>
      </c>
      <c r="K811" s="2"/>
    </row>
    <row r="812">
      <c r="A812" s="1" t="s">
        <v>612</v>
      </c>
      <c r="B812" s="2" t="str">
        <f>IFERROR(__xludf.DUMMYFUNCTION("SPLIT(A812,"" "")"),"$cd")</f>
        <v>$cd</v>
      </c>
      <c r="C812" s="2" t="str">
        <f>IFERROR(__xludf.DUMMYFUNCTION("""COMPUTED_VALUE"""),"..")</f>
        <v>..</v>
      </c>
      <c r="D812" s="2" t="str">
        <f>IFERROR(__xludf.DUMMYFUNCTION("IF(AND(B812=""$cd"",C812&lt;&gt;""..""),CONCATENATE(D811,""/"",C812),IF(C812="".."",MID(D811,1,LEN(D811)-LEN(REGEXEXTRACT(D811,""(/\w*)$""))),D811))"),"//zddrb/pgbgpn/vvmwgngv/mzsfcvgv/vbdw")</f>
        <v>//zddrb/pgbgpn/vvmwgngv/mzsfcvgv/vbdw</v>
      </c>
      <c r="K812" s="2"/>
    </row>
    <row r="813">
      <c r="A813" s="1" t="s">
        <v>612</v>
      </c>
      <c r="B813" s="2" t="str">
        <f>IFERROR(__xludf.DUMMYFUNCTION("SPLIT(A813,"" "")"),"$cd")</f>
        <v>$cd</v>
      </c>
      <c r="C813" s="2" t="str">
        <f>IFERROR(__xludf.DUMMYFUNCTION("""COMPUTED_VALUE"""),"..")</f>
        <v>..</v>
      </c>
      <c r="D813" s="2" t="str">
        <f>IFERROR(__xludf.DUMMYFUNCTION("IF(AND(B813=""$cd"",C813&lt;&gt;""..""),CONCATENATE(D812,""/"",C813),IF(C813="".."",MID(D812,1,LEN(D812)-LEN(REGEXEXTRACT(D812,""(/\w*)$""))),D812))"),"//zddrb/pgbgpn/vvmwgngv/mzsfcvgv")</f>
        <v>//zddrb/pgbgpn/vvmwgngv/mzsfcvgv</v>
      </c>
      <c r="K813" s="2"/>
    </row>
    <row r="814">
      <c r="A814" s="1" t="s">
        <v>612</v>
      </c>
      <c r="B814" s="2" t="str">
        <f>IFERROR(__xludf.DUMMYFUNCTION("SPLIT(A814,"" "")"),"$cd")</f>
        <v>$cd</v>
      </c>
      <c r="C814" s="2" t="str">
        <f>IFERROR(__xludf.DUMMYFUNCTION("""COMPUTED_VALUE"""),"..")</f>
        <v>..</v>
      </c>
      <c r="D814" s="2" t="str">
        <f>IFERROR(__xludf.DUMMYFUNCTION("IF(AND(B814=""$cd"",C814&lt;&gt;""..""),CONCATENATE(D813,""/"",C814),IF(C814="".."",MID(D813,1,LEN(D813)-LEN(REGEXEXTRACT(D813,""(/\w*)$""))),D813))"),"//zddrb/pgbgpn/vvmwgngv")</f>
        <v>//zddrb/pgbgpn/vvmwgngv</v>
      </c>
      <c r="K814" s="2"/>
    </row>
    <row r="815">
      <c r="A815" s="1" t="s">
        <v>728</v>
      </c>
      <c r="B815" s="2" t="str">
        <f>IFERROR(__xludf.DUMMYFUNCTION("SPLIT(A815,"" "")"),"$cd")</f>
        <v>$cd</v>
      </c>
      <c r="C815" s="2" t="str">
        <f>IFERROR(__xludf.DUMMYFUNCTION("""COMPUTED_VALUE"""),"qgj")</f>
        <v>qgj</v>
      </c>
      <c r="D815" s="2" t="str">
        <f>IFERROR(__xludf.DUMMYFUNCTION("IF(AND(B815=""$cd"",C815&lt;&gt;""..""),CONCATENATE(D814,""/"",C815),IF(C815="".."",MID(D814,1,LEN(D814)-LEN(REGEXEXTRACT(D814,""(/\w*)$""))),D814))"),"//zddrb/pgbgpn/vvmwgngv/qgj")</f>
        <v>//zddrb/pgbgpn/vvmwgngv/qgj</v>
      </c>
      <c r="K815" s="2"/>
    </row>
    <row r="816">
      <c r="A816" s="1" t="s">
        <v>609</v>
      </c>
      <c r="B816" s="2" t="str">
        <f>IFERROR(__xludf.DUMMYFUNCTION("SPLIT(A816,"" "")"),"$ls")</f>
        <v>$ls</v>
      </c>
      <c r="D816" s="2" t="str">
        <f>IFERROR(__xludf.DUMMYFUNCTION("IF(AND(B816=""$cd"",C816&lt;&gt;""..""),CONCATENATE(D815,""/"",C816),IF(C816="".."",MID(D815,1,LEN(D815)-LEN(REGEXEXTRACT(D815,""(/\w*)$""))),D815))"),"//zddrb/pgbgpn/vvmwgngv/qgj")</f>
        <v>//zddrb/pgbgpn/vvmwgngv/qgj</v>
      </c>
      <c r="K816" s="2"/>
    </row>
    <row r="817">
      <c r="A817" s="1" t="s">
        <v>459</v>
      </c>
      <c r="B817" s="2">
        <f>IFERROR(__xludf.DUMMYFUNCTION("SPLIT(A817,"" "")"),192181.0)</f>
        <v>192181</v>
      </c>
      <c r="C817" s="2" t="str">
        <f>IFERROR(__xludf.DUMMYFUNCTION("""COMPUTED_VALUE"""),"hmqfdht")</f>
        <v>hmqfdht</v>
      </c>
      <c r="D817" s="2" t="str">
        <f>IFERROR(__xludf.DUMMYFUNCTION("IF(AND(B817=""$cd"",C817&lt;&gt;""..""),CONCATENATE(D816,""/"",C817),IF(C817="".."",MID(D816,1,LEN(D816)-LEN(REGEXEXTRACT(D816,""(/\w*)$""))),D816))"),"//zddrb/pgbgpn/vvmwgngv/qgj")</f>
        <v>//zddrb/pgbgpn/vvmwgngv/qgj</v>
      </c>
      <c r="K817" s="2"/>
    </row>
    <row r="818">
      <c r="A818" s="1" t="s">
        <v>460</v>
      </c>
      <c r="B818" s="2" t="str">
        <f>IFERROR(__xludf.DUMMYFUNCTION("SPLIT(A818,"" "")"),"dir")</f>
        <v>dir</v>
      </c>
      <c r="C818" s="2" t="str">
        <f>IFERROR(__xludf.DUMMYFUNCTION("""COMPUTED_VALUE"""),"lmp")</f>
        <v>lmp</v>
      </c>
      <c r="D818" s="2" t="str">
        <f>IFERROR(__xludf.DUMMYFUNCTION("IF(AND(B818=""$cd"",C818&lt;&gt;""..""),CONCATENATE(D817,""/"",C818),IF(C818="".."",MID(D817,1,LEN(D817)-LEN(REGEXEXTRACT(D817,""(/\w*)$""))),D817))"),"//zddrb/pgbgpn/vvmwgngv/qgj")</f>
        <v>//zddrb/pgbgpn/vvmwgngv/qgj</v>
      </c>
      <c r="K818" s="2"/>
    </row>
    <row r="819">
      <c r="A819" s="1" t="s">
        <v>461</v>
      </c>
      <c r="B819" s="2">
        <f>IFERROR(__xludf.DUMMYFUNCTION("SPLIT(A819,"" "")"),250495.0)</f>
        <v>250495</v>
      </c>
      <c r="C819" s="2" t="str">
        <f>IFERROR(__xludf.DUMMYFUNCTION("""COMPUTED_VALUE"""),"mpq.cdn")</f>
        <v>mpq.cdn</v>
      </c>
      <c r="D819" s="2" t="str">
        <f>IFERROR(__xludf.DUMMYFUNCTION("IF(AND(B819=""$cd"",C819&lt;&gt;""..""),CONCATENATE(D818,""/"",C819),IF(C819="".."",MID(D818,1,LEN(D818)-LEN(REGEXEXTRACT(D818,""(/\w*)$""))),D818))"),"//zddrb/pgbgpn/vvmwgngv/qgj")</f>
        <v>//zddrb/pgbgpn/vvmwgngv/qgj</v>
      </c>
      <c r="K819" s="2"/>
    </row>
    <row r="820">
      <c r="A820" s="1" t="s">
        <v>39</v>
      </c>
      <c r="B820" s="2" t="str">
        <f>IFERROR(__xludf.DUMMYFUNCTION("SPLIT(A820,"" "")"),"dir")</f>
        <v>dir</v>
      </c>
      <c r="C820" s="2" t="str">
        <f>IFERROR(__xludf.DUMMYFUNCTION("""COMPUTED_VALUE"""),"slzdbm")</f>
        <v>slzdbm</v>
      </c>
      <c r="D820" s="2" t="str">
        <f>IFERROR(__xludf.DUMMYFUNCTION("IF(AND(B820=""$cd"",C820&lt;&gt;""..""),CONCATENATE(D819,""/"",C820),IF(C820="".."",MID(D819,1,LEN(D819)-LEN(REGEXEXTRACT(D819,""(/\w*)$""))),D819))"),"//zddrb/pgbgpn/vvmwgngv/qgj")</f>
        <v>//zddrb/pgbgpn/vvmwgngv/qgj</v>
      </c>
      <c r="K820" s="2"/>
    </row>
    <row r="821">
      <c r="A821" s="1" t="s">
        <v>462</v>
      </c>
      <c r="B821" s="2">
        <f>IFERROR(__xludf.DUMMYFUNCTION("SPLIT(A821,"" "")"),253262.0)</f>
        <v>253262</v>
      </c>
      <c r="C821" s="2" t="str">
        <f>IFERROR(__xludf.DUMMYFUNCTION("""COMPUTED_VALUE"""),"ssssrhwz")</f>
        <v>ssssrhwz</v>
      </c>
      <c r="D821" s="2" t="str">
        <f>IFERROR(__xludf.DUMMYFUNCTION("IF(AND(B821=""$cd"",C821&lt;&gt;""..""),CONCATENATE(D820,""/"",C821),IF(C821="".."",MID(D820,1,LEN(D820)-LEN(REGEXEXTRACT(D820,""(/\w*)$""))),D820))"),"//zddrb/pgbgpn/vvmwgngv/qgj")</f>
        <v>//zddrb/pgbgpn/vvmwgngv/qgj</v>
      </c>
      <c r="K821" s="2"/>
    </row>
    <row r="822">
      <c r="A822" s="1" t="s">
        <v>463</v>
      </c>
      <c r="B822" s="2" t="str">
        <f>IFERROR(__xludf.DUMMYFUNCTION("SPLIT(A822,"" "")"),"dir")</f>
        <v>dir</v>
      </c>
      <c r="C822" s="2" t="str">
        <f>IFERROR(__xludf.DUMMYFUNCTION("""COMPUTED_VALUE"""),"tzth")</f>
        <v>tzth</v>
      </c>
      <c r="D822" s="2" t="str">
        <f>IFERROR(__xludf.DUMMYFUNCTION("IF(AND(B822=""$cd"",C822&lt;&gt;""..""),CONCATENATE(D821,""/"",C822),IF(C822="".."",MID(D821,1,LEN(D821)-LEN(REGEXEXTRACT(D821,""(/\w*)$""))),D821))"),"//zddrb/pgbgpn/vvmwgngv/qgj")</f>
        <v>//zddrb/pgbgpn/vvmwgngv/qgj</v>
      </c>
      <c r="K822" s="2"/>
    </row>
    <row r="823">
      <c r="A823" s="1" t="s">
        <v>729</v>
      </c>
      <c r="B823" s="2" t="str">
        <f>IFERROR(__xludf.DUMMYFUNCTION("SPLIT(A823,"" "")"),"$cd")</f>
        <v>$cd</v>
      </c>
      <c r="C823" s="2" t="str">
        <f>IFERROR(__xludf.DUMMYFUNCTION("""COMPUTED_VALUE"""),"lmp")</f>
        <v>lmp</v>
      </c>
      <c r="D823" s="2" t="str">
        <f>IFERROR(__xludf.DUMMYFUNCTION("IF(AND(B823=""$cd"",C823&lt;&gt;""..""),CONCATENATE(D822,""/"",C823),IF(C823="".."",MID(D822,1,LEN(D822)-LEN(REGEXEXTRACT(D822,""(/\w*)$""))),D822))"),"//zddrb/pgbgpn/vvmwgngv/qgj/lmp")</f>
        <v>//zddrb/pgbgpn/vvmwgngv/qgj/lmp</v>
      </c>
      <c r="K823" s="2"/>
    </row>
    <row r="824">
      <c r="A824" s="1" t="s">
        <v>609</v>
      </c>
      <c r="B824" s="2" t="str">
        <f>IFERROR(__xludf.DUMMYFUNCTION("SPLIT(A824,"" "")"),"$ls")</f>
        <v>$ls</v>
      </c>
      <c r="D824" s="2" t="str">
        <f>IFERROR(__xludf.DUMMYFUNCTION("IF(AND(B824=""$cd"",C824&lt;&gt;""..""),CONCATENATE(D823,""/"",C824),IF(C824="".."",MID(D823,1,LEN(D823)-LEN(REGEXEXTRACT(D823,""(/\w*)$""))),D823))"),"//zddrb/pgbgpn/vvmwgngv/qgj/lmp")</f>
        <v>//zddrb/pgbgpn/vvmwgngv/qgj/lmp</v>
      </c>
      <c r="K824" s="2"/>
    </row>
    <row r="825">
      <c r="A825" s="1" t="s">
        <v>4</v>
      </c>
      <c r="B825" s="2" t="str">
        <f>IFERROR(__xludf.DUMMYFUNCTION("SPLIT(A825,"" "")"),"dir")</f>
        <v>dir</v>
      </c>
      <c r="C825" s="2" t="str">
        <f>IFERROR(__xludf.DUMMYFUNCTION("""COMPUTED_VALUE"""),"jnwr")</f>
        <v>jnwr</v>
      </c>
      <c r="D825" s="2" t="str">
        <f>IFERROR(__xludf.DUMMYFUNCTION("IF(AND(B825=""$cd"",C825&lt;&gt;""..""),CONCATENATE(D824,""/"",C825),IF(C825="".."",MID(D824,1,LEN(D824)-LEN(REGEXEXTRACT(D824,""(/\w*)$""))),D824))"),"//zddrb/pgbgpn/vvmwgngv/qgj/lmp")</f>
        <v>//zddrb/pgbgpn/vvmwgngv/qgj/lmp</v>
      </c>
      <c r="K825" s="2"/>
    </row>
    <row r="826">
      <c r="A826" s="1" t="s">
        <v>614</v>
      </c>
      <c r="B826" s="2" t="str">
        <f>IFERROR(__xludf.DUMMYFUNCTION("SPLIT(A826,"" "")"),"$cd")</f>
        <v>$cd</v>
      </c>
      <c r="C826" s="2" t="str">
        <f>IFERROR(__xludf.DUMMYFUNCTION("""COMPUTED_VALUE"""),"jnwr")</f>
        <v>jnwr</v>
      </c>
      <c r="D826" s="2" t="str">
        <f>IFERROR(__xludf.DUMMYFUNCTION("IF(AND(B826=""$cd"",C826&lt;&gt;""..""),CONCATENATE(D825,""/"",C826),IF(C826="".."",MID(D825,1,LEN(D825)-LEN(REGEXEXTRACT(D825,""(/\w*)$""))),D825))"),"//zddrb/pgbgpn/vvmwgngv/qgj/lmp/jnwr")</f>
        <v>//zddrb/pgbgpn/vvmwgngv/qgj/lmp/jnwr</v>
      </c>
      <c r="K826" s="2"/>
    </row>
    <row r="827">
      <c r="A827" s="1" t="s">
        <v>609</v>
      </c>
      <c r="B827" s="2" t="str">
        <f>IFERROR(__xludf.DUMMYFUNCTION("SPLIT(A827,"" "")"),"$ls")</f>
        <v>$ls</v>
      </c>
      <c r="D827" s="2" t="str">
        <f>IFERROR(__xludf.DUMMYFUNCTION("IF(AND(B827=""$cd"",C827&lt;&gt;""..""),CONCATENATE(D826,""/"",C827),IF(C827="".."",MID(D826,1,LEN(D826)-LEN(REGEXEXTRACT(D826,""(/\w*)$""))),D826))"),"//zddrb/pgbgpn/vvmwgngv/qgj/lmp/jnwr")</f>
        <v>//zddrb/pgbgpn/vvmwgngv/qgj/lmp/jnwr</v>
      </c>
      <c r="K827" s="2"/>
    </row>
    <row r="828">
      <c r="A828" s="1" t="s">
        <v>465</v>
      </c>
      <c r="B828" s="2">
        <f>IFERROR(__xludf.DUMMYFUNCTION("SPLIT(A828,"" "")"),284951.0)</f>
        <v>284951</v>
      </c>
      <c r="C828" s="2" t="str">
        <f>IFERROR(__xludf.DUMMYFUNCTION("""COMPUTED_VALUE"""),"zcgrgff.slq")</f>
        <v>zcgrgff.slq</v>
      </c>
      <c r="D828" s="2" t="str">
        <f>IFERROR(__xludf.DUMMYFUNCTION("IF(AND(B828=""$cd"",C828&lt;&gt;""..""),CONCATENATE(D827,""/"",C828),IF(C828="".."",MID(D827,1,LEN(D827)-LEN(REGEXEXTRACT(D827,""(/\w*)$""))),D827))"),"//zddrb/pgbgpn/vvmwgngv/qgj/lmp/jnwr")</f>
        <v>//zddrb/pgbgpn/vvmwgngv/qgj/lmp/jnwr</v>
      </c>
      <c r="K828" s="2"/>
    </row>
    <row r="829">
      <c r="A829" s="1" t="s">
        <v>612</v>
      </c>
      <c r="B829" s="2" t="str">
        <f>IFERROR(__xludf.DUMMYFUNCTION("SPLIT(A829,"" "")"),"$cd")</f>
        <v>$cd</v>
      </c>
      <c r="C829" s="2" t="str">
        <f>IFERROR(__xludf.DUMMYFUNCTION("""COMPUTED_VALUE"""),"..")</f>
        <v>..</v>
      </c>
      <c r="D829" s="2" t="str">
        <f>IFERROR(__xludf.DUMMYFUNCTION("IF(AND(B829=""$cd"",C829&lt;&gt;""..""),CONCATENATE(D828,""/"",C829),IF(C829="".."",MID(D828,1,LEN(D828)-LEN(REGEXEXTRACT(D828,""(/\w*)$""))),D828))"),"//zddrb/pgbgpn/vvmwgngv/qgj/lmp")</f>
        <v>//zddrb/pgbgpn/vvmwgngv/qgj/lmp</v>
      </c>
      <c r="K829" s="2"/>
    </row>
    <row r="830">
      <c r="A830" s="1" t="s">
        <v>612</v>
      </c>
      <c r="B830" s="2" t="str">
        <f>IFERROR(__xludf.DUMMYFUNCTION("SPLIT(A830,"" "")"),"$cd")</f>
        <v>$cd</v>
      </c>
      <c r="C830" s="2" t="str">
        <f>IFERROR(__xludf.DUMMYFUNCTION("""COMPUTED_VALUE"""),"..")</f>
        <v>..</v>
      </c>
      <c r="D830" s="2" t="str">
        <f>IFERROR(__xludf.DUMMYFUNCTION("IF(AND(B830=""$cd"",C830&lt;&gt;""..""),CONCATENATE(D829,""/"",C830),IF(C830="".."",MID(D829,1,LEN(D829)-LEN(REGEXEXTRACT(D829,""(/\w*)$""))),D829))"),"//zddrb/pgbgpn/vvmwgngv/qgj")</f>
        <v>//zddrb/pgbgpn/vvmwgngv/qgj</v>
      </c>
      <c r="K830" s="2"/>
    </row>
    <row r="831">
      <c r="A831" s="1" t="s">
        <v>624</v>
      </c>
      <c r="B831" s="2" t="str">
        <f>IFERROR(__xludf.DUMMYFUNCTION("SPLIT(A831,"" "")"),"$cd")</f>
        <v>$cd</v>
      </c>
      <c r="C831" s="2" t="str">
        <f>IFERROR(__xludf.DUMMYFUNCTION("""COMPUTED_VALUE"""),"slzdbm")</f>
        <v>slzdbm</v>
      </c>
      <c r="D831" s="2" t="str">
        <f>IFERROR(__xludf.DUMMYFUNCTION("IF(AND(B831=""$cd"",C831&lt;&gt;""..""),CONCATENATE(D830,""/"",C831),IF(C831="".."",MID(D830,1,LEN(D830)-LEN(REGEXEXTRACT(D830,""(/\w*)$""))),D830))"),"//zddrb/pgbgpn/vvmwgngv/qgj/slzdbm")</f>
        <v>//zddrb/pgbgpn/vvmwgngv/qgj/slzdbm</v>
      </c>
      <c r="K831" s="2"/>
    </row>
    <row r="832">
      <c r="A832" s="1" t="s">
        <v>609</v>
      </c>
      <c r="B832" s="2" t="str">
        <f>IFERROR(__xludf.DUMMYFUNCTION("SPLIT(A832,"" "")"),"$ls")</f>
        <v>$ls</v>
      </c>
      <c r="D832" s="2" t="str">
        <f>IFERROR(__xludf.DUMMYFUNCTION("IF(AND(B832=""$cd"",C832&lt;&gt;""..""),CONCATENATE(D831,""/"",C832),IF(C832="".."",MID(D831,1,LEN(D831)-LEN(REGEXEXTRACT(D831,""(/\w*)$""))),D831))"),"//zddrb/pgbgpn/vvmwgngv/qgj/slzdbm")</f>
        <v>//zddrb/pgbgpn/vvmwgngv/qgj/slzdbm</v>
      </c>
      <c r="K832" s="2"/>
    </row>
    <row r="833">
      <c r="A833" s="1" t="s">
        <v>466</v>
      </c>
      <c r="B833" s="2">
        <f>IFERROR(__xludf.DUMMYFUNCTION("SPLIT(A833,"" "")"),266715.0)</f>
        <v>266715</v>
      </c>
      <c r="C833" s="2" t="str">
        <f>IFERROR(__xludf.DUMMYFUNCTION("""COMPUTED_VALUE"""),"hzbq.plc")</f>
        <v>hzbq.plc</v>
      </c>
      <c r="D833" s="2" t="str">
        <f>IFERROR(__xludf.DUMMYFUNCTION("IF(AND(B833=""$cd"",C833&lt;&gt;""..""),CONCATENATE(D832,""/"",C833),IF(C833="".."",MID(D832,1,LEN(D832)-LEN(REGEXEXTRACT(D832,""(/\w*)$""))),D832))"),"//zddrb/pgbgpn/vvmwgngv/qgj/slzdbm")</f>
        <v>//zddrb/pgbgpn/vvmwgngv/qgj/slzdbm</v>
      </c>
      <c r="K833" s="2"/>
    </row>
    <row r="834">
      <c r="A834" s="1" t="s">
        <v>4</v>
      </c>
      <c r="B834" s="2" t="str">
        <f>IFERROR(__xludf.DUMMYFUNCTION("SPLIT(A834,"" "")"),"dir")</f>
        <v>dir</v>
      </c>
      <c r="C834" s="2" t="str">
        <f>IFERROR(__xludf.DUMMYFUNCTION("""COMPUTED_VALUE"""),"jnwr")</f>
        <v>jnwr</v>
      </c>
      <c r="D834" s="2" t="str">
        <f>IFERROR(__xludf.DUMMYFUNCTION("IF(AND(B834=""$cd"",C834&lt;&gt;""..""),CONCATENATE(D833,""/"",C834),IF(C834="".."",MID(D833,1,LEN(D833)-LEN(REGEXEXTRACT(D833,""(/\w*)$""))),D833))"),"//zddrb/pgbgpn/vvmwgngv/qgj/slzdbm")</f>
        <v>//zddrb/pgbgpn/vvmwgngv/qgj/slzdbm</v>
      </c>
      <c r="K834" s="2"/>
    </row>
    <row r="835">
      <c r="A835" s="1" t="s">
        <v>467</v>
      </c>
      <c r="B835" s="2">
        <f>IFERROR(__xludf.DUMMYFUNCTION("SPLIT(A835,"" "")"),11379.0)</f>
        <v>11379</v>
      </c>
      <c r="C835" s="2" t="str">
        <f>IFERROR(__xludf.DUMMYFUNCTION("""COMPUTED_VALUE"""),"mzsfcvgv.rbw")</f>
        <v>mzsfcvgv.rbw</v>
      </c>
      <c r="D835" s="2" t="str">
        <f>IFERROR(__xludf.DUMMYFUNCTION("IF(AND(B835=""$cd"",C835&lt;&gt;""..""),CONCATENATE(D834,""/"",C835),IF(C835="".."",MID(D834,1,LEN(D834)-LEN(REGEXEXTRACT(D834,""(/\w*)$""))),D834))"),"//zddrb/pgbgpn/vvmwgngv/qgj/slzdbm")</f>
        <v>//zddrb/pgbgpn/vvmwgngv/qgj/slzdbm</v>
      </c>
      <c r="K835" s="2"/>
    </row>
    <row r="836">
      <c r="A836" s="1" t="s">
        <v>39</v>
      </c>
      <c r="B836" s="2" t="str">
        <f>IFERROR(__xludf.DUMMYFUNCTION("SPLIT(A836,"" "")"),"dir")</f>
        <v>dir</v>
      </c>
      <c r="C836" s="2" t="str">
        <f>IFERROR(__xludf.DUMMYFUNCTION("""COMPUTED_VALUE"""),"slzdbm")</f>
        <v>slzdbm</v>
      </c>
      <c r="D836" s="2" t="str">
        <f>IFERROR(__xludf.DUMMYFUNCTION("IF(AND(B836=""$cd"",C836&lt;&gt;""..""),CONCATENATE(D835,""/"",C836),IF(C836="".."",MID(D835,1,LEN(D835)-LEN(REGEXEXTRACT(D835,""(/\w*)$""))),D835))"),"//zddrb/pgbgpn/vvmwgngv/qgj/slzdbm")</f>
        <v>//zddrb/pgbgpn/vvmwgngv/qgj/slzdbm</v>
      </c>
      <c r="K836" s="2"/>
    </row>
    <row r="837">
      <c r="A837" s="1" t="s">
        <v>614</v>
      </c>
      <c r="B837" s="2" t="str">
        <f>IFERROR(__xludf.DUMMYFUNCTION("SPLIT(A837,"" "")"),"$cd")</f>
        <v>$cd</v>
      </c>
      <c r="C837" s="2" t="str">
        <f>IFERROR(__xludf.DUMMYFUNCTION("""COMPUTED_VALUE"""),"jnwr")</f>
        <v>jnwr</v>
      </c>
      <c r="D837" s="2" t="str">
        <f>IFERROR(__xludf.DUMMYFUNCTION("IF(AND(B837=""$cd"",C837&lt;&gt;""..""),CONCATENATE(D836,""/"",C837),IF(C837="".."",MID(D836,1,LEN(D836)-LEN(REGEXEXTRACT(D836,""(/\w*)$""))),D836))"),"//zddrb/pgbgpn/vvmwgngv/qgj/slzdbm/jnwr")</f>
        <v>//zddrb/pgbgpn/vvmwgngv/qgj/slzdbm/jnwr</v>
      </c>
      <c r="K837" s="2"/>
    </row>
    <row r="838">
      <c r="A838" s="1" t="s">
        <v>609</v>
      </c>
      <c r="B838" s="2" t="str">
        <f>IFERROR(__xludf.DUMMYFUNCTION("SPLIT(A838,"" "")"),"$ls")</f>
        <v>$ls</v>
      </c>
      <c r="D838" s="2" t="str">
        <f>IFERROR(__xludf.DUMMYFUNCTION("IF(AND(B838=""$cd"",C838&lt;&gt;""..""),CONCATENATE(D837,""/"",C838),IF(C838="".."",MID(D837,1,LEN(D837)-LEN(REGEXEXTRACT(D837,""(/\w*)$""))),D837))"),"//zddrb/pgbgpn/vvmwgngv/qgj/slzdbm/jnwr")</f>
        <v>//zddrb/pgbgpn/vvmwgngv/qgj/slzdbm/jnwr</v>
      </c>
      <c r="K838" s="2"/>
    </row>
    <row r="839">
      <c r="A839" s="1" t="s">
        <v>468</v>
      </c>
      <c r="B839" s="2">
        <f>IFERROR(__xludf.DUMMYFUNCTION("SPLIT(A839,"" "")"),108636.0)</f>
        <v>108636</v>
      </c>
      <c r="C839" s="2" t="str">
        <f>IFERROR(__xludf.DUMMYFUNCTION("""COMPUTED_VALUE"""),"mpq.cdn")</f>
        <v>mpq.cdn</v>
      </c>
      <c r="D839" s="2" t="str">
        <f>IFERROR(__xludf.DUMMYFUNCTION("IF(AND(B839=""$cd"",C839&lt;&gt;""..""),CONCATENATE(D838,""/"",C839),IF(C839="".."",MID(D838,1,LEN(D838)-LEN(REGEXEXTRACT(D838,""(/\w*)$""))),D838))"),"//zddrb/pgbgpn/vvmwgngv/qgj/slzdbm/jnwr")</f>
        <v>//zddrb/pgbgpn/vvmwgngv/qgj/slzdbm/jnwr</v>
      </c>
      <c r="K839" s="2"/>
    </row>
    <row r="840">
      <c r="A840" s="1" t="s">
        <v>469</v>
      </c>
      <c r="B840" s="2">
        <f>IFERROR(__xludf.DUMMYFUNCTION("SPLIT(A840,"" "")"),324035.0)</f>
        <v>324035</v>
      </c>
      <c r="C840" s="2" t="str">
        <f>IFERROR(__xludf.DUMMYFUNCTION("""COMPUTED_VALUE"""),"zzvmlrj.rrl")</f>
        <v>zzvmlrj.rrl</v>
      </c>
      <c r="D840" s="2" t="str">
        <f>IFERROR(__xludf.DUMMYFUNCTION("IF(AND(B840=""$cd"",C840&lt;&gt;""..""),CONCATENATE(D839,""/"",C840),IF(C840="".."",MID(D839,1,LEN(D839)-LEN(REGEXEXTRACT(D839,""(/\w*)$""))),D839))"),"//zddrb/pgbgpn/vvmwgngv/qgj/slzdbm/jnwr")</f>
        <v>//zddrb/pgbgpn/vvmwgngv/qgj/slzdbm/jnwr</v>
      </c>
      <c r="K840" s="2"/>
    </row>
    <row r="841">
      <c r="A841" s="1" t="s">
        <v>612</v>
      </c>
      <c r="B841" s="2" t="str">
        <f>IFERROR(__xludf.DUMMYFUNCTION("SPLIT(A841,"" "")"),"$cd")</f>
        <v>$cd</v>
      </c>
      <c r="C841" s="2" t="str">
        <f>IFERROR(__xludf.DUMMYFUNCTION("""COMPUTED_VALUE"""),"..")</f>
        <v>..</v>
      </c>
      <c r="D841" s="2" t="str">
        <f>IFERROR(__xludf.DUMMYFUNCTION("IF(AND(B841=""$cd"",C841&lt;&gt;""..""),CONCATENATE(D840,""/"",C841),IF(C841="".."",MID(D840,1,LEN(D840)-LEN(REGEXEXTRACT(D840,""(/\w*)$""))),D840))"),"//zddrb/pgbgpn/vvmwgngv/qgj/slzdbm")</f>
        <v>//zddrb/pgbgpn/vvmwgngv/qgj/slzdbm</v>
      </c>
      <c r="K841" s="2"/>
    </row>
    <row r="842">
      <c r="A842" s="1" t="s">
        <v>624</v>
      </c>
      <c r="B842" s="2" t="str">
        <f>IFERROR(__xludf.DUMMYFUNCTION("SPLIT(A842,"" "")"),"$cd")</f>
        <v>$cd</v>
      </c>
      <c r="C842" s="2" t="str">
        <f>IFERROR(__xludf.DUMMYFUNCTION("""COMPUTED_VALUE"""),"slzdbm")</f>
        <v>slzdbm</v>
      </c>
      <c r="D842" s="2" t="str">
        <f>IFERROR(__xludf.DUMMYFUNCTION("IF(AND(B842=""$cd"",C842&lt;&gt;""..""),CONCATENATE(D841,""/"",C842),IF(C842="".."",MID(D841,1,LEN(D841)-LEN(REGEXEXTRACT(D841,""(/\w*)$""))),D841))"),"//zddrb/pgbgpn/vvmwgngv/qgj/slzdbm/slzdbm")</f>
        <v>//zddrb/pgbgpn/vvmwgngv/qgj/slzdbm/slzdbm</v>
      </c>
      <c r="K842" s="2"/>
    </row>
    <row r="843">
      <c r="A843" s="1" t="s">
        <v>609</v>
      </c>
      <c r="B843" s="2" t="str">
        <f>IFERROR(__xludf.DUMMYFUNCTION("SPLIT(A843,"" "")"),"$ls")</f>
        <v>$ls</v>
      </c>
      <c r="D843" s="2" t="str">
        <f>IFERROR(__xludf.DUMMYFUNCTION("IF(AND(B843=""$cd"",C843&lt;&gt;""..""),CONCATENATE(D842,""/"",C843),IF(C843="".."",MID(D842,1,LEN(D842)-LEN(REGEXEXTRACT(D842,""(/\w*)$""))),D842))"),"//zddrb/pgbgpn/vvmwgngv/qgj/slzdbm/slzdbm")</f>
        <v>//zddrb/pgbgpn/vvmwgngv/qgj/slzdbm/slzdbm</v>
      </c>
      <c r="K843" s="2"/>
    </row>
    <row r="844">
      <c r="A844" s="1" t="s">
        <v>470</v>
      </c>
      <c r="B844" s="2">
        <f>IFERROR(__xludf.DUMMYFUNCTION("SPLIT(A844,"" "")"),68393.0)</f>
        <v>68393</v>
      </c>
      <c r="C844" s="2" t="str">
        <f>IFERROR(__xludf.DUMMYFUNCTION("""COMPUTED_VALUE"""),"zbdp.gqb")</f>
        <v>zbdp.gqb</v>
      </c>
      <c r="D844" s="2" t="str">
        <f>IFERROR(__xludf.DUMMYFUNCTION("IF(AND(B844=""$cd"",C844&lt;&gt;""..""),CONCATENATE(D843,""/"",C844),IF(C844="".."",MID(D843,1,LEN(D843)-LEN(REGEXEXTRACT(D843,""(/\w*)$""))),D843))"),"//zddrb/pgbgpn/vvmwgngv/qgj/slzdbm/slzdbm")</f>
        <v>//zddrb/pgbgpn/vvmwgngv/qgj/slzdbm/slzdbm</v>
      </c>
      <c r="K844" s="2"/>
    </row>
    <row r="845">
      <c r="A845" s="1" t="s">
        <v>612</v>
      </c>
      <c r="B845" s="2" t="str">
        <f>IFERROR(__xludf.DUMMYFUNCTION("SPLIT(A845,"" "")"),"$cd")</f>
        <v>$cd</v>
      </c>
      <c r="C845" s="2" t="str">
        <f>IFERROR(__xludf.DUMMYFUNCTION("""COMPUTED_VALUE"""),"..")</f>
        <v>..</v>
      </c>
      <c r="D845" s="2" t="str">
        <f>IFERROR(__xludf.DUMMYFUNCTION("IF(AND(B845=""$cd"",C845&lt;&gt;""..""),CONCATENATE(D844,""/"",C845),IF(C845="".."",MID(D844,1,LEN(D844)-LEN(REGEXEXTRACT(D844,""(/\w*)$""))),D844))"),"//zddrb/pgbgpn/vvmwgngv/qgj/slzdbm")</f>
        <v>//zddrb/pgbgpn/vvmwgngv/qgj/slzdbm</v>
      </c>
      <c r="K845" s="2"/>
    </row>
    <row r="846">
      <c r="A846" s="1" t="s">
        <v>612</v>
      </c>
      <c r="B846" s="2" t="str">
        <f>IFERROR(__xludf.DUMMYFUNCTION("SPLIT(A846,"" "")"),"$cd")</f>
        <v>$cd</v>
      </c>
      <c r="C846" s="2" t="str">
        <f>IFERROR(__xludf.DUMMYFUNCTION("""COMPUTED_VALUE"""),"..")</f>
        <v>..</v>
      </c>
      <c r="D846" s="2" t="str">
        <f>IFERROR(__xludf.DUMMYFUNCTION("IF(AND(B846=""$cd"",C846&lt;&gt;""..""),CONCATENATE(D845,""/"",C846),IF(C846="".."",MID(D845,1,LEN(D845)-LEN(REGEXEXTRACT(D845,""(/\w*)$""))),D845))"),"//zddrb/pgbgpn/vvmwgngv/qgj")</f>
        <v>//zddrb/pgbgpn/vvmwgngv/qgj</v>
      </c>
      <c r="K846" s="2"/>
    </row>
    <row r="847">
      <c r="A847" s="1" t="s">
        <v>730</v>
      </c>
      <c r="B847" s="2" t="str">
        <f>IFERROR(__xludf.DUMMYFUNCTION("SPLIT(A847,"" "")"),"$cd")</f>
        <v>$cd</v>
      </c>
      <c r="C847" s="2" t="str">
        <f>IFERROR(__xludf.DUMMYFUNCTION("""COMPUTED_VALUE"""),"tzth")</f>
        <v>tzth</v>
      </c>
      <c r="D847" s="2" t="str">
        <f>IFERROR(__xludf.DUMMYFUNCTION("IF(AND(B847=""$cd"",C847&lt;&gt;""..""),CONCATENATE(D846,""/"",C847),IF(C847="".."",MID(D846,1,LEN(D846)-LEN(REGEXEXTRACT(D846,""(/\w*)$""))),D846))"),"//zddrb/pgbgpn/vvmwgngv/qgj/tzth")</f>
        <v>//zddrb/pgbgpn/vvmwgngv/qgj/tzth</v>
      </c>
      <c r="K847" s="2"/>
    </row>
    <row r="848">
      <c r="A848" s="1" t="s">
        <v>609</v>
      </c>
      <c r="B848" s="2" t="str">
        <f>IFERROR(__xludf.DUMMYFUNCTION("SPLIT(A848,"" "")"),"$ls")</f>
        <v>$ls</v>
      </c>
      <c r="D848" s="2" t="str">
        <f>IFERROR(__xludf.DUMMYFUNCTION("IF(AND(B848=""$cd"",C848&lt;&gt;""..""),CONCATENATE(D847,""/"",C848),IF(C848="".."",MID(D847,1,LEN(D847)-LEN(REGEXEXTRACT(D847,""(/\w*)$""))),D847))"),"//zddrb/pgbgpn/vvmwgngv/qgj/tzth")</f>
        <v>//zddrb/pgbgpn/vvmwgngv/qgj/tzth</v>
      </c>
      <c r="K848" s="2"/>
    </row>
    <row r="849">
      <c r="A849" s="1" t="s">
        <v>472</v>
      </c>
      <c r="B849" s="2">
        <f>IFERROR(__xludf.DUMMYFUNCTION("SPLIT(A849,"" "")"),12884.0)</f>
        <v>12884</v>
      </c>
      <c r="C849" s="2" t="str">
        <f>IFERROR(__xludf.DUMMYFUNCTION("""COMPUTED_VALUE"""),"hlvpfw.gwl")</f>
        <v>hlvpfw.gwl</v>
      </c>
      <c r="D849" s="2" t="str">
        <f>IFERROR(__xludf.DUMMYFUNCTION("IF(AND(B849=""$cd"",C849&lt;&gt;""..""),CONCATENATE(D848,""/"",C849),IF(C849="".."",MID(D848,1,LEN(D848)-LEN(REGEXEXTRACT(D848,""(/\w*)$""))),D848))"),"//zddrb/pgbgpn/vvmwgngv/qgj/tzth")</f>
        <v>//zddrb/pgbgpn/vvmwgngv/qgj/tzth</v>
      </c>
      <c r="K849" s="2"/>
    </row>
    <row r="850">
      <c r="A850" s="1" t="s">
        <v>473</v>
      </c>
      <c r="B850" s="2">
        <f>IFERROR(__xludf.DUMMYFUNCTION("SPLIT(A850,"" "")"),146470.0)</f>
        <v>146470</v>
      </c>
      <c r="C850" s="2" t="str">
        <f>IFERROR(__xludf.DUMMYFUNCTION("""COMPUTED_VALUE"""),"jnwr")</f>
        <v>jnwr</v>
      </c>
      <c r="D850" s="2" t="str">
        <f>IFERROR(__xludf.DUMMYFUNCTION("IF(AND(B850=""$cd"",C850&lt;&gt;""..""),CONCATENATE(D849,""/"",C850),IF(C850="".."",MID(D849,1,LEN(D849)-LEN(REGEXEXTRACT(D849,""(/\w*)$""))),D849))"),"//zddrb/pgbgpn/vvmwgngv/qgj/tzth")</f>
        <v>//zddrb/pgbgpn/vvmwgngv/qgj/tzth</v>
      </c>
      <c r="K850" s="2"/>
    </row>
    <row r="851">
      <c r="A851" s="1" t="s">
        <v>612</v>
      </c>
      <c r="B851" s="2" t="str">
        <f>IFERROR(__xludf.DUMMYFUNCTION("SPLIT(A851,"" "")"),"$cd")</f>
        <v>$cd</v>
      </c>
      <c r="C851" s="2" t="str">
        <f>IFERROR(__xludf.DUMMYFUNCTION("""COMPUTED_VALUE"""),"..")</f>
        <v>..</v>
      </c>
      <c r="D851" s="2" t="str">
        <f>IFERROR(__xludf.DUMMYFUNCTION("IF(AND(B851=""$cd"",C851&lt;&gt;""..""),CONCATENATE(D850,""/"",C851),IF(C851="".."",MID(D850,1,LEN(D850)-LEN(REGEXEXTRACT(D850,""(/\w*)$""))),D850))"),"//zddrb/pgbgpn/vvmwgngv/qgj")</f>
        <v>//zddrb/pgbgpn/vvmwgngv/qgj</v>
      </c>
      <c r="K851" s="2"/>
    </row>
    <row r="852">
      <c r="A852" s="1" t="s">
        <v>612</v>
      </c>
      <c r="B852" s="2" t="str">
        <f>IFERROR(__xludf.DUMMYFUNCTION("SPLIT(A852,"" "")"),"$cd")</f>
        <v>$cd</v>
      </c>
      <c r="C852" s="2" t="str">
        <f>IFERROR(__xludf.DUMMYFUNCTION("""COMPUTED_VALUE"""),"..")</f>
        <v>..</v>
      </c>
      <c r="D852" s="2" t="str">
        <f>IFERROR(__xludf.DUMMYFUNCTION("IF(AND(B852=""$cd"",C852&lt;&gt;""..""),CONCATENATE(D851,""/"",C852),IF(C852="".."",MID(D851,1,LEN(D851)-LEN(REGEXEXTRACT(D851,""(/\w*)$""))),D851))"),"//zddrb/pgbgpn/vvmwgngv")</f>
        <v>//zddrb/pgbgpn/vvmwgngv</v>
      </c>
      <c r="K852" s="2"/>
    </row>
    <row r="853">
      <c r="A853" s="1" t="s">
        <v>731</v>
      </c>
      <c r="B853" s="2" t="str">
        <f>IFERROR(__xludf.DUMMYFUNCTION("SPLIT(A853,"" "")"),"$cd")</f>
        <v>$cd</v>
      </c>
      <c r="C853" s="2" t="str">
        <f>IFERROR(__xludf.DUMMYFUNCTION("""COMPUTED_VALUE"""),"wfjzls")</f>
        <v>wfjzls</v>
      </c>
      <c r="D853" s="2" t="str">
        <f>IFERROR(__xludf.DUMMYFUNCTION("IF(AND(B853=""$cd"",C853&lt;&gt;""..""),CONCATENATE(D852,""/"",C853),IF(C853="".."",MID(D852,1,LEN(D852)-LEN(REGEXEXTRACT(D852,""(/\w*)$""))),D852))"),"//zddrb/pgbgpn/vvmwgngv/wfjzls")</f>
        <v>//zddrb/pgbgpn/vvmwgngv/wfjzls</v>
      </c>
      <c r="K853" s="2"/>
    </row>
    <row r="854">
      <c r="A854" s="1" t="s">
        <v>609</v>
      </c>
      <c r="B854" s="2" t="str">
        <f>IFERROR(__xludf.DUMMYFUNCTION("SPLIT(A854,"" "")"),"$ls")</f>
        <v>$ls</v>
      </c>
      <c r="D854" s="2" t="str">
        <f>IFERROR(__xludf.DUMMYFUNCTION("IF(AND(B854=""$cd"",C854&lt;&gt;""..""),CONCATENATE(D853,""/"",C854),IF(C854="".."",MID(D853,1,LEN(D853)-LEN(REGEXEXTRACT(D853,""(/\w*)$""))),D853))"),"//zddrb/pgbgpn/vvmwgngv/wfjzls")</f>
        <v>//zddrb/pgbgpn/vvmwgngv/wfjzls</v>
      </c>
      <c r="K854" s="2"/>
    </row>
    <row r="855">
      <c r="A855" s="1" t="s">
        <v>475</v>
      </c>
      <c r="B855" s="2">
        <f>IFERROR(__xludf.DUMMYFUNCTION("SPLIT(A855,"" "")"),191088.0)</f>
        <v>191088</v>
      </c>
      <c r="C855" s="2" t="str">
        <f>IFERROR(__xludf.DUMMYFUNCTION("""COMPUTED_VALUE"""),"hlvpfw.prw")</f>
        <v>hlvpfw.prw</v>
      </c>
      <c r="D855" s="2" t="str">
        <f>IFERROR(__xludf.DUMMYFUNCTION("IF(AND(B855=""$cd"",C855&lt;&gt;""..""),CONCATENATE(D854,""/"",C855),IF(C855="".."",MID(D854,1,LEN(D854)-LEN(REGEXEXTRACT(D854,""(/\w*)$""))),D854))"),"//zddrb/pgbgpn/vvmwgngv/wfjzls")</f>
        <v>//zddrb/pgbgpn/vvmwgngv/wfjzls</v>
      </c>
      <c r="K855" s="2"/>
    </row>
    <row r="856">
      <c r="A856" s="1" t="s">
        <v>476</v>
      </c>
      <c r="B856" s="2">
        <f>IFERROR(__xludf.DUMMYFUNCTION("SPLIT(A856,"" "")"),64712.0)</f>
        <v>64712</v>
      </c>
      <c r="C856" s="2" t="str">
        <f>IFERROR(__xludf.DUMMYFUNCTION("""COMPUTED_VALUE"""),"mpq.cdn")</f>
        <v>mpq.cdn</v>
      </c>
      <c r="D856" s="2" t="str">
        <f>IFERROR(__xludf.DUMMYFUNCTION("IF(AND(B856=""$cd"",C856&lt;&gt;""..""),CONCATENATE(D855,""/"",C856),IF(C856="".."",MID(D855,1,LEN(D855)-LEN(REGEXEXTRACT(D855,""(/\w*)$""))),D855))"),"//zddrb/pgbgpn/vvmwgngv/wfjzls")</f>
        <v>//zddrb/pgbgpn/vvmwgngv/wfjzls</v>
      </c>
      <c r="K856" s="2"/>
    </row>
    <row r="857">
      <c r="A857" s="1" t="s">
        <v>477</v>
      </c>
      <c r="B857" s="2">
        <f>IFERROR(__xludf.DUMMYFUNCTION("SPLIT(A857,"" "")"),103828.0)</f>
        <v>103828</v>
      </c>
      <c r="C857" s="2" t="str">
        <f>IFERROR(__xludf.DUMMYFUNCTION("""COMPUTED_VALUE"""),"pjhg.qmc")</f>
        <v>pjhg.qmc</v>
      </c>
      <c r="D857" s="2" t="str">
        <f>IFERROR(__xludf.DUMMYFUNCTION("IF(AND(B857=""$cd"",C857&lt;&gt;""..""),CONCATENATE(D856,""/"",C857),IF(C857="".."",MID(D856,1,LEN(D856)-LEN(REGEXEXTRACT(D856,""(/\w*)$""))),D856))"),"//zddrb/pgbgpn/vvmwgngv/wfjzls")</f>
        <v>//zddrb/pgbgpn/vvmwgngv/wfjzls</v>
      </c>
      <c r="K857" s="2"/>
    </row>
    <row r="858">
      <c r="A858" s="1" t="s">
        <v>478</v>
      </c>
      <c r="B858" s="2" t="str">
        <f>IFERROR(__xludf.DUMMYFUNCTION("SPLIT(A858,"" "")"),"dir")</f>
        <v>dir</v>
      </c>
      <c r="C858" s="2" t="str">
        <f>IFERROR(__xludf.DUMMYFUNCTION("""COMPUTED_VALUE"""),"qvmdt")</f>
        <v>qvmdt</v>
      </c>
      <c r="D858" s="2" t="str">
        <f>IFERROR(__xludf.DUMMYFUNCTION("IF(AND(B858=""$cd"",C858&lt;&gt;""..""),CONCATENATE(D857,""/"",C858),IF(C858="".."",MID(D857,1,LEN(D857)-LEN(REGEXEXTRACT(D857,""(/\w*)$""))),D857))"),"//zddrb/pgbgpn/vvmwgngv/wfjzls")</f>
        <v>//zddrb/pgbgpn/vvmwgngv/wfjzls</v>
      </c>
      <c r="K858" s="2"/>
    </row>
    <row r="859">
      <c r="A859" s="1" t="s">
        <v>732</v>
      </c>
      <c r="B859" s="2" t="str">
        <f>IFERROR(__xludf.DUMMYFUNCTION("SPLIT(A859,"" "")"),"$cd")</f>
        <v>$cd</v>
      </c>
      <c r="C859" s="2" t="str">
        <f>IFERROR(__xludf.DUMMYFUNCTION("""COMPUTED_VALUE"""),"qvmdt")</f>
        <v>qvmdt</v>
      </c>
      <c r="D859" s="2" t="str">
        <f>IFERROR(__xludf.DUMMYFUNCTION("IF(AND(B859=""$cd"",C859&lt;&gt;""..""),CONCATENATE(D858,""/"",C859),IF(C859="".."",MID(D858,1,LEN(D858)-LEN(REGEXEXTRACT(D858,""(/\w*)$""))),D858))"),"//zddrb/pgbgpn/vvmwgngv/wfjzls/qvmdt")</f>
        <v>//zddrb/pgbgpn/vvmwgngv/wfjzls/qvmdt</v>
      </c>
      <c r="K859" s="2"/>
    </row>
    <row r="860">
      <c r="A860" s="1" t="s">
        <v>609</v>
      </c>
      <c r="B860" s="2" t="str">
        <f>IFERROR(__xludf.DUMMYFUNCTION("SPLIT(A860,"" "")"),"$ls")</f>
        <v>$ls</v>
      </c>
      <c r="D860" s="2" t="str">
        <f>IFERROR(__xludf.DUMMYFUNCTION("IF(AND(B860=""$cd"",C860&lt;&gt;""..""),CONCATENATE(D859,""/"",C860),IF(C860="".."",MID(D859,1,LEN(D859)-LEN(REGEXEXTRACT(D859,""(/\w*)$""))),D859))"),"//zddrb/pgbgpn/vvmwgngv/wfjzls/qvmdt")</f>
        <v>//zddrb/pgbgpn/vvmwgngv/wfjzls/qvmdt</v>
      </c>
      <c r="K860" s="2"/>
    </row>
    <row r="861">
      <c r="A861" s="1" t="s">
        <v>480</v>
      </c>
      <c r="B861" s="2">
        <f>IFERROR(__xludf.DUMMYFUNCTION("SPLIT(A861,"" "")"),244001.0)</f>
        <v>244001</v>
      </c>
      <c r="C861" s="2" t="str">
        <f>IFERROR(__xludf.DUMMYFUNCTION("""COMPUTED_VALUE"""),"ssssrhwz")</f>
        <v>ssssrhwz</v>
      </c>
      <c r="D861" s="2" t="str">
        <f>IFERROR(__xludf.DUMMYFUNCTION("IF(AND(B861=""$cd"",C861&lt;&gt;""..""),CONCATENATE(D860,""/"",C861),IF(C861="".."",MID(D860,1,LEN(D860)-LEN(REGEXEXTRACT(D860,""(/\w*)$""))),D860))"),"//zddrb/pgbgpn/vvmwgngv/wfjzls/qvmdt")</f>
        <v>//zddrb/pgbgpn/vvmwgngv/wfjzls/qvmdt</v>
      </c>
      <c r="K861" s="2"/>
    </row>
    <row r="862">
      <c r="A862" s="1" t="s">
        <v>612</v>
      </c>
      <c r="B862" s="2" t="str">
        <f>IFERROR(__xludf.DUMMYFUNCTION("SPLIT(A862,"" "")"),"$cd")</f>
        <v>$cd</v>
      </c>
      <c r="C862" s="2" t="str">
        <f>IFERROR(__xludf.DUMMYFUNCTION("""COMPUTED_VALUE"""),"..")</f>
        <v>..</v>
      </c>
      <c r="D862" s="2" t="str">
        <f>IFERROR(__xludf.DUMMYFUNCTION("IF(AND(B862=""$cd"",C862&lt;&gt;""..""),CONCATENATE(D861,""/"",C862),IF(C862="".."",MID(D861,1,LEN(D861)-LEN(REGEXEXTRACT(D861,""(/\w*)$""))),D861))"),"//zddrb/pgbgpn/vvmwgngv/wfjzls")</f>
        <v>//zddrb/pgbgpn/vvmwgngv/wfjzls</v>
      </c>
      <c r="K862" s="2"/>
    </row>
    <row r="863">
      <c r="A863" s="1" t="s">
        <v>612</v>
      </c>
      <c r="B863" s="2" t="str">
        <f>IFERROR(__xludf.DUMMYFUNCTION("SPLIT(A863,"" "")"),"$cd")</f>
        <v>$cd</v>
      </c>
      <c r="C863" s="2" t="str">
        <f>IFERROR(__xludf.DUMMYFUNCTION("""COMPUTED_VALUE"""),"..")</f>
        <v>..</v>
      </c>
      <c r="D863" s="2" t="str">
        <f>IFERROR(__xludf.DUMMYFUNCTION("IF(AND(B863=""$cd"",C863&lt;&gt;""..""),CONCATENATE(D862,""/"",C863),IF(C863="".."",MID(D862,1,LEN(D862)-LEN(REGEXEXTRACT(D862,""(/\w*)$""))),D862))"),"//zddrb/pgbgpn/vvmwgngv")</f>
        <v>//zddrb/pgbgpn/vvmwgngv</v>
      </c>
      <c r="K863" s="2"/>
    </row>
    <row r="864">
      <c r="A864" s="1" t="s">
        <v>612</v>
      </c>
      <c r="B864" s="2" t="str">
        <f>IFERROR(__xludf.DUMMYFUNCTION("SPLIT(A864,"" "")"),"$cd")</f>
        <v>$cd</v>
      </c>
      <c r="C864" s="2" t="str">
        <f>IFERROR(__xludf.DUMMYFUNCTION("""COMPUTED_VALUE"""),"..")</f>
        <v>..</v>
      </c>
      <c r="D864" s="2" t="str">
        <f>IFERROR(__xludf.DUMMYFUNCTION("IF(AND(B864=""$cd"",C864&lt;&gt;""..""),CONCATENATE(D863,""/"",C864),IF(C864="".."",MID(D863,1,LEN(D863)-LEN(REGEXEXTRACT(D863,""(/\w*)$""))),D863))"),"//zddrb/pgbgpn")</f>
        <v>//zddrb/pgbgpn</v>
      </c>
      <c r="K864" s="2"/>
    </row>
    <row r="865">
      <c r="A865" s="1" t="s">
        <v>612</v>
      </c>
      <c r="B865" s="2" t="str">
        <f>IFERROR(__xludf.DUMMYFUNCTION("SPLIT(A865,"" "")"),"$cd")</f>
        <v>$cd</v>
      </c>
      <c r="C865" s="2" t="str">
        <f>IFERROR(__xludf.DUMMYFUNCTION("""COMPUTED_VALUE"""),"..")</f>
        <v>..</v>
      </c>
      <c r="D865" s="2" t="str">
        <f>IFERROR(__xludf.DUMMYFUNCTION("IF(AND(B865=""$cd"",C865&lt;&gt;""..""),CONCATENATE(D864,""/"",C865),IF(C865="".."",MID(D864,1,LEN(D864)-LEN(REGEXEXTRACT(D864,""(/\w*)$""))),D864))"),"//zddrb")</f>
        <v>//zddrb</v>
      </c>
      <c r="K865" s="2"/>
    </row>
    <row r="866">
      <c r="A866" s="1" t="s">
        <v>624</v>
      </c>
      <c r="B866" s="2" t="str">
        <f>IFERROR(__xludf.DUMMYFUNCTION("SPLIT(A866,"" "")"),"$cd")</f>
        <v>$cd</v>
      </c>
      <c r="C866" s="2" t="str">
        <f>IFERROR(__xludf.DUMMYFUNCTION("""COMPUTED_VALUE"""),"slzdbm")</f>
        <v>slzdbm</v>
      </c>
      <c r="D866" s="2" t="str">
        <f>IFERROR(__xludf.DUMMYFUNCTION("IF(AND(B866=""$cd"",C866&lt;&gt;""..""),CONCATENATE(D865,""/"",C866),IF(C866="".."",MID(D865,1,LEN(D865)-LEN(REGEXEXTRACT(D865,""(/\w*)$""))),D865))"),"//zddrb/slzdbm")</f>
        <v>//zddrb/slzdbm</v>
      </c>
      <c r="K866" s="2"/>
    </row>
    <row r="867">
      <c r="A867" s="1" t="s">
        <v>609</v>
      </c>
      <c r="B867" s="2" t="str">
        <f>IFERROR(__xludf.DUMMYFUNCTION("SPLIT(A867,"" "")"),"$ls")</f>
        <v>$ls</v>
      </c>
      <c r="D867" s="2" t="str">
        <f>IFERROR(__xludf.DUMMYFUNCTION("IF(AND(B867=""$cd"",C867&lt;&gt;""..""),CONCATENATE(D866,""/"",C867),IF(C867="".."",MID(D866,1,LEN(D866)-LEN(REGEXEXTRACT(D866,""(/\w*)$""))),D866))"),"//zddrb/slzdbm")</f>
        <v>//zddrb/slzdbm</v>
      </c>
      <c r="K867" s="2"/>
    </row>
    <row r="868">
      <c r="A868" s="1" t="s">
        <v>481</v>
      </c>
      <c r="B868" s="2" t="str">
        <f>IFERROR(__xludf.DUMMYFUNCTION("SPLIT(A868,"" "")"),"dir")</f>
        <v>dir</v>
      </c>
      <c r="C868" s="2" t="str">
        <f>IFERROR(__xludf.DUMMYFUNCTION("""COMPUTED_VALUE"""),"hsvbbbp")</f>
        <v>hsvbbbp</v>
      </c>
      <c r="D868" s="2" t="str">
        <f>IFERROR(__xludf.DUMMYFUNCTION("IF(AND(B868=""$cd"",C868&lt;&gt;""..""),CONCATENATE(D867,""/"",C868),IF(C868="".."",MID(D867,1,LEN(D867)-LEN(REGEXEXTRACT(D867,""(/\w*)$""))),D867))"),"//zddrb/slzdbm")</f>
        <v>//zddrb/slzdbm</v>
      </c>
      <c r="K868" s="2"/>
    </row>
    <row r="869">
      <c r="A869" s="1" t="s">
        <v>482</v>
      </c>
      <c r="B869" s="2" t="str">
        <f>IFERROR(__xludf.DUMMYFUNCTION("SPLIT(A869,"" "")"),"dir")</f>
        <v>dir</v>
      </c>
      <c r="C869" s="2" t="str">
        <f>IFERROR(__xludf.DUMMYFUNCTION("""COMPUTED_VALUE"""),"jdtrdgqs")</f>
        <v>jdtrdgqs</v>
      </c>
      <c r="D869" s="2" t="str">
        <f>IFERROR(__xludf.DUMMYFUNCTION("IF(AND(B869=""$cd"",C869&lt;&gt;""..""),CONCATENATE(D868,""/"",C869),IF(C869="".."",MID(D868,1,LEN(D868)-LEN(REGEXEXTRACT(D868,""(/\w*)$""))),D868))"),"//zddrb/slzdbm")</f>
        <v>//zddrb/slzdbm</v>
      </c>
      <c r="K869" s="2"/>
    </row>
    <row r="870">
      <c r="A870" s="1" t="s">
        <v>483</v>
      </c>
      <c r="B870" s="2" t="str">
        <f>IFERROR(__xludf.DUMMYFUNCTION("SPLIT(A870,"" "")"),"dir")</f>
        <v>dir</v>
      </c>
      <c r="C870" s="2" t="str">
        <f>IFERROR(__xludf.DUMMYFUNCTION("""COMPUTED_VALUE"""),"lrldsqcr")</f>
        <v>lrldsqcr</v>
      </c>
      <c r="D870" s="2" t="str">
        <f>IFERROR(__xludf.DUMMYFUNCTION("IF(AND(B870=""$cd"",C870&lt;&gt;""..""),CONCATENATE(D869,""/"",C870),IF(C870="".."",MID(D869,1,LEN(D869)-LEN(REGEXEXTRACT(D869,""(/\w*)$""))),D869))"),"//zddrb/slzdbm")</f>
        <v>//zddrb/slzdbm</v>
      </c>
      <c r="K870" s="2"/>
    </row>
    <row r="871">
      <c r="A871" s="1" t="s">
        <v>484</v>
      </c>
      <c r="B871" s="2">
        <f>IFERROR(__xludf.DUMMYFUNCTION("SPLIT(A871,"" "")"),194137.0)</f>
        <v>194137</v>
      </c>
      <c r="C871" s="2" t="str">
        <f>IFERROR(__xludf.DUMMYFUNCTION("""COMPUTED_VALUE"""),"mzsfcvgv.hnv")</f>
        <v>mzsfcvgv.hnv</v>
      </c>
      <c r="D871" s="2" t="str">
        <f>IFERROR(__xludf.DUMMYFUNCTION("IF(AND(B871=""$cd"",C871&lt;&gt;""..""),CONCATENATE(D870,""/"",C871),IF(C871="".."",MID(D870,1,LEN(D870)-LEN(REGEXEXTRACT(D870,""(/\w*)$""))),D870))"),"//zddrb/slzdbm")</f>
        <v>//zddrb/slzdbm</v>
      </c>
      <c r="K871" s="2"/>
    </row>
    <row r="872">
      <c r="A872" s="1" t="s">
        <v>485</v>
      </c>
      <c r="B872" s="2" t="str">
        <f>IFERROR(__xludf.DUMMYFUNCTION("SPLIT(A872,"" "")"),"dir")</f>
        <v>dir</v>
      </c>
      <c r="C872" s="2" t="str">
        <f>IFERROR(__xludf.DUMMYFUNCTION("""COMPUTED_VALUE"""),"nzcbqzdz")</f>
        <v>nzcbqzdz</v>
      </c>
      <c r="D872" s="2" t="str">
        <f>IFERROR(__xludf.DUMMYFUNCTION("IF(AND(B872=""$cd"",C872&lt;&gt;""..""),CONCATENATE(D871,""/"",C872),IF(C872="".."",MID(D871,1,LEN(D871)-LEN(REGEXEXTRACT(D871,""(/\w*)$""))),D871))"),"//zddrb/slzdbm")</f>
        <v>//zddrb/slzdbm</v>
      </c>
      <c r="K872" s="2"/>
    </row>
    <row r="873">
      <c r="A873" s="1" t="s">
        <v>733</v>
      </c>
      <c r="B873" s="2" t="str">
        <f>IFERROR(__xludf.DUMMYFUNCTION("SPLIT(A873,"" "")"),"$cd")</f>
        <v>$cd</v>
      </c>
      <c r="C873" s="2" t="str">
        <f>IFERROR(__xludf.DUMMYFUNCTION("""COMPUTED_VALUE"""),"hsvbbbp")</f>
        <v>hsvbbbp</v>
      </c>
      <c r="D873" s="2" t="str">
        <f>IFERROR(__xludf.DUMMYFUNCTION("IF(AND(B873=""$cd"",C873&lt;&gt;""..""),CONCATENATE(D872,""/"",C873),IF(C873="".."",MID(D872,1,LEN(D872)-LEN(REGEXEXTRACT(D872,""(/\w*)$""))),D872))"),"//zddrb/slzdbm/hsvbbbp")</f>
        <v>//zddrb/slzdbm/hsvbbbp</v>
      </c>
      <c r="K873" s="2"/>
    </row>
    <row r="874">
      <c r="A874" s="1" t="s">
        <v>609</v>
      </c>
      <c r="B874" s="2" t="str">
        <f>IFERROR(__xludf.DUMMYFUNCTION("SPLIT(A874,"" "")"),"$ls")</f>
        <v>$ls</v>
      </c>
      <c r="D874" s="2" t="str">
        <f>IFERROR(__xludf.DUMMYFUNCTION("IF(AND(B874=""$cd"",C874&lt;&gt;""..""),CONCATENATE(D873,""/"",C874),IF(C874="".."",MID(D873,1,LEN(D873)-LEN(REGEXEXTRACT(D873,""(/\w*)$""))),D873))"),"//zddrb/slzdbm/hsvbbbp")</f>
        <v>//zddrb/slzdbm/hsvbbbp</v>
      </c>
      <c r="K874" s="2"/>
    </row>
    <row r="875">
      <c r="A875" s="1" t="s">
        <v>487</v>
      </c>
      <c r="B875" s="2">
        <f>IFERROR(__xludf.DUMMYFUNCTION("SPLIT(A875,"" "")"),104752.0)</f>
        <v>104752</v>
      </c>
      <c r="C875" s="2" t="str">
        <f>IFERROR(__xludf.DUMMYFUNCTION("""COMPUTED_VALUE"""),"rcfpnh.vlr")</f>
        <v>rcfpnh.vlr</v>
      </c>
      <c r="D875" s="2" t="str">
        <f>IFERROR(__xludf.DUMMYFUNCTION("IF(AND(B875=""$cd"",C875&lt;&gt;""..""),CONCATENATE(D874,""/"",C875),IF(C875="".."",MID(D874,1,LEN(D874)-LEN(REGEXEXTRACT(D874,""(/\w*)$""))),D874))"),"//zddrb/slzdbm/hsvbbbp")</f>
        <v>//zddrb/slzdbm/hsvbbbp</v>
      </c>
      <c r="K875" s="2"/>
    </row>
    <row r="876">
      <c r="A876" s="1" t="s">
        <v>488</v>
      </c>
      <c r="B876" s="2">
        <f>IFERROR(__xludf.DUMMYFUNCTION("SPLIT(A876,"" "")"),185473.0)</f>
        <v>185473</v>
      </c>
      <c r="C876" s="2" t="str">
        <f>IFERROR(__xludf.DUMMYFUNCTION("""COMPUTED_VALUE"""),"slzdbm.dbr")</f>
        <v>slzdbm.dbr</v>
      </c>
      <c r="D876" s="2" t="str">
        <f>IFERROR(__xludf.DUMMYFUNCTION("IF(AND(B876=""$cd"",C876&lt;&gt;""..""),CONCATENATE(D875,""/"",C876),IF(C876="".."",MID(D875,1,LEN(D875)-LEN(REGEXEXTRACT(D875,""(/\w*)$""))),D875))"),"//zddrb/slzdbm/hsvbbbp")</f>
        <v>//zddrb/slzdbm/hsvbbbp</v>
      </c>
      <c r="K876" s="2"/>
    </row>
    <row r="877">
      <c r="A877" s="1" t="s">
        <v>489</v>
      </c>
      <c r="B877" s="2" t="str">
        <f>IFERROR(__xludf.DUMMYFUNCTION("SPLIT(A877,"" "")"),"dir")</f>
        <v>dir</v>
      </c>
      <c r="C877" s="2" t="str">
        <f>IFERROR(__xludf.DUMMYFUNCTION("""COMPUTED_VALUE"""),"vpwf")</f>
        <v>vpwf</v>
      </c>
      <c r="D877" s="2" t="str">
        <f>IFERROR(__xludf.DUMMYFUNCTION("IF(AND(B877=""$cd"",C877&lt;&gt;""..""),CONCATENATE(D876,""/"",C877),IF(C877="".."",MID(D876,1,LEN(D876)-LEN(REGEXEXTRACT(D876,""(/\w*)$""))),D876))"),"//zddrb/slzdbm/hsvbbbp")</f>
        <v>//zddrb/slzdbm/hsvbbbp</v>
      </c>
      <c r="K877" s="2"/>
    </row>
    <row r="878">
      <c r="A878" s="1" t="s">
        <v>490</v>
      </c>
      <c r="B878" s="2" t="str">
        <f>IFERROR(__xludf.DUMMYFUNCTION("SPLIT(A878,"" "")"),"dir")</f>
        <v>dir</v>
      </c>
      <c r="C878" s="2" t="str">
        <f>IFERROR(__xludf.DUMMYFUNCTION("""COMPUTED_VALUE"""),"zhngz")</f>
        <v>zhngz</v>
      </c>
      <c r="D878" s="2" t="str">
        <f>IFERROR(__xludf.DUMMYFUNCTION("IF(AND(B878=""$cd"",C878&lt;&gt;""..""),CONCATENATE(D877,""/"",C878),IF(C878="".."",MID(D877,1,LEN(D877)-LEN(REGEXEXTRACT(D877,""(/\w*)$""))),D877))"),"//zddrb/slzdbm/hsvbbbp")</f>
        <v>//zddrb/slzdbm/hsvbbbp</v>
      </c>
      <c r="K878" s="2"/>
    </row>
    <row r="879">
      <c r="A879" s="1" t="s">
        <v>734</v>
      </c>
      <c r="B879" s="2" t="str">
        <f>IFERROR(__xludf.DUMMYFUNCTION("SPLIT(A879,"" "")"),"$cd")</f>
        <v>$cd</v>
      </c>
      <c r="C879" s="2" t="str">
        <f>IFERROR(__xludf.DUMMYFUNCTION("""COMPUTED_VALUE"""),"vpwf")</f>
        <v>vpwf</v>
      </c>
      <c r="D879" s="2" t="str">
        <f>IFERROR(__xludf.DUMMYFUNCTION("IF(AND(B879=""$cd"",C879&lt;&gt;""..""),CONCATENATE(D878,""/"",C879),IF(C879="".."",MID(D878,1,LEN(D878)-LEN(REGEXEXTRACT(D878,""(/\w*)$""))),D878))"),"//zddrb/slzdbm/hsvbbbp/vpwf")</f>
        <v>//zddrb/slzdbm/hsvbbbp/vpwf</v>
      </c>
      <c r="K879" s="2"/>
    </row>
    <row r="880">
      <c r="A880" s="1" t="s">
        <v>609</v>
      </c>
      <c r="B880" s="2" t="str">
        <f>IFERROR(__xludf.DUMMYFUNCTION("SPLIT(A880,"" "")"),"$ls")</f>
        <v>$ls</v>
      </c>
      <c r="D880" s="2" t="str">
        <f>IFERROR(__xludf.DUMMYFUNCTION("IF(AND(B880=""$cd"",C880&lt;&gt;""..""),CONCATENATE(D879,""/"",C880),IF(C880="".."",MID(D879,1,LEN(D879)-LEN(REGEXEXTRACT(D879,""(/\w*)$""))),D879))"),"//zddrb/slzdbm/hsvbbbp/vpwf")</f>
        <v>//zddrb/slzdbm/hsvbbbp/vpwf</v>
      </c>
      <c r="K880" s="2"/>
    </row>
    <row r="881">
      <c r="A881" s="1" t="s">
        <v>492</v>
      </c>
      <c r="B881" s="2">
        <f>IFERROR(__xludf.DUMMYFUNCTION("SPLIT(A881,"" "")"),266988.0)</f>
        <v>266988</v>
      </c>
      <c r="C881" s="2" t="str">
        <f>IFERROR(__xludf.DUMMYFUNCTION("""COMPUTED_VALUE"""),"frhvp.ltf")</f>
        <v>frhvp.ltf</v>
      </c>
      <c r="D881" s="2" t="str">
        <f>IFERROR(__xludf.DUMMYFUNCTION("IF(AND(B881=""$cd"",C881&lt;&gt;""..""),CONCATENATE(D880,""/"",C881),IF(C881="".."",MID(D880,1,LEN(D880)-LEN(REGEXEXTRACT(D880,""(/\w*)$""))),D880))"),"//zddrb/slzdbm/hsvbbbp/vpwf")</f>
        <v>//zddrb/slzdbm/hsvbbbp/vpwf</v>
      </c>
      <c r="K881" s="2"/>
    </row>
    <row r="882">
      <c r="A882" s="1" t="s">
        <v>493</v>
      </c>
      <c r="B882" s="2">
        <f>IFERROR(__xludf.DUMMYFUNCTION("SPLIT(A882,"" "")"),82931.0)</f>
        <v>82931</v>
      </c>
      <c r="C882" s="2" t="str">
        <f>IFERROR(__xludf.DUMMYFUNCTION("""COMPUTED_VALUE"""),"mpq.cdn")</f>
        <v>mpq.cdn</v>
      </c>
      <c r="D882" s="2" t="str">
        <f>IFERROR(__xludf.DUMMYFUNCTION("IF(AND(B882=""$cd"",C882&lt;&gt;""..""),CONCATENATE(D881,""/"",C882),IF(C882="".."",MID(D881,1,LEN(D881)-LEN(REGEXEXTRACT(D881,""(/\w*)$""))),D881))"),"//zddrb/slzdbm/hsvbbbp/vpwf")</f>
        <v>//zddrb/slzdbm/hsvbbbp/vpwf</v>
      </c>
      <c r="K882" s="2"/>
    </row>
    <row r="883">
      <c r="A883" s="1" t="s">
        <v>612</v>
      </c>
      <c r="B883" s="2" t="str">
        <f>IFERROR(__xludf.DUMMYFUNCTION("SPLIT(A883,"" "")"),"$cd")</f>
        <v>$cd</v>
      </c>
      <c r="C883" s="2" t="str">
        <f>IFERROR(__xludf.DUMMYFUNCTION("""COMPUTED_VALUE"""),"..")</f>
        <v>..</v>
      </c>
      <c r="D883" s="2" t="str">
        <f>IFERROR(__xludf.DUMMYFUNCTION("IF(AND(B883=""$cd"",C883&lt;&gt;""..""),CONCATENATE(D882,""/"",C883),IF(C883="".."",MID(D882,1,LEN(D882)-LEN(REGEXEXTRACT(D882,""(/\w*)$""))),D882))"),"//zddrb/slzdbm/hsvbbbp")</f>
        <v>//zddrb/slzdbm/hsvbbbp</v>
      </c>
      <c r="K883" s="2"/>
    </row>
    <row r="884">
      <c r="A884" s="1" t="s">
        <v>735</v>
      </c>
      <c r="B884" s="2" t="str">
        <f>IFERROR(__xludf.DUMMYFUNCTION("SPLIT(A884,"" "")"),"$cd")</f>
        <v>$cd</v>
      </c>
      <c r="C884" s="2" t="str">
        <f>IFERROR(__xludf.DUMMYFUNCTION("""COMPUTED_VALUE"""),"zhngz")</f>
        <v>zhngz</v>
      </c>
      <c r="D884" s="2" t="str">
        <f>IFERROR(__xludf.DUMMYFUNCTION("IF(AND(B884=""$cd"",C884&lt;&gt;""..""),CONCATENATE(D883,""/"",C884),IF(C884="".."",MID(D883,1,LEN(D883)-LEN(REGEXEXTRACT(D883,""(/\w*)$""))),D883))"),"//zddrb/slzdbm/hsvbbbp/zhngz")</f>
        <v>//zddrb/slzdbm/hsvbbbp/zhngz</v>
      </c>
      <c r="K884" s="2"/>
    </row>
    <row r="885">
      <c r="A885" s="1" t="s">
        <v>609</v>
      </c>
      <c r="B885" s="2" t="str">
        <f>IFERROR(__xludf.DUMMYFUNCTION("SPLIT(A885,"" "")"),"$ls")</f>
        <v>$ls</v>
      </c>
      <c r="D885" s="2" t="str">
        <f>IFERROR(__xludf.DUMMYFUNCTION("IF(AND(B885=""$cd"",C885&lt;&gt;""..""),CONCATENATE(D884,""/"",C885),IF(C885="".."",MID(D884,1,LEN(D884)-LEN(REGEXEXTRACT(D884,""(/\w*)$""))),D884))"),"//zddrb/slzdbm/hsvbbbp/zhngz")</f>
        <v>//zddrb/slzdbm/hsvbbbp/zhngz</v>
      </c>
      <c r="K885" s="2"/>
    </row>
    <row r="886">
      <c r="A886" s="1" t="s">
        <v>495</v>
      </c>
      <c r="B886" s="2">
        <f>IFERROR(__xludf.DUMMYFUNCTION("SPLIT(A886,"" "")"),181282.0)</f>
        <v>181282</v>
      </c>
      <c r="C886" s="2" t="str">
        <f>IFERROR(__xludf.DUMMYFUNCTION("""COMPUTED_VALUE"""),"drtfhrhp")</f>
        <v>drtfhrhp</v>
      </c>
      <c r="D886" s="2" t="str">
        <f>IFERROR(__xludf.DUMMYFUNCTION("IF(AND(B886=""$cd"",C886&lt;&gt;""..""),CONCATENATE(D885,""/"",C886),IF(C886="".."",MID(D885,1,LEN(D885)-LEN(REGEXEXTRACT(D885,""(/\w*)$""))),D885))"),"//zddrb/slzdbm/hsvbbbp/zhngz")</f>
        <v>//zddrb/slzdbm/hsvbbbp/zhngz</v>
      </c>
      <c r="K886" s="2"/>
    </row>
    <row r="887">
      <c r="A887" s="1" t="s">
        <v>612</v>
      </c>
      <c r="B887" s="2" t="str">
        <f>IFERROR(__xludf.DUMMYFUNCTION("SPLIT(A887,"" "")"),"$cd")</f>
        <v>$cd</v>
      </c>
      <c r="C887" s="2" t="str">
        <f>IFERROR(__xludf.DUMMYFUNCTION("""COMPUTED_VALUE"""),"..")</f>
        <v>..</v>
      </c>
      <c r="D887" s="2" t="str">
        <f>IFERROR(__xludf.DUMMYFUNCTION("IF(AND(B887=""$cd"",C887&lt;&gt;""..""),CONCATENATE(D886,""/"",C887),IF(C887="".."",MID(D886,1,LEN(D886)-LEN(REGEXEXTRACT(D886,""(/\w*)$""))),D886))"),"//zddrb/slzdbm/hsvbbbp")</f>
        <v>//zddrb/slzdbm/hsvbbbp</v>
      </c>
      <c r="K887" s="2"/>
    </row>
    <row r="888">
      <c r="A888" s="1" t="s">
        <v>612</v>
      </c>
      <c r="B888" s="2" t="str">
        <f>IFERROR(__xludf.DUMMYFUNCTION("SPLIT(A888,"" "")"),"$cd")</f>
        <v>$cd</v>
      </c>
      <c r="C888" s="2" t="str">
        <f>IFERROR(__xludf.DUMMYFUNCTION("""COMPUTED_VALUE"""),"..")</f>
        <v>..</v>
      </c>
      <c r="D888" s="2" t="str">
        <f>IFERROR(__xludf.DUMMYFUNCTION("IF(AND(B888=""$cd"",C888&lt;&gt;""..""),CONCATENATE(D887,""/"",C888),IF(C888="".."",MID(D887,1,LEN(D887)-LEN(REGEXEXTRACT(D887,""(/\w*)$""))),D887))"),"//zddrb/slzdbm")</f>
        <v>//zddrb/slzdbm</v>
      </c>
      <c r="K888" s="2"/>
    </row>
    <row r="889">
      <c r="A889" s="1" t="s">
        <v>736</v>
      </c>
      <c r="B889" s="2" t="str">
        <f>IFERROR(__xludf.DUMMYFUNCTION("SPLIT(A889,"" "")"),"$cd")</f>
        <v>$cd</v>
      </c>
      <c r="C889" s="2" t="str">
        <f>IFERROR(__xludf.DUMMYFUNCTION("""COMPUTED_VALUE"""),"jdtrdgqs")</f>
        <v>jdtrdgqs</v>
      </c>
      <c r="D889" s="2" t="str">
        <f>IFERROR(__xludf.DUMMYFUNCTION("IF(AND(B889=""$cd"",C889&lt;&gt;""..""),CONCATENATE(D888,""/"",C889),IF(C889="".."",MID(D888,1,LEN(D888)-LEN(REGEXEXTRACT(D888,""(/\w*)$""))),D888))"),"//zddrb/slzdbm/jdtrdgqs")</f>
        <v>//zddrb/slzdbm/jdtrdgqs</v>
      </c>
      <c r="K889" s="2"/>
    </row>
    <row r="890">
      <c r="A890" s="1" t="s">
        <v>609</v>
      </c>
      <c r="B890" s="2" t="str">
        <f>IFERROR(__xludf.DUMMYFUNCTION("SPLIT(A890,"" "")"),"$ls")</f>
        <v>$ls</v>
      </c>
      <c r="D890" s="2" t="str">
        <f>IFERROR(__xludf.DUMMYFUNCTION("IF(AND(B890=""$cd"",C890&lt;&gt;""..""),CONCATENATE(D889,""/"",C890),IF(C890="".."",MID(D889,1,LEN(D889)-LEN(REGEXEXTRACT(D889,""(/\w*)$""))),D889))"),"//zddrb/slzdbm/jdtrdgqs")</f>
        <v>//zddrb/slzdbm/jdtrdgqs</v>
      </c>
      <c r="K890" s="2"/>
    </row>
    <row r="891">
      <c r="A891" s="1" t="s">
        <v>497</v>
      </c>
      <c r="B891" s="2">
        <f>IFERROR(__xludf.DUMMYFUNCTION("SPLIT(A891,"" "")"),37106.0)</f>
        <v>37106</v>
      </c>
      <c r="C891" s="2" t="str">
        <f>IFERROR(__xludf.DUMMYFUNCTION("""COMPUTED_VALUE"""),"hdjl.rrr")</f>
        <v>hdjl.rrr</v>
      </c>
      <c r="D891" s="2" t="str">
        <f>IFERROR(__xludf.DUMMYFUNCTION("IF(AND(B891=""$cd"",C891&lt;&gt;""..""),CONCATENATE(D890,""/"",C891),IF(C891="".."",MID(D890,1,LEN(D890)-LEN(REGEXEXTRACT(D890,""(/\w*)$""))),D890))"),"//zddrb/slzdbm/jdtrdgqs")</f>
        <v>//zddrb/slzdbm/jdtrdgqs</v>
      </c>
      <c r="K891" s="2"/>
    </row>
    <row r="892">
      <c r="A892" s="1" t="s">
        <v>612</v>
      </c>
      <c r="B892" s="2" t="str">
        <f>IFERROR(__xludf.DUMMYFUNCTION("SPLIT(A892,"" "")"),"$cd")</f>
        <v>$cd</v>
      </c>
      <c r="C892" s="2" t="str">
        <f>IFERROR(__xludf.DUMMYFUNCTION("""COMPUTED_VALUE"""),"..")</f>
        <v>..</v>
      </c>
      <c r="D892" s="2" t="str">
        <f>IFERROR(__xludf.DUMMYFUNCTION("IF(AND(B892=""$cd"",C892&lt;&gt;""..""),CONCATENATE(D891,""/"",C892),IF(C892="".."",MID(D891,1,LEN(D891)-LEN(REGEXEXTRACT(D891,""(/\w*)$""))),D891))"),"//zddrb/slzdbm")</f>
        <v>//zddrb/slzdbm</v>
      </c>
      <c r="K892" s="2"/>
    </row>
    <row r="893">
      <c r="A893" s="1" t="s">
        <v>737</v>
      </c>
      <c r="B893" s="2" t="str">
        <f>IFERROR(__xludf.DUMMYFUNCTION("SPLIT(A893,"" "")"),"$cd")</f>
        <v>$cd</v>
      </c>
      <c r="C893" s="2" t="str">
        <f>IFERROR(__xludf.DUMMYFUNCTION("""COMPUTED_VALUE"""),"lrldsqcr")</f>
        <v>lrldsqcr</v>
      </c>
      <c r="D893" s="2" t="str">
        <f>IFERROR(__xludf.DUMMYFUNCTION("IF(AND(B893=""$cd"",C893&lt;&gt;""..""),CONCATENATE(D892,""/"",C893),IF(C893="".."",MID(D892,1,LEN(D892)-LEN(REGEXEXTRACT(D892,""(/\w*)$""))),D892))"),"//zddrb/slzdbm/lrldsqcr")</f>
        <v>//zddrb/slzdbm/lrldsqcr</v>
      </c>
      <c r="K893" s="2"/>
    </row>
    <row r="894">
      <c r="A894" s="1" t="s">
        <v>609</v>
      </c>
      <c r="B894" s="2" t="str">
        <f>IFERROR(__xludf.DUMMYFUNCTION("SPLIT(A894,"" "")"),"$ls")</f>
        <v>$ls</v>
      </c>
      <c r="D894" s="2" t="str">
        <f>IFERROR(__xludf.DUMMYFUNCTION("IF(AND(B894=""$cd"",C894&lt;&gt;""..""),CONCATENATE(D893,""/"",C894),IF(C894="".."",MID(D893,1,LEN(D893)-LEN(REGEXEXTRACT(D893,""(/\w*)$""))),D893))"),"//zddrb/slzdbm/lrldsqcr")</f>
        <v>//zddrb/slzdbm/lrldsqcr</v>
      </c>
      <c r="K894" s="2"/>
    </row>
    <row r="895">
      <c r="A895" s="1" t="s">
        <v>499</v>
      </c>
      <c r="B895" s="2" t="str">
        <f>IFERROR(__xludf.DUMMYFUNCTION("SPLIT(A895,"" "")"),"dir")</f>
        <v>dir</v>
      </c>
      <c r="C895" s="2" t="str">
        <f>IFERROR(__xludf.DUMMYFUNCTION("""COMPUTED_VALUE"""),"brwcprn")</f>
        <v>brwcprn</v>
      </c>
      <c r="D895" s="2" t="str">
        <f>IFERROR(__xludf.DUMMYFUNCTION("IF(AND(B895=""$cd"",C895&lt;&gt;""..""),CONCATENATE(D894,""/"",C895),IF(C895="".."",MID(D894,1,LEN(D894)-LEN(REGEXEXTRACT(D894,""(/\w*)$""))),D894))"),"//zddrb/slzdbm/lrldsqcr")</f>
        <v>//zddrb/slzdbm/lrldsqcr</v>
      </c>
      <c r="K895" s="2"/>
    </row>
    <row r="896">
      <c r="A896" s="1" t="s">
        <v>50</v>
      </c>
      <c r="B896" s="2" t="str">
        <f>IFERROR(__xludf.DUMMYFUNCTION("SPLIT(A896,"" "")"),"dir")</f>
        <v>dir</v>
      </c>
      <c r="C896" s="2" t="str">
        <f>IFERROR(__xludf.DUMMYFUNCTION("""COMPUTED_VALUE"""),"hlvpfw")</f>
        <v>hlvpfw</v>
      </c>
      <c r="D896" s="2" t="str">
        <f>IFERROR(__xludf.DUMMYFUNCTION("IF(AND(B896=""$cd"",C896&lt;&gt;""..""),CONCATENATE(D895,""/"",C896),IF(C896="".."",MID(D895,1,LEN(D895)-LEN(REGEXEXTRACT(D895,""(/\w*)$""))),D895))"),"//zddrb/slzdbm/lrldsqcr")</f>
        <v>//zddrb/slzdbm/lrldsqcr</v>
      </c>
      <c r="K896" s="2"/>
    </row>
    <row r="897">
      <c r="A897" s="1" t="s">
        <v>4</v>
      </c>
      <c r="B897" s="2" t="str">
        <f>IFERROR(__xludf.DUMMYFUNCTION("SPLIT(A897,"" "")"),"dir")</f>
        <v>dir</v>
      </c>
      <c r="C897" s="2" t="str">
        <f>IFERROR(__xludf.DUMMYFUNCTION("""COMPUTED_VALUE"""),"jnwr")</f>
        <v>jnwr</v>
      </c>
      <c r="D897" s="2" t="str">
        <f>IFERROR(__xludf.DUMMYFUNCTION("IF(AND(B897=""$cd"",C897&lt;&gt;""..""),CONCATENATE(D896,""/"",C897),IF(C897="".."",MID(D896,1,LEN(D896)-LEN(REGEXEXTRACT(D896,""(/\w*)$""))),D896))"),"//zddrb/slzdbm/lrldsqcr")</f>
        <v>//zddrb/slzdbm/lrldsqcr</v>
      </c>
      <c r="K897" s="2"/>
    </row>
    <row r="898">
      <c r="A898" s="1" t="s">
        <v>39</v>
      </c>
      <c r="B898" s="2" t="str">
        <f>IFERROR(__xludf.DUMMYFUNCTION("SPLIT(A898,"" "")"),"dir")</f>
        <v>dir</v>
      </c>
      <c r="C898" s="2" t="str">
        <f>IFERROR(__xludf.DUMMYFUNCTION("""COMPUTED_VALUE"""),"slzdbm")</f>
        <v>slzdbm</v>
      </c>
      <c r="D898" s="2" t="str">
        <f>IFERROR(__xludf.DUMMYFUNCTION("IF(AND(B898=""$cd"",C898&lt;&gt;""..""),CONCATENATE(D897,""/"",C898),IF(C898="".."",MID(D897,1,LEN(D897)-LEN(REGEXEXTRACT(D897,""(/\w*)$""))),D897))"),"//zddrb/slzdbm/lrldsqcr")</f>
        <v>//zddrb/slzdbm/lrldsqcr</v>
      </c>
      <c r="K898" s="2"/>
    </row>
    <row r="899">
      <c r="A899" s="1" t="s">
        <v>500</v>
      </c>
      <c r="B899" s="2" t="str">
        <f>IFERROR(__xludf.DUMMYFUNCTION("SPLIT(A899,"" "")"),"dir")</f>
        <v>dir</v>
      </c>
      <c r="C899" s="2" t="str">
        <f>IFERROR(__xludf.DUMMYFUNCTION("""COMPUTED_VALUE"""),"wrmr")</f>
        <v>wrmr</v>
      </c>
      <c r="D899" s="2" t="str">
        <f>IFERROR(__xludf.DUMMYFUNCTION("IF(AND(B899=""$cd"",C899&lt;&gt;""..""),CONCATENATE(D898,""/"",C899),IF(C899="".."",MID(D898,1,LEN(D898)-LEN(REGEXEXTRACT(D898,""(/\w*)$""))),D898))"),"//zddrb/slzdbm/lrldsqcr")</f>
        <v>//zddrb/slzdbm/lrldsqcr</v>
      </c>
      <c r="K899" s="2"/>
    </row>
    <row r="900">
      <c r="A900" s="1" t="s">
        <v>501</v>
      </c>
      <c r="B900" s="2" t="str">
        <f>IFERROR(__xludf.DUMMYFUNCTION("SPLIT(A900,"" "")"),"dir")</f>
        <v>dir</v>
      </c>
      <c r="C900" s="2" t="str">
        <f>IFERROR(__xludf.DUMMYFUNCTION("""COMPUTED_VALUE"""),"zjrdgf")</f>
        <v>zjrdgf</v>
      </c>
      <c r="D900" s="2" t="str">
        <f>IFERROR(__xludf.DUMMYFUNCTION("IF(AND(B900=""$cd"",C900&lt;&gt;""..""),CONCATENATE(D899,""/"",C900),IF(C900="".."",MID(D899,1,LEN(D899)-LEN(REGEXEXTRACT(D899,""(/\w*)$""))),D899))"),"//zddrb/slzdbm/lrldsqcr")</f>
        <v>//zddrb/slzdbm/lrldsqcr</v>
      </c>
      <c r="K900" s="2"/>
    </row>
    <row r="901">
      <c r="A901" s="1" t="s">
        <v>502</v>
      </c>
      <c r="B901" s="2" t="str">
        <f>IFERROR(__xludf.DUMMYFUNCTION("SPLIT(A901,"" "")"),"dir")</f>
        <v>dir</v>
      </c>
      <c r="C901" s="2" t="str">
        <f>IFERROR(__xludf.DUMMYFUNCTION("""COMPUTED_VALUE"""),"zrpqf")</f>
        <v>zrpqf</v>
      </c>
      <c r="D901" s="2" t="str">
        <f>IFERROR(__xludf.DUMMYFUNCTION("IF(AND(B901=""$cd"",C901&lt;&gt;""..""),CONCATENATE(D900,""/"",C901),IF(C901="".."",MID(D900,1,LEN(D900)-LEN(REGEXEXTRACT(D900,""(/\w*)$""))),D900))"),"//zddrb/slzdbm/lrldsqcr")</f>
        <v>//zddrb/slzdbm/lrldsqcr</v>
      </c>
      <c r="K901" s="2"/>
    </row>
    <row r="902">
      <c r="A902" s="1" t="s">
        <v>738</v>
      </c>
      <c r="B902" s="2" t="str">
        <f>IFERROR(__xludf.DUMMYFUNCTION("SPLIT(A902,"" "")"),"$cd")</f>
        <v>$cd</v>
      </c>
      <c r="C902" s="2" t="str">
        <f>IFERROR(__xludf.DUMMYFUNCTION("""COMPUTED_VALUE"""),"brwcprn")</f>
        <v>brwcprn</v>
      </c>
      <c r="D902" s="2" t="str">
        <f>IFERROR(__xludf.DUMMYFUNCTION("IF(AND(B902=""$cd"",C902&lt;&gt;""..""),CONCATENATE(D901,""/"",C902),IF(C902="".."",MID(D901,1,LEN(D901)-LEN(REGEXEXTRACT(D901,""(/\w*)$""))),D901))"),"//zddrb/slzdbm/lrldsqcr/brwcprn")</f>
        <v>//zddrb/slzdbm/lrldsqcr/brwcprn</v>
      </c>
      <c r="K902" s="2"/>
    </row>
    <row r="903">
      <c r="A903" s="1" t="s">
        <v>609</v>
      </c>
      <c r="B903" s="2" t="str">
        <f>IFERROR(__xludf.DUMMYFUNCTION("SPLIT(A903,"" "")"),"$ls")</f>
        <v>$ls</v>
      </c>
      <c r="D903" s="2" t="str">
        <f>IFERROR(__xludf.DUMMYFUNCTION("IF(AND(B903=""$cd"",C903&lt;&gt;""..""),CONCATENATE(D902,""/"",C903),IF(C903="".."",MID(D902,1,LEN(D902)-LEN(REGEXEXTRACT(D902,""(/\w*)$""))),D902))"),"//zddrb/slzdbm/lrldsqcr/brwcprn")</f>
        <v>//zddrb/slzdbm/lrldsqcr/brwcprn</v>
      </c>
      <c r="K903" s="2"/>
    </row>
    <row r="904">
      <c r="A904" s="1" t="s">
        <v>504</v>
      </c>
      <c r="B904" s="2" t="str">
        <f>IFERROR(__xludf.DUMMYFUNCTION("SPLIT(A904,"" "")"),"dir")</f>
        <v>dir</v>
      </c>
      <c r="C904" s="2" t="str">
        <f>IFERROR(__xludf.DUMMYFUNCTION("""COMPUTED_VALUE"""),"bmjwts")</f>
        <v>bmjwts</v>
      </c>
      <c r="D904" s="2" t="str">
        <f>IFERROR(__xludf.DUMMYFUNCTION("IF(AND(B904=""$cd"",C904&lt;&gt;""..""),CONCATENATE(D903,""/"",C904),IF(C904="".."",MID(D903,1,LEN(D903)-LEN(REGEXEXTRACT(D903,""(/\w*)$""))),D903))"),"//zddrb/slzdbm/lrldsqcr/brwcprn")</f>
        <v>//zddrb/slzdbm/lrldsqcr/brwcprn</v>
      </c>
      <c r="K904" s="2"/>
    </row>
    <row r="905">
      <c r="A905" s="1" t="s">
        <v>739</v>
      </c>
      <c r="B905" s="2" t="str">
        <f>IFERROR(__xludf.DUMMYFUNCTION("SPLIT(A905,"" "")"),"$cd")</f>
        <v>$cd</v>
      </c>
      <c r="C905" s="2" t="str">
        <f>IFERROR(__xludf.DUMMYFUNCTION("""COMPUTED_VALUE"""),"bmjwts")</f>
        <v>bmjwts</v>
      </c>
      <c r="D905" s="2" t="str">
        <f>IFERROR(__xludf.DUMMYFUNCTION("IF(AND(B905=""$cd"",C905&lt;&gt;""..""),CONCATENATE(D904,""/"",C905),IF(C905="".."",MID(D904,1,LEN(D904)-LEN(REGEXEXTRACT(D904,""(/\w*)$""))),D904))"),"//zddrb/slzdbm/lrldsqcr/brwcprn/bmjwts")</f>
        <v>//zddrb/slzdbm/lrldsqcr/brwcprn/bmjwts</v>
      </c>
      <c r="K905" s="2"/>
    </row>
    <row r="906">
      <c r="A906" s="1" t="s">
        <v>609</v>
      </c>
      <c r="B906" s="2" t="str">
        <f>IFERROR(__xludf.DUMMYFUNCTION("SPLIT(A906,"" "")"),"$ls")</f>
        <v>$ls</v>
      </c>
      <c r="D906" s="2" t="str">
        <f>IFERROR(__xludf.DUMMYFUNCTION("IF(AND(B906=""$cd"",C906&lt;&gt;""..""),CONCATENATE(D905,""/"",C906),IF(C906="".."",MID(D905,1,LEN(D905)-LEN(REGEXEXTRACT(D905,""(/\w*)$""))),D905))"),"//zddrb/slzdbm/lrldsqcr/brwcprn/bmjwts")</f>
        <v>//zddrb/slzdbm/lrldsqcr/brwcprn/bmjwts</v>
      </c>
      <c r="K906" s="2"/>
    </row>
    <row r="907">
      <c r="A907" s="1" t="s">
        <v>506</v>
      </c>
      <c r="B907" s="2">
        <f>IFERROR(__xludf.DUMMYFUNCTION("SPLIT(A907,"" "")"),157148.0)</f>
        <v>157148</v>
      </c>
      <c r="C907" s="2" t="str">
        <f>IFERROR(__xludf.DUMMYFUNCTION("""COMPUTED_VALUE"""),"jwbd")</f>
        <v>jwbd</v>
      </c>
      <c r="D907" s="2" t="str">
        <f>IFERROR(__xludf.DUMMYFUNCTION("IF(AND(B907=""$cd"",C907&lt;&gt;""..""),CONCATENATE(D906,""/"",C907),IF(C907="".."",MID(D906,1,LEN(D906)-LEN(REGEXEXTRACT(D906,""(/\w*)$""))),D906))"),"//zddrb/slzdbm/lrldsqcr/brwcprn/bmjwts")</f>
        <v>//zddrb/slzdbm/lrldsqcr/brwcprn/bmjwts</v>
      </c>
      <c r="K907" s="2"/>
    </row>
    <row r="908">
      <c r="A908" s="1" t="s">
        <v>507</v>
      </c>
      <c r="B908" s="2">
        <f>IFERROR(__xludf.DUMMYFUNCTION("SPLIT(A908,"" "")"),251396.0)</f>
        <v>251396</v>
      </c>
      <c r="C908" s="2" t="str">
        <f>IFERROR(__xludf.DUMMYFUNCTION("""COMPUTED_VALUE"""),"qtgc")</f>
        <v>qtgc</v>
      </c>
      <c r="D908" s="2" t="str">
        <f>IFERROR(__xludf.DUMMYFUNCTION("IF(AND(B908=""$cd"",C908&lt;&gt;""..""),CONCATENATE(D907,""/"",C908),IF(C908="".."",MID(D907,1,LEN(D907)-LEN(REGEXEXTRACT(D907,""(/\w*)$""))),D907))"),"//zddrb/slzdbm/lrldsqcr/brwcprn/bmjwts")</f>
        <v>//zddrb/slzdbm/lrldsqcr/brwcprn/bmjwts</v>
      </c>
      <c r="K908" s="2"/>
    </row>
    <row r="909">
      <c r="A909" s="1" t="s">
        <v>612</v>
      </c>
      <c r="B909" s="2" t="str">
        <f>IFERROR(__xludf.DUMMYFUNCTION("SPLIT(A909,"" "")"),"$cd")</f>
        <v>$cd</v>
      </c>
      <c r="C909" s="2" t="str">
        <f>IFERROR(__xludf.DUMMYFUNCTION("""COMPUTED_VALUE"""),"..")</f>
        <v>..</v>
      </c>
      <c r="D909" s="2" t="str">
        <f>IFERROR(__xludf.DUMMYFUNCTION("IF(AND(B909=""$cd"",C909&lt;&gt;""..""),CONCATENATE(D908,""/"",C909),IF(C909="".."",MID(D908,1,LEN(D908)-LEN(REGEXEXTRACT(D908,""(/\w*)$""))),D908))"),"//zddrb/slzdbm/lrldsqcr/brwcprn")</f>
        <v>//zddrb/slzdbm/lrldsqcr/brwcprn</v>
      </c>
      <c r="K909" s="2"/>
    </row>
    <row r="910">
      <c r="A910" s="1" t="s">
        <v>612</v>
      </c>
      <c r="B910" s="2" t="str">
        <f>IFERROR(__xludf.DUMMYFUNCTION("SPLIT(A910,"" "")"),"$cd")</f>
        <v>$cd</v>
      </c>
      <c r="C910" s="2" t="str">
        <f>IFERROR(__xludf.DUMMYFUNCTION("""COMPUTED_VALUE"""),"..")</f>
        <v>..</v>
      </c>
      <c r="D910" s="2" t="str">
        <f>IFERROR(__xludf.DUMMYFUNCTION("IF(AND(B910=""$cd"",C910&lt;&gt;""..""),CONCATENATE(D909,""/"",C910),IF(C910="".."",MID(D909,1,LEN(D909)-LEN(REGEXEXTRACT(D909,""(/\w*)$""))),D909))"),"//zddrb/slzdbm/lrldsqcr")</f>
        <v>//zddrb/slzdbm/lrldsqcr</v>
      </c>
      <c r="K910" s="2"/>
    </row>
    <row r="911">
      <c r="A911" s="1" t="s">
        <v>622</v>
      </c>
      <c r="B911" s="2" t="str">
        <f>IFERROR(__xludf.DUMMYFUNCTION("SPLIT(A911,"" "")"),"$cd")</f>
        <v>$cd</v>
      </c>
      <c r="C911" s="2" t="str">
        <f>IFERROR(__xludf.DUMMYFUNCTION("""COMPUTED_VALUE"""),"hlvpfw")</f>
        <v>hlvpfw</v>
      </c>
      <c r="D911" s="2" t="str">
        <f>IFERROR(__xludf.DUMMYFUNCTION("IF(AND(B911=""$cd"",C911&lt;&gt;""..""),CONCATENATE(D910,""/"",C911),IF(C911="".."",MID(D910,1,LEN(D910)-LEN(REGEXEXTRACT(D910,""(/\w*)$""))),D910))"),"//zddrb/slzdbm/lrldsqcr/hlvpfw")</f>
        <v>//zddrb/slzdbm/lrldsqcr/hlvpfw</v>
      </c>
      <c r="K911" s="2"/>
    </row>
    <row r="912">
      <c r="A912" s="1" t="s">
        <v>609</v>
      </c>
      <c r="B912" s="2" t="str">
        <f>IFERROR(__xludf.DUMMYFUNCTION("SPLIT(A912,"" "")"),"$ls")</f>
        <v>$ls</v>
      </c>
      <c r="D912" s="2" t="str">
        <f>IFERROR(__xludf.DUMMYFUNCTION("IF(AND(B912=""$cd"",C912&lt;&gt;""..""),CONCATENATE(D911,""/"",C912),IF(C912="".."",MID(D911,1,LEN(D911)-LEN(REGEXEXTRACT(D911,""(/\w*)$""))),D911))"),"//zddrb/slzdbm/lrldsqcr/hlvpfw")</f>
        <v>//zddrb/slzdbm/lrldsqcr/hlvpfw</v>
      </c>
      <c r="K912" s="2"/>
    </row>
    <row r="913">
      <c r="A913" s="1" t="s">
        <v>508</v>
      </c>
      <c r="B913" s="2">
        <f>IFERROR(__xludf.DUMMYFUNCTION("SPLIT(A913,"" "")"),121723.0)</f>
        <v>121723</v>
      </c>
      <c r="C913" s="2" t="str">
        <f>IFERROR(__xludf.DUMMYFUNCTION("""COMPUTED_VALUE"""),"zbdp.gqb")</f>
        <v>zbdp.gqb</v>
      </c>
      <c r="D913" s="2" t="str">
        <f>IFERROR(__xludf.DUMMYFUNCTION("IF(AND(B913=""$cd"",C913&lt;&gt;""..""),CONCATENATE(D912,""/"",C913),IF(C913="".."",MID(D912,1,LEN(D912)-LEN(REGEXEXTRACT(D912,""(/\w*)$""))),D912))"),"//zddrb/slzdbm/lrldsqcr/hlvpfw")</f>
        <v>//zddrb/slzdbm/lrldsqcr/hlvpfw</v>
      </c>
      <c r="K913" s="2"/>
    </row>
    <row r="914">
      <c r="A914" s="1" t="s">
        <v>612</v>
      </c>
      <c r="B914" s="2" t="str">
        <f>IFERROR(__xludf.DUMMYFUNCTION("SPLIT(A914,"" "")"),"$cd")</f>
        <v>$cd</v>
      </c>
      <c r="C914" s="2" t="str">
        <f>IFERROR(__xludf.DUMMYFUNCTION("""COMPUTED_VALUE"""),"..")</f>
        <v>..</v>
      </c>
      <c r="D914" s="2" t="str">
        <f>IFERROR(__xludf.DUMMYFUNCTION("IF(AND(B914=""$cd"",C914&lt;&gt;""..""),CONCATENATE(D913,""/"",C914),IF(C914="".."",MID(D913,1,LEN(D913)-LEN(REGEXEXTRACT(D913,""(/\w*)$""))),D913))"),"//zddrb/slzdbm/lrldsqcr")</f>
        <v>//zddrb/slzdbm/lrldsqcr</v>
      </c>
      <c r="K914" s="2"/>
    </row>
    <row r="915">
      <c r="A915" s="1" t="s">
        <v>614</v>
      </c>
      <c r="B915" s="2" t="str">
        <f>IFERROR(__xludf.DUMMYFUNCTION("SPLIT(A915,"" "")"),"$cd")</f>
        <v>$cd</v>
      </c>
      <c r="C915" s="2" t="str">
        <f>IFERROR(__xludf.DUMMYFUNCTION("""COMPUTED_VALUE"""),"jnwr")</f>
        <v>jnwr</v>
      </c>
      <c r="D915" s="2" t="str">
        <f>IFERROR(__xludf.DUMMYFUNCTION("IF(AND(B915=""$cd"",C915&lt;&gt;""..""),CONCATENATE(D914,""/"",C915),IF(C915="".."",MID(D914,1,LEN(D914)-LEN(REGEXEXTRACT(D914,""(/\w*)$""))),D914))"),"//zddrb/slzdbm/lrldsqcr/jnwr")</f>
        <v>//zddrb/slzdbm/lrldsqcr/jnwr</v>
      </c>
      <c r="K915" s="2"/>
    </row>
    <row r="916">
      <c r="A916" s="1" t="s">
        <v>609</v>
      </c>
      <c r="B916" s="2" t="str">
        <f>IFERROR(__xludf.DUMMYFUNCTION("SPLIT(A916,"" "")"),"$ls")</f>
        <v>$ls</v>
      </c>
      <c r="D916" s="2" t="str">
        <f>IFERROR(__xludf.DUMMYFUNCTION("IF(AND(B916=""$cd"",C916&lt;&gt;""..""),CONCATENATE(D915,""/"",C916),IF(C916="".."",MID(D915,1,LEN(D915)-LEN(REGEXEXTRACT(D915,""(/\w*)$""))),D915))"),"//zddrb/slzdbm/lrldsqcr/jnwr")</f>
        <v>//zddrb/slzdbm/lrldsqcr/jnwr</v>
      </c>
      <c r="K916" s="2"/>
    </row>
    <row r="917">
      <c r="A917" s="1" t="s">
        <v>509</v>
      </c>
      <c r="B917" s="2">
        <f>IFERROR(__xludf.DUMMYFUNCTION("SPLIT(A917,"" "")"),240747.0)</f>
        <v>240747</v>
      </c>
      <c r="C917" s="2" t="str">
        <f>IFERROR(__xludf.DUMMYFUNCTION("""COMPUTED_VALUE"""),"gfrrtdh")</f>
        <v>gfrrtdh</v>
      </c>
      <c r="D917" s="2" t="str">
        <f>IFERROR(__xludf.DUMMYFUNCTION("IF(AND(B917=""$cd"",C917&lt;&gt;""..""),CONCATENATE(D916,""/"",C917),IF(C917="".."",MID(D916,1,LEN(D916)-LEN(REGEXEXTRACT(D916,""(/\w*)$""))),D916))"),"//zddrb/slzdbm/lrldsqcr/jnwr")</f>
        <v>//zddrb/slzdbm/lrldsqcr/jnwr</v>
      </c>
      <c r="K917" s="2"/>
    </row>
    <row r="918">
      <c r="A918" s="1" t="s">
        <v>612</v>
      </c>
      <c r="B918" s="2" t="str">
        <f>IFERROR(__xludf.DUMMYFUNCTION("SPLIT(A918,"" "")"),"$cd")</f>
        <v>$cd</v>
      </c>
      <c r="C918" s="2" t="str">
        <f>IFERROR(__xludf.DUMMYFUNCTION("""COMPUTED_VALUE"""),"..")</f>
        <v>..</v>
      </c>
      <c r="D918" s="2" t="str">
        <f>IFERROR(__xludf.DUMMYFUNCTION("IF(AND(B918=""$cd"",C918&lt;&gt;""..""),CONCATENATE(D917,""/"",C918),IF(C918="".."",MID(D917,1,LEN(D917)-LEN(REGEXEXTRACT(D917,""(/\w*)$""))),D917))"),"//zddrb/slzdbm/lrldsqcr")</f>
        <v>//zddrb/slzdbm/lrldsqcr</v>
      </c>
      <c r="K918" s="2"/>
    </row>
    <row r="919">
      <c r="A919" s="1" t="s">
        <v>624</v>
      </c>
      <c r="B919" s="2" t="str">
        <f>IFERROR(__xludf.DUMMYFUNCTION("SPLIT(A919,"" "")"),"$cd")</f>
        <v>$cd</v>
      </c>
      <c r="C919" s="2" t="str">
        <f>IFERROR(__xludf.DUMMYFUNCTION("""COMPUTED_VALUE"""),"slzdbm")</f>
        <v>slzdbm</v>
      </c>
      <c r="D919" s="2" t="str">
        <f>IFERROR(__xludf.DUMMYFUNCTION("IF(AND(B919=""$cd"",C919&lt;&gt;""..""),CONCATENATE(D918,""/"",C919),IF(C919="".."",MID(D918,1,LEN(D918)-LEN(REGEXEXTRACT(D918,""(/\w*)$""))),D918))"),"//zddrb/slzdbm/lrldsqcr/slzdbm")</f>
        <v>//zddrb/slzdbm/lrldsqcr/slzdbm</v>
      </c>
      <c r="K919" s="2"/>
    </row>
    <row r="920">
      <c r="A920" s="1" t="s">
        <v>609</v>
      </c>
      <c r="B920" s="2" t="str">
        <f>IFERROR(__xludf.DUMMYFUNCTION("SPLIT(A920,"" "")"),"$ls")</f>
        <v>$ls</v>
      </c>
      <c r="D920" s="2" t="str">
        <f>IFERROR(__xludf.DUMMYFUNCTION("IF(AND(B920=""$cd"",C920&lt;&gt;""..""),CONCATENATE(D919,""/"",C920),IF(C920="".."",MID(D919,1,LEN(D919)-LEN(REGEXEXTRACT(D919,""(/\w*)$""))),D919))"),"//zddrb/slzdbm/lrldsqcr/slzdbm")</f>
        <v>//zddrb/slzdbm/lrldsqcr/slzdbm</v>
      </c>
      <c r="K920" s="2"/>
    </row>
    <row r="921">
      <c r="A921" s="1" t="s">
        <v>510</v>
      </c>
      <c r="B921" s="2">
        <f>IFERROR(__xludf.DUMMYFUNCTION("SPLIT(A921,"" "")"),176832.0)</f>
        <v>176832</v>
      </c>
      <c r="C921" s="2" t="str">
        <f>IFERROR(__xludf.DUMMYFUNCTION("""COMPUTED_VALUE"""),"jnwr")</f>
        <v>jnwr</v>
      </c>
      <c r="D921" s="2" t="str">
        <f>IFERROR(__xludf.DUMMYFUNCTION("IF(AND(B921=""$cd"",C921&lt;&gt;""..""),CONCATENATE(D920,""/"",C921),IF(C921="".."",MID(D920,1,LEN(D920)-LEN(REGEXEXTRACT(D920,""(/\w*)$""))),D920))"),"//zddrb/slzdbm/lrldsqcr/slzdbm")</f>
        <v>//zddrb/slzdbm/lrldsqcr/slzdbm</v>
      </c>
      <c r="K921" s="2"/>
    </row>
    <row r="922">
      <c r="A922" s="1" t="s">
        <v>511</v>
      </c>
      <c r="B922" s="2">
        <f>IFERROR(__xludf.DUMMYFUNCTION("SPLIT(A922,"" "")"),36125.0)</f>
        <v>36125</v>
      </c>
      <c r="C922" s="2" t="str">
        <f>IFERROR(__xludf.DUMMYFUNCTION("""COMPUTED_VALUE"""),"ltwmzw.fdl")</f>
        <v>ltwmzw.fdl</v>
      </c>
      <c r="D922" s="2" t="str">
        <f>IFERROR(__xludf.DUMMYFUNCTION("IF(AND(B922=""$cd"",C922&lt;&gt;""..""),CONCATENATE(D921,""/"",C922),IF(C922="".."",MID(D921,1,LEN(D921)-LEN(REGEXEXTRACT(D921,""(/\w*)$""))),D921))"),"//zddrb/slzdbm/lrldsqcr/slzdbm")</f>
        <v>//zddrb/slzdbm/lrldsqcr/slzdbm</v>
      </c>
      <c r="K922" s="2"/>
    </row>
    <row r="923">
      <c r="A923" s="1" t="s">
        <v>512</v>
      </c>
      <c r="B923" s="2">
        <f>IFERROR(__xludf.DUMMYFUNCTION("SPLIT(A923,"" "")"),132059.0)</f>
        <v>132059</v>
      </c>
      <c r="C923" s="2" t="str">
        <f>IFERROR(__xludf.DUMMYFUNCTION("""COMPUTED_VALUE"""),"plqmwhr.hhv")</f>
        <v>plqmwhr.hhv</v>
      </c>
      <c r="D923" s="2" t="str">
        <f>IFERROR(__xludf.DUMMYFUNCTION("IF(AND(B923=""$cd"",C923&lt;&gt;""..""),CONCATENATE(D922,""/"",C923),IF(C923="".."",MID(D922,1,LEN(D922)-LEN(REGEXEXTRACT(D922,""(/\w*)$""))),D922))"),"//zddrb/slzdbm/lrldsqcr/slzdbm")</f>
        <v>//zddrb/slzdbm/lrldsqcr/slzdbm</v>
      </c>
      <c r="K923" s="2"/>
    </row>
    <row r="924">
      <c r="A924" s="1" t="s">
        <v>513</v>
      </c>
      <c r="B924" s="2">
        <f>IFERROR(__xludf.DUMMYFUNCTION("SPLIT(A924,"" "")"),85540.0)</f>
        <v>85540</v>
      </c>
      <c r="C924" s="2" t="str">
        <f>IFERROR(__xludf.DUMMYFUNCTION("""COMPUTED_VALUE"""),"slzdbm.wzm")</f>
        <v>slzdbm.wzm</v>
      </c>
      <c r="D924" s="2" t="str">
        <f>IFERROR(__xludf.DUMMYFUNCTION("IF(AND(B924=""$cd"",C924&lt;&gt;""..""),CONCATENATE(D923,""/"",C924),IF(C924="".."",MID(D923,1,LEN(D923)-LEN(REGEXEXTRACT(D923,""(/\w*)$""))),D923))"),"//zddrb/slzdbm/lrldsqcr/slzdbm")</f>
        <v>//zddrb/slzdbm/lrldsqcr/slzdbm</v>
      </c>
      <c r="K924" s="2"/>
    </row>
    <row r="925">
      <c r="A925" s="1" t="s">
        <v>514</v>
      </c>
      <c r="B925" s="2">
        <f>IFERROR(__xludf.DUMMYFUNCTION("SPLIT(A925,"" "")"),23459.0)</f>
        <v>23459</v>
      </c>
      <c r="C925" s="2" t="str">
        <f>IFERROR(__xludf.DUMMYFUNCTION("""COMPUTED_VALUE"""),"zhbwh.cds")</f>
        <v>zhbwh.cds</v>
      </c>
      <c r="D925" s="2" t="str">
        <f>IFERROR(__xludf.DUMMYFUNCTION("IF(AND(B925=""$cd"",C925&lt;&gt;""..""),CONCATENATE(D924,""/"",C925),IF(C925="".."",MID(D924,1,LEN(D924)-LEN(REGEXEXTRACT(D924,""(/\w*)$""))),D924))"),"//zddrb/slzdbm/lrldsqcr/slzdbm")</f>
        <v>//zddrb/slzdbm/lrldsqcr/slzdbm</v>
      </c>
      <c r="K925" s="2"/>
    </row>
    <row r="926">
      <c r="A926" s="1" t="s">
        <v>612</v>
      </c>
      <c r="B926" s="2" t="str">
        <f>IFERROR(__xludf.DUMMYFUNCTION("SPLIT(A926,"" "")"),"$cd")</f>
        <v>$cd</v>
      </c>
      <c r="C926" s="2" t="str">
        <f>IFERROR(__xludf.DUMMYFUNCTION("""COMPUTED_VALUE"""),"..")</f>
        <v>..</v>
      </c>
      <c r="D926" s="2" t="str">
        <f>IFERROR(__xludf.DUMMYFUNCTION("IF(AND(B926=""$cd"",C926&lt;&gt;""..""),CONCATENATE(D925,""/"",C926),IF(C926="".."",MID(D925,1,LEN(D925)-LEN(REGEXEXTRACT(D925,""(/\w*)$""))),D925))"),"//zddrb/slzdbm/lrldsqcr")</f>
        <v>//zddrb/slzdbm/lrldsqcr</v>
      </c>
      <c r="K926" s="2"/>
    </row>
    <row r="927">
      <c r="A927" s="1" t="s">
        <v>740</v>
      </c>
      <c r="B927" s="2" t="str">
        <f>IFERROR(__xludf.DUMMYFUNCTION("SPLIT(A927,"" "")"),"$cd")</f>
        <v>$cd</v>
      </c>
      <c r="C927" s="2" t="str">
        <f>IFERROR(__xludf.DUMMYFUNCTION("""COMPUTED_VALUE"""),"wrmr")</f>
        <v>wrmr</v>
      </c>
      <c r="D927" s="2" t="str">
        <f>IFERROR(__xludf.DUMMYFUNCTION("IF(AND(B927=""$cd"",C927&lt;&gt;""..""),CONCATENATE(D926,""/"",C927),IF(C927="".."",MID(D926,1,LEN(D926)-LEN(REGEXEXTRACT(D926,""(/\w*)$""))),D926))"),"//zddrb/slzdbm/lrldsqcr/wrmr")</f>
        <v>//zddrb/slzdbm/lrldsqcr/wrmr</v>
      </c>
      <c r="K927" s="2"/>
    </row>
    <row r="928">
      <c r="A928" s="1" t="s">
        <v>609</v>
      </c>
      <c r="B928" s="2" t="str">
        <f>IFERROR(__xludf.DUMMYFUNCTION("SPLIT(A928,"" "")"),"$ls")</f>
        <v>$ls</v>
      </c>
      <c r="D928" s="2" t="str">
        <f>IFERROR(__xludf.DUMMYFUNCTION("IF(AND(B928=""$cd"",C928&lt;&gt;""..""),CONCATENATE(D927,""/"",C928),IF(C928="".."",MID(D927,1,LEN(D927)-LEN(REGEXEXTRACT(D927,""(/\w*)$""))),D927))"),"//zddrb/slzdbm/lrldsqcr/wrmr")</f>
        <v>//zddrb/slzdbm/lrldsqcr/wrmr</v>
      </c>
      <c r="K928" s="2"/>
    </row>
    <row r="929">
      <c r="A929" s="1" t="s">
        <v>516</v>
      </c>
      <c r="B929" s="2">
        <f>IFERROR(__xludf.DUMMYFUNCTION("SPLIT(A929,"" "")"),90357.0)</f>
        <v>90357</v>
      </c>
      <c r="C929" s="2" t="str">
        <f>IFERROR(__xludf.DUMMYFUNCTION("""COMPUTED_VALUE"""),"zbdp.gqb")</f>
        <v>zbdp.gqb</v>
      </c>
      <c r="D929" s="2" t="str">
        <f>IFERROR(__xludf.DUMMYFUNCTION("IF(AND(B929=""$cd"",C929&lt;&gt;""..""),CONCATENATE(D928,""/"",C929),IF(C929="".."",MID(D928,1,LEN(D928)-LEN(REGEXEXTRACT(D928,""(/\w*)$""))),D928))"),"//zddrb/slzdbm/lrldsqcr/wrmr")</f>
        <v>//zddrb/slzdbm/lrldsqcr/wrmr</v>
      </c>
      <c r="K929" s="2"/>
    </row>
    <row r="930">
      <c r="A930" s="1" t="s">
        <v>612</v>
      </c>
      <c r="B930" s="2" t="str">
        <f>IFERROR(__xludf.DUMMYFUNCTION("SPLIT(A930,"" "")"),"$cd")</f>
        <v>$cd</v>
      </c>
      <c r="C930" s="2" t="str">
        <f>IFERROR(__xludf.DUMMYFUNCTION("""COMPUTED_VALUE"""),"..")</f>
        <v>..</v>
      </c>
      <c r="D930" s="2" t="str">
        <f>IFERROR(__xludf.DUMMYFUNCTION("IF(AND(B930=""$cd"",C930&lt;&gt;""..""),CONCATENATE(D929,""/"",C930),IF(C930="".."",MID(D929,1,LEN(D929)-LEN(REGEXEXTRACT(D929,""(/\w*)$""))),D929))"),"//zddrb/slzdbm/lrldsqcr")</f>
        <v>//zddrb/slzdbm/lrldsqcr</v>
      </c>
      <c r="K930" s="2"/>
    </row>
    <row r="931">
      <c r="A931" s="1" t="s">
        <v>741</v>
      </c>
      <c r="B931" s="2" t="str">
        <f>IFERROR(__xludf.DUMMYFUNCTION("SPLIT(A931,"" "")"),"$cd")</f>
        <v>$cd</v>
      </c>
      <c r="C931" s="2" t="str">
        <f>IFERROR(__xludf.DUMMYFUNCTION("""COMPUTED_VALUE"""),"zjrdgf")</f>
        <v>zjrdgf</v>
      </c>
      <c r="D931" s="2" t="str">
        <f>IFERROR(__xludf.DUMMYFUNCTION("IF(AND(B931=""$cd"",C931&lt;&gt;""..""),CONCATENATE(D930,""/"",C931),IF(C931="".."",MID(D930,1,LEN(D930)-LEN(REGEXEXTRACT(D930,""(/\w*)$""))),D930))"),"//zddrb/slzdbm/lrldsqcr/zjrdgf")</f>
        <v>//zddrb/slzdbm/lrldsqcr/zjrdgf</v>
      </c>
      <c r="K931" s="2"/>
    </row>
    <row r="932">
      <c r="A932" s="1" t="s">
        <v>609</v>
      </c>
      <c r="B932" s="2" t="str">
        <f>IFERROR(__xludf.DUMMYFUNCTION("SPLIT(A932,"" "")"),"$ls")</f>
        <v>$ls</v>
      </c>
      <c r="D932" s="2" t="str">
        <f>IFERROR(__xludf.DUMMYFUNCTION("IF(AND(B932=""$cd"",C932&lt;&gt;""..""),CONCATENATE(D931,""/"",C932),IF(C932="".."",MID(D931,1,LEN(D931)-LEN(REGEXEXTRACT(D931,""(/\w*)$""))),D931))"),"//zddrb/slzdbm/lrldsqcr/zjrdgf")</f>
        <v>//zddrb/slzdbm/lrldsqcr/zjrdgf</v>
      </c>
      <c r="K932" s="2"/>
    </row>
    <row r="933">
      <c r="A933" s="1" t="s">
        <v>518</v>
      </c>
      <c r="B933" s="2">
        <f>IFERROR(__xludf.DUMMYFUNCTION("SPLIT(A933,"" "")"),301679.0)</f>
        <v>301679</v>
      </c>
      <c r="C933" s="2" t="str">
        <f>IFERROR(__xludf.DUMMYFUNCTION("""COMPUTED_VALUE"""),"qbmt.vhh")</f>
        <v>qbmt.vhh</v>
      </c>
      <c r="D933" s="2" t="str">
        <f>IFERROR(__xludf.DUMMYFUNCTION("IF(AND(B933=""$cd"",C933&lt;&gt;""..""),CONCATENATE(D932,""/"",C933),IF(C933="".."",MID(D932,1,LEN(D932)-LEN(REGEXEXTRACT(D932,""(/\w*)$""))),D932))"),"//zddrb/slzdbm/lrldsqcr/zjrdgf")</f>
        <v>//zddrb/slzdbm/lrldsqcr/zjrdgf</v>
      </c>
      <c r="K933" s="2"/>
    </row>
    <row r="934">
      <c r="A934" s="1" t="s">
        <v>519</v>
      </c>
      <c r="B934" s="2">
        <f>IFERROR(__xludf.DUMMYFUNCTION("SPLIT(A934,"" "")"),12942.0)</f>
        <v>12942</v>
      </c>
      <c r="C934" s="2" t="str">
        <f>IFERROR(__xludf.DUMMYFUNCTION("""COMPUTED_VALUE"""),"slfdb.bqt")</f>
        <v>slfdb.bqt</v>
      </c>
      <c r="D934" s="2" t="str">
        <f>IFERROR(__xludf.DUMMYFUNCTION("IF(AND(B934=""$cd"",C934&lt;&gt;""..""),CONCATENATE(D933,""/"",C934),IF(C934="".."",MID(D933,1,LEN(D933)-LEN(REGEXEXTRACT(D933,""(/\w*)$""))),D933))"),"//zddrb/slzdbm/lrldsqcr/zjrdgf")</f>
        <v>//zddrb/slzdbm/lrldsqcr/zjrdgf</v>
      </c>
      <c r="K934" s="2"/>
    </row>
    <row r="935">
      <c r="A935" s="1" t="s">
        <v>612</v>
      </c>
      <c r="B935" s="2" t="str">
        <f>IFERROR(__xludf.DUMMYFUNCTION("SPLIT(A935,"" "")"),"$cd")</f>
        <v>$cd</v>
      </c>
      <c r="C935" s="2" t="str">
        <f>IFERROR(__xludf.DUMMYFUNCTION("""COMPUTED_VALUE"""),"..")</f>
        <v>..</v>
      </c>
      <c r="D935" s="2" t="str">
        <f>IFERROR(__xludf.DUMMYFUNCTION("IF(AND(B935=""$cd"",C935&lt;&gt;""..""),CONCATENATE(D934,""/"",C935),IF(C935="".."",MID(D934,1,LEN(D934)-LEN(REGEXEXTRACT(D934,""(/\w*)$""))),D934))"),"//zddrb/slzdbm/lrldsqcr")</f>
        <v>//zddrb/slzdbm/lrldsqcr</v>
      </c>
      <c r="K935" s="2"/>
    </row>
    <row r="936">
      <c r="A936" s="1" t="s">
        <v>742</v>
      </c>
      <c r="B936" s="2" t="str">
        <f>IFERROR(__xludf.DUMMYFUNCTION("SPLIT(A936,"" "")"),"$cd")</f>
        <v>$cd</v>
      </c>
      <c r="C936" s="2" t="str">
        <f>IFERROR(__xludf.DUMMYFUNCTION("""COMPUTED_VALUE"""),"zrpqf")</f>
        <v>zrpqf</v>
      </c>
      <c r="D936" s="2" t="str">
        <f>IFERROR(__xludf.DUMMYFUNCTION("IF(AND(B936=""$cd"",C936&lt;&gt;""..""),CONCATENATE(D935,""/"",C936),IF(C936="".."",MID(D935,1,LEN(D935)-LEN(REGEXEXTRACT(D935,""(/\w*)$""))),D935))"),"//zddrb/slzdbm/lrldsqcr/zrpqf")</f>
        <v>//zddrb/slzdbm/lrldsqcr/zrpqf</v>
      </c>
      <c r="K936" s="2"/>
    </row>
    <row r="937">
      <c r="A937" s="1" t="s">
        <v>609</v>
      </c>
      <c r="B937" s="2" t="str">
        <f>IFERROR(__xludf.DUMMYFUNCTION("SPLIT(A937,"" "")"),"$ls")</f>
        <v>$ls</v>
      </c>
      <c r="D937" s="2" t="str">
        <f>IFERROR(__xludf.DUMMYFUNCTION("IF(AND(B937=""$cd"",C937&lt;&gt;""..""),CONCATENATE(D936,""/"",C937),IF(C937="".."",MID(D936,1,LEN(D936)-LEN(REGEXEXTRACT(D936,""(/\w*)$""))),D936))"),"//zddrb/slzdbm/lrldsqcr/zrpqf")</f>
        <v>//zddrb/slzdbm/lrldsqcr/zrpqf</v>
      </c>
      <c r="K937" s="2"/>
    </row>
    <row r="938">
      <c r="A938" s="1" t="s">
        <v>521</v>
      </c>
      <c r="B938" s="2">
        <f>IFERROR(__xludf.DUMMYFUNCTION("SPLIT(A938,"" "")"),241851.0)</f>
        <v>241851</v>
      </c>
      <c r="C938" s="2" t="str">
        <f>IFERROR(__xludf.DUMMYFUNCTION("""COMPUTED_VALUE"""),"pnsdlbs.brw")</f>
        <v>pnsdlbs.brw</v>
      </c>
      <c r="D938" s="2" t="str">
        <f>IFERROR(__xludf.DUMMYFUNCTION("IF(AND(B938=""$cd"",C938&lt;&gt;""..""),CONCATENATE(D937,""/"",C938),IF(C938="".."",MID(D937,1,LEN(D937)-LEN(REGEXEXTRACT(D937,""(/\w*)$""))),D937))"),"//zddrb/slzdbm/lrldsqcr/zrpqf")</f>
        <v>//zddrb/slzdbm/lrldsqcr/zrpqf</v>
      </c>
      <c r="K938" s="2"/>
    </row>
    <row r="939">
      <c r="A939" s="1" t="s">
        <v>612</v>
      </c>
      <c r="B939" s="2" t="str">
        <f>IFERROR(__xludf.DUMMYFUNCTION("SPLIT(A939,"" "")"),"$cd")</f>
        <v>$cd</v>
      </c>
      <c r="C939" s="2" t="str">
        <f>IFERROR(__xludf.DUMMYFUNCTION("""COMPUTED_VALUE"""),"..")</f>
        <v>..</v>
      </c>
      <c r="D939" s="2" t="str">
        <f>IFERROR(__xludf.DUMMYFUNCTION("IF(AND(B939=""$cd"",C939&lt;&gt;""..""),CONCATENATE(D938,""/"",C939),IF(C939="".."",MID(D938,1,LEN(D938)-LEN(REGEXEXTRACT(D938,""(/\w*)$""))),D938))"),"//zddrb/slzdbm/lrldsqcr")</f>
        <v>//zddrb/slzdbm/lrldsqcr</v>
      </c>
      <c r="K939" s="2"/>
    </row>
    <row r="940">
      <c r="A940" s="1" t="s">
        <v>612</v>
      </c>
      <c r="B940" s="2" t="str">
        <f>IFERROR(__xludf.DUMMYFUNCTION("SPLIT(A940,"" "")"),"$cd")</f>
        <v>$cd</v>
      </c>
      <c r="C940" s="2" t="str">
        <f>IFERROR(__xludf.DUMMYFUNCTION("""COMPUTED_VALUE"""),"..")</f>
        <v>..</v>
      </c>
      <c r="D940" s="2" t="str">
        <f>IFERROR(__xludf.DUMMYFUNCTION("IF(AND(B940=""$cd"",C940&lt;&gt;""..""),CONCATENATE(D939,""/"",C940),IF(C940="".."",MID(D939,1,LEN(D939)-LEN(REGEXEXTRACT(D939,""(/\w*)$""))),D939))"),"//zddrb/slzdbm")</f>
        <v>//zddrb/slzdbm</v>
      </c>
      <c r="K940" s="2"/>
    </row>
    <row r="941">
      <c r="A941" s="1" t="s">
        <v>743</v>
      </c>
      <c r="B941" s="2" t="str">
        <f>IFERROR(__xludf.DUMMYFUNCTION("SPLIT(A941,"" "")"),"$cd")</f>
        <v>$cd</v>
      </c>
      <c r="C941" s="2" t="str">
        <f>IFERROR(__xludf.DUMMYFUNCTION("""COMPUTED_VALUE"""),"nzcbqzdz")</f>
        <v>nzcbqzdz</v>
      </c>
      <c r="D941" s="2" t="str">
        <f>IFERROR(__xludf.DUMMYFUNCTION("IF(AND(B941=""$cd"",C941&lt;&gt;""..""),CONCATENATE(D940,""/"",C941),IF(C941="".."",MID(D940,1,LEN(D940)-LEN(REGEXEXTRACT(D940,""(/\w*)$""))),D940))"),"//zddrb/slzdbm/nzcbqzdz")</f>
        <v>//zddrb/slzdbm/nzcbqzdz</v>
      </c>
      <c r="K941" s="2"/>
    </row>
    <row r="942">
      <c r="A942" s="1" t="s">
        <v>609</v>
      </c>
      <c r="B942" s="2" t="str">
        <f>IFERROR(__xludf.DUMMYFUNCTION("SPLIT(A942,"" "")"),"$ls")</f>
        <v>$ls</v>
      </c>
      <c r="D942" s="2" t="str">
        <f>IFERROR(__xludf.DUMMYFUNCTION("IF(AND(B942=""$cd"",C942&lt;&gt;""..""),CONCATENATE(D941,""/"",C942),IF(C942="".."",MID(D941,1,LEN(D941)-LEN(REGEXEXTRACT(D941,""(/\w*)$""))),D941))"),"//zddrb/slzdbm/nzcbqzdz")</f>
        <v>//zddrb/slzdbm/nzcbqzdz</v>
      </c>
      <c r="K942" s="2"/>
    </row>
    <row r="943">
      <c r="A943" s="1" t="s">
        <v>523</v>
      </c>
      <c r="B943" s="2">
        <f>IFERROR(__xludf.DUMMYFUNCTION("SPLIT(A943,"" "")"),182963.0)</f>
        <v>182963</v>
      </c>
      <c r="C943" s="2" t="str">
        <f>IFERROR(__xludf.DUMMYFUNCTION("""COMPUTED_VALUE"""),"qgg.zsc")</f>
        <v>qgg.zsc</v>
      </c>
      <c r="D943" s="2" t="str">
        <f>IFERROR(__xludf.DUMMYFUNCTION("IF(AND(B943=""$cd"",C943&lt;&gt;""..""),CONCATENATE(D942,""/"",C943),IF(C943="".."",MID(D942,1,LEN(D942)-LEN(REGEXEXTRACT(D942,""(/\w*)$""))),D942))"),"//zddrb/slzdbm/nzcbqzdz")</f>
        <v>//zddrb/slzdbm/nzcbqzdz</v>
      </c>
      <c r="K943" s="2"/>
    </row>
    <row r="944">
      <c r="A944" s="1" t="s">
        <v>524</v>
      </c>
      <c r="B944" s="2" t="str">
        <f>IFERROR(__xludf.DUMMYFUNCTION("SPLIT(A944,"" "")"),"dir")</f>
        <v>dir</v>
      </c>
      <c r="C944" s="2" t="str">
        <f>IFERROR(__xludf.DUMMYFUNCTION("""COMPUTED_VALUE"""),"qwjgb")</f>
        <v>qwjgb</v>
      </c>
      <c r="D944" s="2" t="str">
        <f>IFERROR(__xludf.DUMMYFUNCTION("IF(AND(B944=""$cd"",C944&lt;&gt;""..""),CONCATENATE(D943,""/"",C944),IF(C944="".."",MID(D943,1,LEN(D943)-LEN(REGEXEXTRACT(D943,""(/\w*)$""))),D943))"),"//zddrb/slzdbm/nzcbqzdz")</f>
        <v>//zddrb/slzdbm/nzcbqzdz</v>
      </c>
      <c r="K944" s="2"/>
    </row>
    <row r="945">
      <c r="A945" s="1" t="s">
        <v>525</v>
      </c>
      <c r="B945" s="2">
        <f>IFERROR(__xludf.DUMMYFUNCTION("SPLIT(A945,"" "")"),301344.0)</f>
        <v>301344</v>
      </c>
      <c r="C945" s="2" t="str">
        <f>IFERROR(__xludf.DUMMYFUNCTION("""COMPUTED_VALUE"""),"slfdb.bqt")</f>
        <v>slfdb.bqt</v>
      </c>
      <c r="D945" s="2" t="str">
        <f>IFERROR(__xludf.DUMMYFUNCTION("IF(AND(B945=""$cd"",C945&lt;&gt;""..""),CONCATENATE(D944,""/"",C945),IF(C945="".."",MID(D944,1,LEN(D944)-LEN(REGEXEXTRACT(D944,""(/\w*)$""))),D944))"),"//zddrb/slzdbm/nzcbqzdz")</f>
        <v>//zddrb/slzdbm/nzcbqzdz</v>
      </c>
      <c r="K945" s="2"/>
    </row>
    <row r="946">
      <c r="A946" s="1" t="s">
        <v>526</v>
      </c>
      <c r="B946" s="2">
        <f>IFERROR(__xludf.DUMMYFUNCTION("SPLIT(A946,"" "")"),299029.0)</f>
        <v>299029</v>
      </c>
      <c r="C946" s="2" t="str">
        <f>IFERROR(__xludf.DUMMYFUNCTION("""COMPUTED_VALUE"""),"zbdp.gqb")</f>
        <v>zbdp.gqb</v>
      </c>
      <c r="D946" s="2" t="str">
        <f>IFERROR(__xludf.DUMMYFUNCTION("IF(AND(B946=""$cd"",C946&lt;&gt;""..""),CONCATENATE(D945,""/"",C946),IF(C946="".."",MID(D945,1,LEN(D945)-LEN(REGEXEXTRACT(D945,""(/\w*)$""))),D945))"),"//zddrb/slzdbm/nzcbqzdz")</f>
        <v>//zddrb/slzdbm/nzcbqzdz</v>
      </c>
      <c r="K946" s="2"/>
    </row>
    <row r="947">
      <c r="A947" s="1" t="s">
        <v>744</v>
      </c>
      <c r="B947" s="2" t="str">
        <f>IFERROR(__xludf.DUMMYFUNCTION("SPLIT(A947,"" "")"),"$cd")</f>
        <v>$cd</v>
      </c>
      <c r="C947" s="2" t="str">
        <f>IFERROR(__xludf.DUMMYFUNCTION("""COMPUTED_VALUE"""),"qwjgb")</f>
        <v>qwjgb</v>
      </c>
      <c r="D947" s="2" t="str">
        <f>IFERROR(__xludf.DUMMYFUNCTION("IF(AND(B947=""$cd"",C947&lt;&gt;""..""),CONCATENATE(D946,""/"",C947),IF(C947="".."",MID(D946,1,LEN(D946)-LEN(REGEXEXTRACT(D946,""(/\w*)$""))),D946))"),"//zddrb/slzdbm/nzcbqzdz/qwjgb")</f>
        <v>//zddrb/slzdbm/nzcbqzdz/qwjgb</v>
      </c>
      <c r="K947" s="2"/>
    </row>
    <row r="948">
      <c r="A948" s="1" t="s">
        <v>609</v>
      </c>
      <c r="B948" s="2" t="str">
        <f>IFERROR(__xludf.DUMMYFUNCTION("SPLIT(A948,"" "")"),"$ls")</f>
        <v>$ls</v>
      </c>
      <c r="D948" s="2" t="str">
        <f>IFERROR(__xludf.DUMMYFUNCTION("IF(AND(B948=""$cd"",C948&lt;&gt;""..""),CONCATENATE(D947,""/"",C948),IF(C948="".."",MID(D947,1,LEN(D947)-LEN(REGEXEXTRACT(D947,""(/\w*)$""))),D947))"),"//zddrb/slzdbm/nzcbqzdz/qwjgb")</f>
        <v>//zddrb/slzdbm/nzcbqzdz/qwjgb</v>
      </c>
      <c r="K948" s="2"/>
    </row>
    <row r="949">
      <c r="A949" s="1" t="s">
        <v>528</v>
      </c>
      <c r="B949" s="2">
        <f>IFERROR(__xludf.DUMMYFUNCTION("SPLIT(A949,"" "")"),223978.0)</f>
        <v>223978</v>
      </c>
      <c r="C949" s="2" t="str">
        <f>IFERROR(__xludf.DUMMYFUNCTION("""COMPUTED_VALUE"""),"rprrjp.hfd")</f>
        <v>rprrjp.hfd</v>
      </c>
      <c r="D949" s="2" t="str">
        <f>IFERROR(__xludf.DUMMYFUNCTION("IF(AND(B949=""$cd"",C949&lt;&gt;""..""),CONCATENATE(D948,""/"",C949),IF(C949="".."",MID(D948,1,LEN(D948)-LEN(REGEXEXTRACT(D948,""(/\w*)$""))),D948))"),"//zddrb/slzdbm/nzcbqzdz/qwjgb")</f>
        <v>//zddrb/slzdbm/nzcbqzdz/qwjgb</v>
      </c>
      <c r="K949" s="2"/>
    </row>
    <row r="950">
      <c r="A950" s="1" t="s">
        <v>529</v>
      </c>
      <c r="B950" s="2">
        <f>IFERROR(__xludf.DUMMYFUNCTION("SPLIT(A950,"" "")"),164106.0)</f>
        <v>164106</v>
      </c>
      <c r="C950" s="2" t="str">
        <f>IFERROR(__xludf.DUMMYFUNCTION("""COMPUTED_VALUE"""),"wlq.rcq")</f>
        <v>wlq.rcq</v>
      </c>
      <c r="D950" s="2" t="str">
        <f>IFERROR(__xludf.DUMMYFUNCTION("IF(AND(B950=""$cd"",C950&lt;&gt;""..""),CONCATENATE(D949,""/"",C950),IF(C950="".."",MID(D949,1,LEN(D949)-LEN(REGEXEXTRACT(D949,""(/\w*)$""))),D949))"),"//zddrb/slzdbm/nzcbqzdz/qwjgb")</f>
        <v>//zddrb/slzdbm/nzcbqzdz/qwjgb</v>
      </c>
      <c r="K950" s="2"/>
    </row>
    <row r="951">
      <c r="A951" s="1" t="s">
        <v>612</v>
      </c>
      <c r="B951" s="2" t="str">
        <f>IFERROR(__xludf.DUMMYFUNCTION("SPLIT(A951,"" "")"),"$cd")</f>
        <v>$cd</v>
      </c>
      <c r="C951" s="2" t="str">
        <f>IFERROR(__xludf.DUMMYFUNCTION("""COMPUTED_VALUE"""),"..")</f>
        <v>..</v>
      </c>
      <c r="D951" s="2" t="str">
        <f>IFERROR(__xludf.DUMMYFUNCTION("IF(AND(B951=""$cd"",C951&lt;&gt;""..""),CONCATENATE(D950,""/"",C951),IF(C951="".."",MID(D950,1,LEN(D950)-LEN(REGEXEXTRACT(D950,""(/\w*)$""))),D950))"),"//zddrb/slzdbm/nzcbqzdz")</f>
        <v>//zddrb/slzdbm/nzcbqzdz</v>
      </c>
      <c r="K951" s="2"/>
    </row>
    <row r="952">
      <c r="A952" s="1" t="s">
        <v>612</v>
      </c>
      <c r="B952" s="2" t="str">
        <f>IFERROR(__xludf.DUMMYFUNCTION("SPLIT(A952,"" "")"),"$cd")</f>
        <v>$cd</v>
      </c>
      <c r="C952" s="2" t="str">
        <f>IFERROR(__xludf.DUMMYFUNCTION("""COMPUTED_VALUE"""),"..")</f>
        <v>..</v>
      </c>
      <c r="D952" s="2" t="str">
        <f>IFERROR(__xludf.DUMMYFUNCTION("IF(AND(B952=""$cd"",C952&lt;&gt;""..""),CONCATENATE(D951,""/"",C952),IF(C952="".."",MID(D951,1,LEN(D951)-LEN(REGEXEXTRACT(D951,""(/\w*)$""))),D951))"),"//zddrb/slzdbm")</f>
        <v>//zddrb/slzdbm</v>
      </c>
      <c r="K952" s="2"/>
    </row>
    <row r="953">
      <c r="A953" s="1" t="s">
        <v>612</v>
      </c>
      <c r="B953" s="2" t="str">
        <f>IFERROR(__xludf.DUMMYFUNCTION("SPLIT(A953,"" "")"),"$cd")</f>
        <v>$cd</v>
      </c>
      <c r="C953" s="2" t="str">
        <f>IFERROR(__xludf.DUMMYFUNCTION("""COMPUTED_VALUE"""),"..")</f>
        <v>..</v>
      </c>
      <c r="D953" s="2" t="str">
        <f>IFERROR(__xludf.DUMMYFUNCTION("IF(AND(B953=""$cd"",C953&lt;&gt;""..""),CONCATENATE(D952,""/"",C953),IF(C953="".."",MID(D952,1,LEN(D952)-LEN(REGEXEXTRACT(D952,""(/\w*)$""))),D952))"),"//zddrb")</f>
        <v>//zddrb</v>
      </c>
      <c r="K953" s="2"/>
    </row>
    <row r="954">
      <c r="A954" s="1" t="s">
        <v>745</v>
      </c>
      <c r="B954" s="2" t="str">
        <f>IFERROR(__xludf.DUMMYFUNCTION("SPLIT(A954,"" "")"),"$cd")</f>
        <v>$cd</v>
      </c>
      <c r="C954" s="2" t="str">
        <f>IFERROR(__xludf.DUMMYFUNCTION("""COMPUTED_VALUE"""),"zdhcp")</f>
        <v>zdhcp</v>
      </c>
      <c r="D954" s="2" t="str">
        <f>IFERROR(__xludf.DUMMYFUNCTION("IF(AND(B954=""$cd"",C954&lt;&gt;""..""),CONCATENATE(D953,""/"",C954),IF(C954="".."",MID(D953,1,LEN(D953)-LEN(REGEXEXTRACT(D953,""(/\w*)$""))),D953))"),"//zddrb/zdhcp")</f>
        <v>//zddrb/zdhcp</v>
      </c>
      <c r="K954" s="2"/>
    </row>
    <row r="955">
      <c r="A955" s="1" t="s">
        <v>609</v>
      </c>
      <c r="B955" s="2" t="str">
        <f>IFERROR(__xludf.DUMMYFUNCTION("SPLIT(A955,"" "")"),"$ls")</f>
        <v>$ls</v>
      </c>
      <c r="D955" s="2" t="str">
        <f>IFERROR(__xludf.DUMMYFUNCTION("IF(AND(B955=""$cd"",C955&lt;&gt;""..""),CONCATENATE(D954,""/"",C955),IF(C955="".."",MID(D954,1,LEN(D954)-LEN(REGEXEXTRACT(D954,""(/\w*)$""))),D954))"),"//zddrb/zdhcp")</f>
        <v>//zddrb/zdhcp</v>
      </c>
      <c r="K955" s="2"/>
    </row>
    <row r="956">
      <c r="A956" s="1" t="s">
        <v>531</v>
      </c>
      <c r="B956" s="2" t="str">
        <f>IFERROR(__xludf.DUMMYFUNCTION("SPLIT(A956,"" "")"),"dir")</f>
        <v>dir</v>
      </c>
      <c r="C956" s="2" t="str">
        <f>IFERROR(__xludf.DUMMYFUNCTION("""COMPUTED_VALUE"""),"hbggp")</f>
        <v>hbggp</v>
      </c>
      <c r="D956" s="2" t="str">
        <f>IFERROR(__xludf.DUMMYFUNCTION("IF(AND(B956=""$cd"",C956&lt;&gt;""..""),CONCATENATE(D955,""/"",C956),IF(C956="".."",MID(D955,1,LEN(D955)-LEN(REGEXEXTRACT(D955,""(/\w*)$""))),D955))"),"//zddrb/zdhcp")</f>
        <v>//zddrb/zdhcp</v>
      </c>
      <c r="K956" s="2"/>
    </row>
    <row r="957">
      <c r="A957" s="1" t="s">
        <v>128</v>
      </c>
      <c r="B957" s="2" t="str">
        <f>IFERROR(__xludf.DUMMYFUNCTION("SPLIT(A957,"" "")"),"dir")</f>
        <v>dir</v>
      </c>
      <c r="C957" s="2" t="str">
        <f>IFERROR(__xludf.DUMMYFUNCTION("""COMPUTED_VALUE"""),"mzsfcvgv")</f>
        <v>mzsfcvgv</v>
      </c>
      <c r="D957" s="2" t="str">
        <f>IFERROR(__xludf.DUMMYFUNCTION("IF(AND(B957=""$cd"",C957&lt;&gt;""..""),CONCATENATE(D956,""/"",C957),IF(C957="".."",MID(D956,1,LEN(D956)-LEN(REGEXEXTRACT(D956,""(/\w*)$""))),D956))"),"//zddrb/zdhcp")</f>
        <v>//zddrb/zdhcp</v>
      </c>
      <c r="K957" s="2"/>
    </row>
    <row r="958">
      <c r="A958" s="1" t="s">
        <v>532</v>
      </c>
      <c r="B958" s="2" t="str">
        <f>IFERROR(__xludf.DUMMYFUNCTION("SPLIT(A958,"" "")"),"dir")</f>
        <v>dir</v>
      </c>
      <c r="C958" s="2" t="str">
        <f>IFERROR(__xludf.DUMMYFUNCTION("""COMPUTED_VALUE"""),"zdsvth")</f>
        <v>zdsvth</v>
      </c>
      <c r="D958" s="2" t="str">
        <f>IFERROR(__xludf.DUMMYFUNCTION("IF(AND(B958=""$cd"",C958&lt;&gt;""..""),CONCATENATE(D957,""/"",C958),IF(C958="".."",MID(D957,1,LEN(D957)-LEN(REGEXEXTRACT(D957,""(/\w*)$""))),D957))"),"//zddrb/zdhcp")</f>
        <v>//zddrb/zdhcp</v>
      </c>
      <c r="K958" s="2"/>
    </row>
    <row r="959">
      <c r="A959" s="1" t="s">
        <v>746</v>
      </c>
      <c r="B959" s="2" t="str">
        <f>IFERROR(__xludf.DUMMYFUNCTION("SPLIT(A959,"" "")"),"$cd")</f>
        <v>$cd</v>
      </c>
      <c r="C959" s="2" t="str">
        <f>IFERROR(__xludf.DUMMYFUNCTION("""COMPUTED_VALUE"""),"hbggp")</f>
        <v>hbggp</v>
      </c>
      <c r="D959" s="2" t="str">
        <f>IFERROR(__xludf.DUMMYFUNCTION("IF(AND(B959=""$cd"",C959&lt;&gt;""..""),CONCATENATE(D958,""/"",C959),IF(C959="".."",MID(D958,1,LEN(D958)-LEN(REGEXEXTRACT(D958,""(/\w*)$""))),D958))"),"//zddrb/zdhcp/hbggp")</f>
        <v>//zddrb/zdhcp/hbggp</v>
      </c>
      <c r="K959" s="2"/>
    </row>
    <row r="960">
      <c r="A960" s="1" t="s">
        <v>609</v>
      </c>
      <c r="B960" s="2" t="str">
        <f>IFERROR(__xludf.DUMMYFUNCTION("SPLIT(A960,"" "")"),"$ls")</f>
        <v>$ls</v>
      </c>
      <c r="D960" s="2" t="str">
        <f>IFERROR(__xludf.DUMMYFUNCTION("IF(AND(B960=""$cd"",C960&lt;&gt;""..""),CONCATENATE(D959,""/"",C960),IF(C960="".."",MID(D959,1,LEN(D959)-LEN(REGEXEXTRACT(D959,""(/\w*)$""))),D959))"),"//zddrb/zdhcp/hbggp")</f>
        <v>//zddrb/zdhcp/hbggp</v>
      </c>
      <c r="K960" s="2"/>
    </row>
    <row r="961">
      <c r="A961" s="1" t="s">
        <v>534</v>
      </c>
      <c r="B961" s="2">
        <f>IFERROR(__xludf.DUMMYFUNCTION("SPLIT(A961,"" "")"),302339.0)</f>
        <v>302339</v>
      </c>
      <c r="C961" s="2" t="str">
        <f>IFERROR(__xludf.DUMMYFUNCTION("""COMPUTED_VALUE"""),"qcmfdhvm")</f>
        <v>qcmfdhvm</v>
      </c>
      <c r="D961" s="2" t="str">
        <f>IFERROR(__xludf.DUMMYFUNCTION("IF(AND(B961=""$cd"",C961&lt;&gt;""..""),CONCATENATE(D960,""/"",C961),IF(C961="".."",MID(D960,1,LEN(D960)-LEN(REGEXEXTRACT(D960,""(/\w*)$""))),D960))"),"//zddrb/zdhcp/hbggp")</f>
        <v>//zddrb/zdhcp/hbggp</v>
      </c>
      <c r="K961" s="2"/>
    </row>
    <row r="962">
      <c r="A962" s="1" t="s">
        <v>535</v>
      </c>
      <c r="B962" s="2">
        <f>IFERROR(__xludf.DUMMYFUNCTION("SPLIT(A962,"" "")"),112806.0)</f>
        <v>112806</v>
      </c>
      <c r="C962" s="2" t="str">
        <f>IFERROR(__xludf.DUMMYFUNCTION("""COMPUTED_VALUE"""),"rpb.vfl")</f>
        <v>rpb.vfl</v>
      </c>
      <c r="D962" s="2" t="str">
        <f>IFERROR(__xludf.DUMMYFUNCTION("IF(AND(B962=""$cd"",C962&lt;&gt;""..""),CONCATENATE(D961,""/"",C962),IF(C962="".."",MID(D961,1,LEN(D961)-LEN(REGEXEXTRACT(D961,""(/\w*)$""))),D961))"),"//zddrb/zdhcp/hbggp")</f>
        <v>//zddrb/zdhcp/hbggp</v>
      </c>
      <c r="K962" s="2"/>
    </row>
    <row r="963">
      <c r="A963" s="1" t="s">
        <v>612</v>
      </c>
      <c r="B963" s="2" t="str">
        <f>IFERROR(__xludf.DUMMYFUNCTION("SPLIT(A963,"" "")"),"$cd")</f>
        <v>$cd</v>
      </c>
      <c r="C963" s="2" t="str">
        <f>IFERROR(__xludf.DUMMYFUNCTION("""COMPUTED_VALUE"""),"..")</f>
        <v>..</v>
      </c>
      <c r="D963" s="2" t="str">
        <f>IFERROR(__xludf.DUMMYFUNCTION("IF(AND(B963=""$cd"",C963&lt;&gt;""..""),CONCATENATE(D962,""/"",C963),IF(C963="".."",MID(D962,1,LEN(D962)-LEN(REGEXEXTRACT(D962,""(/\w*)$""))),D962))"),"//zddrb/zdhcp")</f>
        <v>//zddrb/zdhcp</v>
      </c>
      <c r="K963" s="2"/>
    </row>
    <row r="964">
      <c r="A964" s="1" t="s">
        <v>643</v>
      </c>
      <c r="B964" s="2" t="str">
        <f>IFERROR(__xludf.DUMMYFUNCTION("SPLIT(A964,"" "")"),"$cd")</f>
        <v>$cd</v>
      </c>
      <c r="C964" s="2" t="str">
        <f>IFERROR(__xludf.DUMMYFUNCTION("""COMPUTED_VALUE"""),"mzsfcvgv")</f>
        <v>mzsfcvgv</v>
      </c>
      <c r="D964" s="2" t="str">
        <f>IFERROR(__xludf.DUMMYFUNCTION("IF(AND(B964=""$cd"",C964&lt;&gt;""..""),CONCATENATE(D963,""/"",C964),IF(C964="".."",MID(D963,1,LEN(D963)-LEN(REGEXEXTRACT(D963,""(/\w*)$""))),D963))"),"//zddrb/zdhcp/mzsfcvgv")</f>
        <v>//zddrb/zdhcp/mzsfcvgv</v>
      </c>
      <c r="K964" s="2"/>
    </row>
    <row r="965">
      <c r="A965" s="1" t="s">
        <v>609</v>
      </c>
      <c r="B965" s="2" t="str">
        <f>IFERROR(__xludf.DUMMYFUNCTION("SPLIT(A965,"" "")"),"$ls")</f>
        <v>$ls</v>
      </c>
      <c r="D965" s="2" t="str">
        <f>IFERROR(__xludf.DUMMYFUNCTION("IF(AND(B965=""$cd"",C965&lt;&gt;""..""),CONCATENATE(D964,""/"",C965),IF(C965="".."",MID(D964,1,LEN(D964)-LEN(REGEXEXTRACT(D964,""(/\w*)$""))),D964))"),"//zddrb/zdhcp/mzsfcvgv")</f>
        <v>//zddrb/zdhcp/mzsfcvgv</v>
      </c>
      <c r="K965" s="2"/>
    </row>
    <row r="966">
      <c r="A966" s="1" t="s">
        <v>536</v>
      </c>
      <c r="B966" s="2" t="str">
        <f>IFERROR(__xludf.DUMMYFUNCTION("SPLIT(A966,"" "")"),"dir")</f>
        <v>dir</v>
      </c>
      <c r="C966" s="2" t="str">
        <f>IFERROR(__xludf.DUMMYFUNCTION("""COMPUTED_VALUE"""),"gpz")</f>
        <v>gpz</v>
      </c>
      <c r="D966" s="2" t="str">
        <f>IFERROR(__xludf.DUMMYFUNCTION("IF(AND(B966=""$cd"",C966&lt;&gt;""..""),CONCATENATE(D965,""/"",C966),IF(C966="".."",MID(D965,1,LEN(D965)-LEN(REGEXEXTRACT(D965,""(/\w*)$""))),D965))"),"//zddrb/zdhcp/mzsfcvgv")</f>
        <v>//zddrb/zdhcp/mzsfcvgv</v>
      </c>
      <c r="K966" s="2"/>
    </row>
    <row r="967">
      <c r="A967" s="1" t="s">
        <v>39</v>
      </c>
      <c r="B967" s="2" t="str">
        <f>IFERROR(__xludf.DUMMYFUNCTION("SPLIT(A967,"" "")"),"dir")</f>
        <v>dir</v>
      </c>
      <c r="C967" s="2" t="str">
        <f>IFERROR(__xludf.DUMMYFUNCTION("""COMPUTED_VALUE"""),"slzdbm")</f>
        <v>slzdbm</v>
      </c>
      <c r="D967" s="2" t="str">
        <f>IFERROR(__xludf.DUMMYFUNCTION("IF(AND(B967=""$cd"",C967&lt;&gt;""..""),CONCATENATE(D966,""/"",C967),IF(C967="".."",MID(D966,1,LEN(D966)-LEN(REGEXEXTRACT(D966,""(/\w*)$""))),D966))"),"//zddrb/zdhcp/mzsfcvgv")</f>
        <v>//zddrb/zdhcp/mzsfcvgv</v>
      </c>
      <c r="K967" s="2"/>
    </row>
    <row r="968">
      <c r="A968" s="1" t="s">
        <v>537</v>
      </c>
      <c r="B968" s="2" t="str">
        <f>IFERROR(__xludf.DUMMYFUNCTION("SPLIT(A968,"" "")"),"dir")</f>
        <v>dir</v>
      </c>
      <c r="C968" s="2" t="str">
        <f>IFERROR(__xludf.DUMMYFUNCTION("""COMPUTED_VALUE"""),"zvjv")</f>
        <v>zvjv</v>
      </c>
      <c r="D968" s="2" t="str">
        <f>IFERROR(__xludf.DUMMYFUNCTION("IF(AND(B968=""$cd"",C968&lt;&gt;""..""),CONCATENATE(D967,""/"",C968),IF(C968="".."",MID(D967,1,LEN(D967)-LEN(REGEXEXTRACT(D967,""(/\w*)$""))),D967))"),"//zddrb/zdhcp/mzsfcvgv")</f>
        <v>//zddrb/zdhcp/mzsfcvgv</v>
      </c>
      <c r="K968" s="2"/>
    </row>
    <row r="969">
      <c r="A969" s="1" t="s">
        <v>747</v>
      </c>
      <c r="B969" s="2" t="str">
        <f>IFERROR(__xludf.DUMMYFUNCTION("SPLIT(A969,"" "")"),"$cd")</f>
        <v>$cd</v>
      </c>
      <c r="C969" s="2" t="str">
        <f>IFERROR(__xludf.DUMMYFUNCTION("""COMPUTED_VALUE"""),"gpz")</f>
        <v>gpz</v>
      </c>
      <c r="D969" s="2" t="str">
        <f>IFERROR(__xludf.DUMMYFUNCTION("IF(AND(B969=""$cd"",C969&lt;&gt;""..""),CONCATENATE(D968,""/"",C969),IF(C969="".."",MID(D968,1,LEN(D968)-LEN(REGEXEXTRACT(D968,""(/\w*)$""))),D968))"),"//zddrb/zdhcp/mzsfcvgv/gpz")</f>
        <v>//zddrb/zdhcp/mzsfcvgv/gpz</v>
      </c>
      <c r="K969" s="2"/>
    </row>
    <row r="970">
      <c r="A970" s="1" t="s">
        <v>609</v>
      </c>
      <c r="B970" s="2" t="str">
        <f>IFERROR(__xludf.DUMMYFUNCTION("SPLIT(A970,"" "")"),"$ls")</f>
        <v>$ls</v>
      </c>
      <c r="D970" s="2" t="str">
        <f>IFERROR(__xludf.DUMMYFUNCTION("IF(AND(B970=""$cd"",C970&lt;&gt;""..""),CONCATENATE(D969,""/"",C970),IF(C970="".."",MID(D969,1,LEN(D969)-LEN(REGEXEXTRACT(D969,""(/\w*)$""))),D969))"),"//zddrb/zdhcp/mzsfcvgv/gpz")</f>
        <v>//zddrb/zdhcp/mzsfcvgv/gpz</v>
      </c>
      <c r="K970" s="2"/>
    </row>
    <row r="971">
      <c r="A971" s="1" t="s">
        <v>539</v>
      </c>
      <c r="B971" s="2">
        <f>IFERROR(__xludf.DUMMYFUNCTION("SPLIT(A971,"" "")"),290264.0)</f>
        <v>290264</v>
      </c>
      <c r="C971" s="2" t="str">
        <f>IFERROR(__xludf.DUMMYFUNCTION("""COMPUTED_VALUE"""),"fdl")</f>
        <v>fdl</v>
      </c>
      <c r="D971" s="2" t="str">
        <f>IFERROR(__xludf.DUMMYFUNCTION("IF(AND(B971=""$cd"",C971&lt;&gt;""..""),CONCATENATE(D970,""/"",C971),IF(C971="".."",MID(D970,1,LEN(D970)-LEN(REGEXEXTRACT(D970,""(/\w*)$""))),D970))"),"//zddrb/zdhcp/mzsfcvgv/gpz")</f>
        <v>//zddrb/zdhcp/mzsfcvgv/gpz</v>
      </c>
      <c r="K971" s="2"/>
    </row>
    <row r="972">
      <c r="A972" s="1" t="s">
        <v>540</v>
      </c>
      <c r="B972" s="2">
        <f>IFERROR(__xludf.DUMMYFUNCTION("SPLIT(A972,"" "")"),158548.0)</f>
        <v>158548</v>
      </c>
      <c r="C972" s="2" t="str">
        <f>IFERROR(__xludf.DUMMYFUNCTION("""COMPUTED_VALUE"""),"slfdb.bqt")</f>
        <v>slfdb.bqt</v>
      </c>
      <c r="D972" s="2" t="str">
        <f>IFERROR(__xludf.DUMMYFUNCTION("IF(AND(B972=""$cd"",C972&lt;&gt;""..""),CONCATENATE(D971,""/"",C972),IF(C972="".."",MID(D971,1,LEN(D971)-LEN(REGEXEXTRACT(D971,""(/\w*)$""))),D971))"),"//zddrb/zdhcp/mzsfcvgv/gpz")</f>
        <v>//zddrb/zdhcp/mzsfcvgv/gpz</v>
      </c>
      <c r="K972" s="2"/>
    </row>
    <row r="973">
      <c r="A973" s="1" t="s">
        <v>612</v>
      </c>
      <c r="B973" s="2" t="str">
        <f>IFERROR(__xludf.DUMMYFUNCTION("SPLIT(A973,"" "")"),"$cd")</f>
        <v>$cd</v>
      </c>
      <c r="C973" s="2" t="str">
        <f>IFERROR(__xludf.DUMMYFUNCTION("""COMPUTED_VALUE"""),"..")</f>
        <v>..</v>
      </c>
      <c r="D973" s="2" t="str">
        <f>IFERROR(__xludf.DUMMYFUNCTION("IF(AND(B973=""$cd"",C973&lt;&gt;""..""),CONCATENATE(D972,""/"",C973),IF(C973="".."",MID(D972,1,LEN(D972)-LEN(REGEXEXTRACT(D972,""(/\w*)$""))),D972))"),"//zddrb/zdhcp/mzsfcvgv")</f>
        <v>//zddrb/zdhcp/mzsfcvgv</v>
      </c>
      <c r="K973" s="2"/>
    </row>
    <row r="974">
      <c r="A974" s="1" t="s">
        <v>624</v>
      </c>
      <c r="B974" s="2" t="str">
        <f>IFERROR(__xludf.DUMMYFUNCTION("SPLIT(A974,"" "")"),"$cd")</f>
        <v>$cd</v>
      </c>
      <c r="C974" s="2" t="str">
        <f>IFERROR(__xludf.DUMMYFUNCTION("""COMPUTED_VALUE"""),"slzdbm")</f>
        <v>slzdbm</v>
      </c>
      <c r="D974" s="2" t="str">
        <f>IFERROR(__xludf.DUMMYFUNCTION("IF(AND(B974=""$cd"",C974&lt;&gt;""..""),CONCATENATE(D973,""/"",C974),IF(C974="".."",MID(D973,1,LEN(D973)-LEN(REGEXEXTRACT(D973,""(/\w*)$""))),D973))"),"//zddrb/zdhcp/mzsfcvgv/slzdbm")</f>
        <v>//zddrb/zdhcp/mzsfcvgv/slzdbm</v>
      </c>
      <c r="K974" s="2"/>
    </row>
    <row r="975">
      <c r="A975" s="1" t="s">
        <v>609</v>
      </c>
      <c r="B975" s="2" t="str">
        <f>IFERROR(__xludf.DUMMYFUNCTION("SPLIT(A975,"" "")"),"$ls")</f>
        <v>$ls</v>
      </c>
      <c r="D975" s="2" t="str">
        <f>IFERROR(__xludf.DUMMYFUNCTION("IF(AND(B975=""$cd"",C975&lt;&gt;""..""),CONCATENATE(D974,""/"",C975),IF(C975="".."",MID(D974,1,LEN(D974)-LEN(REGEXEXTRACT(D974,""(/\w*)$""))),D974))"),"//zddrb/zdhcp/mzsfcvgv/slzdbm")</f>
        <v>//zddrb/zdhcp/mzsfcvgv/slzdbm</v>
      </c>
      <c r="K975" s="2"/>
    </row>
    <row r="976">
      <c r="A976" s="1" t="s">
        <v>50</v>
      </c>
      <c r="B976" s="2" t="str">
        <f>IFERROR(__xludf.DUMMYFUNCTION("SPLIT(A976,"" "")"),"dir")</f>
        <v>dir</v>
      </c>
      <c r="C976" s="2" t="str">
        <f>IFERROR(__xludf.DUMMYFUNCTION("""COMPUTED_VALUE"""),"hlvpfw")</f>
        <v>hlvpfw</v>
      </c>
      <c r="D976" s="2" t="str">
        <f>IFERROR(__xludf.DUMMYFUNCTION("IF(AND(B976=""$cd"",C976&lt;&gt;""..""),CONCATENATE(D975,""/"",C976),IF(C976="".."",MID(D975,1,LEN(D975)-LEN(REGEXEXTRACT(D975,""(/\w*)$""))),D975))"),"//zddrb/zdhcp/mzsfcvgv/slzdbm")</f>
        <v>//zddrb/zdhcp/mzsfcvgv/slzdbm</v>
      </c>
      <c r="K976" s="2"/>
    </row>
    <row r="977">
      <c r="A977" s="1" t="s">
        <v>128</v>
      </c>
      <c r="B977" s="2" t="str">
        <f>IFERROR(__xludf.DUMMYFUNCTION("SPLIT(A977,"" "")"),"dir")</f>
        <v>dir</v>
      </c>
      <c r="C977" s="2" t="str">
        <f>IFERROR(__xludf.DUMMYFUNCTION("""COMPUTED_VALUE"""),"mzsfcvgv")</f>
        <v>mzsfcvgv</v>
      </c>
      <c r="D977" s="2" t="str">
        <f>IFERROR(__xludf.DUMMYFUNCTION("IF(AND(B977=""$cd"",C977&lt;&gt;""..""),CONCATENATE(D976,""/"",C977),IF(C977="".."",MID(D976,1,LEN(D976)-LEN(REGEXEXTRACT(D976,""(/\w*)$""))),D976))"),"//zddrb/zdhcp/mzsfcvgv/slzdbm")</f>
        <v>//zddrb/zdhcp/mzsfcvgv/slzdbm</v>
      </c>
      <c r="K977" s="2"/>
    </row>
    <row r="978">
      <c r="A978" s="1" t="s">
        <v>541</v>
      </c>
      <c r="B978" s="2" t="str">
        <f>IFERROR(__xludf.DUMMYFUNCTION("SPLIT(A978,"" "")"),"dir")</f>
        <v>dir</v>
      </c>
      <c r="C978" s="2" t="str">
        <f>IFERROR(__xludf.DUMMYFUNCTION("""COMPUTED_VALUE"""),"zdcthssc")</f>
        <v>zdcthssc</v>
      </c>
      <c r="D978" s="2" t="str">
        <f>IFERROR(__xludf.DUMMYFUNCTION("IF(AND(B978=""$cd"",C978&lt;&gt;""..""),CONCATENATE(D977,""/"",C978),IF(C978="".."",MID(D977,1,LEN(D977)-LEN(REGEXEXTRACT(D977,""(/\w*)$""))),D977))"),"//zddrb/zdhcp/mzsfcvgv/slzdbm")</f>
        <v>//zddrb/zdhcp/mzsfcvgv/slzdbm</v>
      </c>
      <c r="K978" s="2"/>
    </row>
    <row r="979">
      <c r="A979" s="1" t="s">
        <v>622</v>
      </c>
      <c r="B979" s="2" t="str">
        <f>IFERROR(__xludf.DUMMYFUNCTION("SPLIT(A979,"" "")"),"$cd")</f>
        <v>$cd</v>
      </c>
      <c r="C979" s="2" t="str">
        <f>IFERROR(__xludf.DUMMYFUNCTION("""COMPUTED_VALUE"""),"hlvpfw")</f>
        <v>hlvpfw</v>
      </c>
      <c r="D979" s="2" t="str">
        <f>IFERROR(__xludf.DUMMYFUNCTION("IF(AND(B979=""$cd"",C979&lt;&gt;""..""),CONCATENATE(D978,""/"",C979),IF(C979="".."",MID(D978,1,LEN(D978)-LEN(REGEXEXTRACT(D978,""(/\w*)$""))),D978))"),"//zddrb/zdhcp/mzsfcvgv/slzdbm/hlvpfw")</f>
        <v>//zddrb/zdhcp/mzsfcvgv/slzdbm/hlvpfw</v>
      </c>
      <c r="K979" s="2"/>
    </row>
    <row r="980">
      <c r="A980" s="1" t="s">
        <v>609</v>
      </c>
      <c r="B980" s="2" t="str">
        <f>IFERROR(__xludf.DUMMYFUNCTION("SPLIT(A980,"" "")"),"$ls")</f>
        <v>$ls</v>
      </c>
      <c r="D980" s="2" t="str">
        <f>IFERROR(__xludf.DUMMYFUNCTION("IF(AND(B980=""$cd"",C980&lt;&gt;""..""),CONCATENATE(D979,""/"",C980),IF(C980="".."",MID(D979,1,LEN(D979)-LEN(REGEXEXTRACT(D979,""(/\w*)$""))),D979))"),"//zddrb/zdhcp/mzsfcvgv/slzdbm/hlvpfw")</f>
        <v>//zddrb/zdhcp/mzsfcvgv/slzdbm/hlvpfw</v>
      </c>
      <c r="K980" s="2"/>
    </row>
    <row r="981">
      <c r="A981" s="1" t="s">
        <v>542</v>
      </c>
      <c r="B981" s="2">
        <f>IFERROR(__xludf.DUMMYFUNCTION("SPLIT(A981,"" "")"),49287.0)</f>
        <v>49287</v>
      </c>
      <c r="C981" s="2" t="str">
        <f>IFERROR(__xludf.DUMMYFUNCTION("""COMPUTED_VALUE"""),"zbdp.gqb")</f>
        <v>zbdp.gqb</v>
      </c>
      <c r="D981" s="2" t="str">
        <f>IFERROR(__xludf.DUMMYFUNCTION("IF(AND(B981=""$cd"",C981&lt;&gt;""..""),CONCATENATE(D980,""/"",C981),IF(C981="".."",MID(D980,1,LEN(D980)-LEN(REGEXEXTRACT(D980,""(/\w*)$""))),D980))"),"//zddrb/zdhcp/mzsfcvgv/slzdbm/hlvpfw")</f>
        <v>//zddrb/zdhcp/mzsfcvgv/slzdbm/hlvpfw</v>
      </c>
      <c r="K981" s="2"/>
    </row>
    <row r="982">
      <c r="A982" s="1" t="s">
        <v>612</v>
      </c>
      <c r="B982" s="2" t="str">
        <f>IFERROR(__xludf.DUMMYFUNCTION("SPLIT(A982,"" "")"),"$cd")</f>
        <v>$cd</v>
      </c>
      <c r="C982" s="2" t="str">
        <f>IFERROR(__xludf.DUMMYFUNCTION("""COMPUTED_VALUE"""),"..")</f>
        <v>..</v>
      </c>
      <c r="D982" s="2" t="str">
        <f>IFERROR(__xludf.DUMMYFUNCTION("IF(AND(B982=""$cd"",C982&lt;&gt;""..""),CONCATENATE(D981,""/"",C982),IF(C982="".."",MID(D981,1,LEN(D981)-LEN(REGEXEXTRACT(D981,""(/\w*)$""))),D981))"),"//zddrb/zdhcp/mzsfcvgv/slzdbm")</f>
        <v>//zddrb/zdhcp/mzsfcvgv/slzdbm</v>
      </c>
      <c r="K982" s="2"/>
    </row>
    <row r="983">
      <c r="A983" s="1" t="s">
        <v>643</v>
      </c>
      <c r="B983" s="2" t="str">
        <f>IFERROR(__xludf.DUMMYFUNCTION("SPLIT(A983,"" "")"),"$cd")</f>
        <v>$cd</v>
      </c>
      <c r="C983" s="2" t="str">
        <f>IFERROR(__xludf.DUMMYFUNCTION("""COMPUTED_VALUE"""),"mzsfcvgv")</f>
        <v>mzsfcvgv</v>
      </c>
      <c r="D983" s="2" t="str">
        <f>IFERROR(__xludf.DUMMYFUNCTION("IF(AND(B983=""$cd"",C983&lt;&gt;""..""),CONCATENATE(D982,""/"",C983),IF(C983="".."",MID(D982,1,LEN(D982)-LEN(REGEXEXTRACT(D982,""(/\w*)$""))),D982))"),"//zddrb/zdhcp/mzsfcvgv/slzdbm/mzsfcvgv")</f>
        <v>//zddrb/zdhcp/mzsfcvgv/slzdbm/mzsfcvgv</v>
      </c>
      <c r="K983" s="2"/>
    </row>
    <row r="984">
      <c r="A984" s="1" t="s">
        <v>609</v>
      </c>
      <c r="B984" s="2" t="str">
        <f>IFERROR(__xludf.DUMMYFUNCTION("SPLIT(A984,"" "")"),"$ls")</f>
        <v>$ls</v>
      </c>
      <c r="D984" s="2" t="str">
        <f>IFERROR(__xludf.DUMMYFUNCTION("IF(AND(B984=""$cd"",C984&lt;&gt;""..""),CONCATENATE(D983,""/"",C984),IF(C984="".."",MID(D983,1,LEN(D983)-LEN(REGEXEXTRACT(D983,""(/\w*)$""))),D983))"),"//zddrb/zdhcp/mzsfcvgv/slzdbm/mzsfcvgv")</f>
        <v>//zddrb/zdhcp/mzsfcvgv/slzdbm/mzsfcvgv</v>
      </c>
      <c r="K984" s="2"/>
    </row>
    <row r="985">
      <c r="A985" s="1" t="s">
        <v>543</v>
      </c>
      <c r="B985" s="2" t="str">
        <f>IFERROR(__xludf.DUMMYFUNCTION("SPLIT(A985,"" "")"),"dir")</f>
        <v>dir</v>
      </c>
      <c r="C985" s="2" t="str">
        <f>IFERROR(__xludf.DUMMYFUNCTION("""COMPUTED_VALUE"""),"gnmtggs")</f>
        <v>gnmtggs</v>
      </c>
      <c r="D985" s="2" t="str">
        <f>IFERROR(__xludf.DUMMYFUNCTION("IF(AND(B985=""$cd"",C985&lt;&gt;""..""),CONCATENATE(D984,""/"",C985),IF(C985="".."",MID(D984,1,LEN(D984)-LEN(REGEXEXTRACT(D984,""(/\w*)$""))),D984))"),"//zddrb/zdhcp/mzsfcvgv/slzdbm/mzsfcvgv")</f>
        <v>//zddrb/zdhcp/mzsfcvgv/slzdbm/mzsfcvgv</v>
      </c>
      <c r="K985" s="2"/>
    </row>
    <row r="986">
      <c r="A986" s="1" t="s">
        <v>544</v>
      </c>
      <c r="B986" s="2">
        <f>IFERROR(__xludf.DUMMYFUNCTION("SPLIT(A986,"" "")"),103244.0)</f>
        <v>103244</v>
      </c>
      <c r="C986" s="2" t="str">
        <f>IFERROR(__xludf.DUMMYFUNCTION("""COMPUTED_VALUE"""),"jnwr.gtn")</f>
        <v>jnwr.gtn</v>
      </c>
      <c r="D986" s="2" t="str">
        <f>IFERROR(__xludf.DUMMYFUNCTION("IF(AND(B986=""$cd"",C986&lt;&gt;""..""),CONCATENATE(D985,""/"",C986),IF(C986="".."",MID(D985,1,LEN(D985)-LEN(REGEXEXTRACT(D985,""(/\w*)$""))),D985))"),"//zddrb/zdhcp/mzsfcvgv/slzdbm/mzsfcvgv")</f>
        <v>//zddrb/zdhcp/mzsfcvgv/slzdbm/mzsfcvgv</v>
      </c>
      <c r="K986" s="2"/>
    </row>
    <row r="987">
      <c r="A987" s="1" t="s">
        <v>545</v>
      </c>
      <c r="B987" s="2">
        <f>IFERROR(__xludf.DUMMYFUNCTION("SPLIT(A987,"" "")"),263736.0)</f>
        <v>263736</v>
      </c>
      <c r="C987" s="2" t="str">
        <f>IFERROR(__xludf.DUMMYFUNCTION("""COMPUTED_VALUE"""),"slfdb.bqt")</f>
        <v>slfdb.bqt</v>
      </c>
      <c r="D987" s="2" t="str">
        <f>IFERROR(__xludf.DUMMYFUNCTION("IF(AND(B987=""$cd"",C987&lt;&gt;""..""),CONCATENATE(D986,""/"",C987),IF(C987="".."",MID(D986,1,LEN(D986)-LEN(REGEXEXTRACT(D986,""(/\w*)$""))),D986))"),"//zddrb/zdhcp/mzsfcvgv/slzdbm/mzsfcvgv")</f>
        <v>//zddrb/zdhcp/mzsfcvgv/slzdbm/mzsfcvgv</v>
      </c>
      <c r="K987" s="2"/>
    </row>
    <row r="988">
      <c r="A988" s="1" t="s">
        <v>748</v>
      </c>
      <c r="B988" s="2" t="str">
        <f>IFERROR(__xludf.DUMMYFUNCTION("SPLIT(A988,"" "")"),"$cd")</f>
        <v>$cd</v>
      </c>
      <c r="C988" s="2" t="str">
        <f>IFERROR(__xludf.DUMMYFUNCTION("""COMPUTED_VALUE"""),"gnmtggs")</f>
        <v>gnmtggs</v>
      </c>
      <c r="D988" s="2" t="str">
        <f>IFERROR(__xludf.DUMMYFUNCTION("IF(AND(B988=""$cd"",C988&lt;&gt;""..""),CONCATENATE(D987,""/"",C988),IF(C988="".."",MID(D987,1,LEN(D987)-LEN(REGEXEXTRACT(D987,""(/\w*)$""))),D987))"),"//zddrb/zdhcp/mzsfcvgv/slzdbm/mzsfcvgv/gnmtggs")</f>
        <v>//zddrb/zdhcp/mzsfcvgv/slzdbm/mzsfcvgv/gnmtggs</v>
      </c>
      <c r="K988" s="2"/>
    </row>
    <row r="989">
      <c r="A989" s="1" t="s">
        <v>609</v>
      </c>
      <c r="B989" s="2" t="str">
        <f>IFERROR(__xludf.DUMMYFUNCTION("SPLIT(A989,"" "")"),"$ls")</f>
        <v>$ls</v>
      </c>
      <c r="D989" s="2" t="str">
        <f>IFERROR(__xludf.DUMMYFUNCTION("IF(AND(B989=""$cd"",C989&lt;&gt;""..""),CONCATENATE(D988,""/"",C989),IF(C989="".."",MID(D988,1,LEN(D988)-LEN(REGEXEXTRACT(D988,""(/\w*)$""))),D988))"),"//zddrb/zdhcp/mzsfcvgv/slzdbm/mzsfcvgv/gnmtggs")</f>
        <v>//zddrb/zdhcp/mzsfcvgv/slzdbm/mzsfcvgv/gnmtggs</v>
      </c>
      <c r="K989" s="2"/>
    </row>
    <row r="990">
      <c r="A990" s="1" t="s">
        <v>547</v>
      </c>
      <c r="B990" s="2">
        <f>IFERROR(__xludf.DUMMYFUNCTION("SPLIT(A990,"" "")"),31665.0)</f>
        <v>31665</v>
      </c>
      <c r="C990" s="2" t="str">
        <f>IFERROR(__xludf.DUMMYFUNCTION("""COMPUTED_VALUE"""),"qhthp.lfh")</f>
        <v>qhthp.lfh</v>
      </c>
      <c r="D990" s="2" t="str">
        <f>IFERROR(__xludf.DUMMYFUNCTION("IF(AND(B990=""$cd"",C990&lt;&gt;""..""),CONCATENATE(D989,""/"",C990),IF(C990="".."",MID(D989,1,LEN(D989)-LEN(REGEXEXTRACT(D989,""(/\w*)$""))),D989))"),"//zddrb/zdhcp/mzsfcvgv/slzdbm/mzsfcvgv/gnmtggs")</f>
        <v>//zddrb/zdhcp/mzsfcvgv/slzdbm/mzsfcvgv/gnmtggs</v>
      </c>
      <c r="K990" s="2"/>
    </row>
    <row r="991">
      <c r="A991" s="1" t="s">
        <v>612</v>
      </c>
      <c r="B991" s="2" t="str">
        <f>IFERROR(__xludf.DUMMYFUNCTION("SPLIT(A991,"" "")"),"$cd")</f>
        <v>$cd</v>
      </c>
      <c r="C991" s="2" t="str">
        <f>IFERROR(__xludf.DUMMYFUNCTION("""COMPUTED_VALUE"""),"..")</f>
        <v>..</v>
      </c>
      <c r="D991" s="2" t="str">
        <f>IFERROR(__xludf.DUMMYFUNCTION("IF(AND(B991=""$cd"",C991&lt;&gt;""..""),CONCATENATE(D990,""/"",C991),IF(C991="".."",MID(D990,1,LEN(D990)-LEN(REGEXEXTRACT(D990,""(/\w*)$""))),D990))"),"//zddrb/zdhcp/mzsfcvgv/slzdbm/mzsfcvgv")</f>
        <v>//zddrb/zdhcp/mzsfcvgv/slzdbm/mzsfcvgv</v>
      </c>
      <c r="K991" s="2"/>
    </row>
    <row r="992">
      <c r="A992" s="1" t="s">
        <v>612</v>
      </c>
      <c r="B992" s="2" t="str">
        <f>IFERROR(__xludf.DUMMYFUNCTION("SPLIT(A992,"" "")"),"$cd")</f>
        <v>$cd</v>
      </c>
      <c r="C992" s="2" t="str">
        <f>IFERROR(__xludf.DUMMYFUNCTION("""COMPUTED_VALUE"""),"..")</f>
        <v>..</v>
      </c>
      <c r="D992" s="2" t="str">
        <f>IFERROR(__xludf.DUMMYFUNCTION("IF(AND(B992=""$cd"",C992&lt;&gt;""..""),CONCATENATE(D991,""/"",C992),IF(C992="".."",MID(D991,1,LEN(D991)-LEN(REGEXEXTRACT(D991,""(/\w*)$""))),D991))"),"//zddrb/zdhcp/mzsfcvgv/slzdbm")</f>
        <v>//zddrb/zdhcp/mzsfcvgv/slzdbm</v>
      </c>
      <c r="K992" s="2"/>
    </row>
    <row r="993">
      <c r="A993" s="1" t="s">
        <v>749</v>
      </c>
      <c r="B993" s="2" t="str">
        <f>IFERROR(__xludf.DUMMYFUNCTION("SPLIT(A993,"" "")"),"$cd")</f>
        <v>$cd</v>
      </c>
      <c r="C993" s="2" t="str">
        <f>IFERROR(__xludf.DUMMYFUNCTION("""COMPUTED_VALUE"""),"zdcthssc")</f>
        <v>zdcthssc</v>
      </c>
      <c r="D993" s="2" t="str">
        <f>IFERROR(__xludf.DUMMYFUNCTION("IF(AND(B993=""$cd"",C993&lt;&gt;""..""),CONCATENATE(D992,""/"",C993),IF(C993="".."",MID(D992,1,LEN(D992)-LEN(REGEXEXTRACT(D992,""(/\w*)$""))),D992))"),"//zddrb/zdhcp/mzsfcvgv/slzdbm/zdcthssc")</f>
        <v>//zddrb/zdhcp/mzsfcvgv/slzdbm/zdcthssc</v>
      </c>
      <c r="K993" s="2"/>
    </row>
    <row r="994">
      <c r="A994" s="1" t="s">
        <v>609</v>
      </c>
      <c r="B994" s="2" t="str">
        <f>IFERROR(__xludf.DUMMYFUNCTION("SPLIT(A994,"" "")"),"$ls")</f>
        <v>$ls</v>
      </c>
      <c r="D994" s="2" t="str">
        <f>IFERROR(__xludf.DUMMYFUNCTION("IF(AND(B994=""$cd"",C994&lt;&gt;""..""),CONCATENATE(D993,""/"",C994),IF(C994="".."",MID(D993,1,LEN(D993)-LEN(REGEXEXTRACT(D993,""(/\w*)$""))),D993))"),"//zddrb/zdhcp/mzsfcvgv/slzdbm/zdcthssc")</f>
        <v>//zddrb/zdhcp/mzsfcvgv/slzdbm/zdcthssc</v>
      </c>
      <c r="K994" s="2"/>
    </row>
    <row r="995">
      <c r="A995" s="1" t="s">
        <v>549</v>
      </c>
      <c r="B995" s="2">
        <f>IFERROR(__xludf.DUMMYFUNCTION("SPLIT(A995,"" "")"),64408.0)</f>
        <v>64408</v>
      </c>
      <c r="C995" s="2" t="str">
        <f>IFERROR(__xludf.DUMMYFUNCTION("""COMPUTED_VALUE"""),"cgbnzc.cgn")</f>
        <v>cgbnzc.cgn</v>
      </c>
      <c r="D995" s="2" t="str">
        <f>IFERROR(__xludf.DUMMYFUNCTION("IF(AND(B995=""$cd"",C995&lt;&gt;""..""),CONCATENATE(D994,""/"",C995),IF(C995="".."",MID(D994,1,LEN(D994)-LEN(REGEXEXTRACT(D994,""(/\w*)$""))),D994))"),"//zddrb/zdhcp/mzsfcvgv/slzdbm/zdcthssc")</f>
        <v>//zddrb/zdhcp/mzsfcvgv/slzdbm/zdcthssc</v>
      </c>
      <c r="K995" s="2"/>
    </row>
    <row r="996">
      <c r="A996" s="1" t="s">
        <v>612</v>
      </c>
      <c r="B996" s="2" t="str">
        <f>IFERROR(__xludf.DUMMYFUNCTION("SPLIT(A996,"" "")"),"$cd")</f>
        <v>$cd</v>
      </c>
      <c r="C996" s="2" t="str">
        <f>IFERROR(__xludf.DUMMYFUNCTION("""COMPUTED_VALUE"""),"..")</f>
        <v>..</v>
      </c>
      <c r="D996" s="2" t="str">
        <f>IFERROR(__xludf.DUMMYFUNCTION("IF(AND(B996=""$cd"",C996&lt;&gt;""..""),CONCATENATE(D995,""/"",C996),IF(C996="".."",MID(D995,1,LEN(D995)-LEN(REGEXEXTRACT(D995,""(/\w*)$""))),D995))"),"//zddrb/zdhcp/mzsfcvgv/slzdbm")</f>
        <v>//zddrb/zdhcp/mzsfcvgv/slzdbm</v>
      </c>
      <c r="K996" s="2"/>
    </row>
    <row r="997">
      <c r="A997" s="1" t="s">
        <v>612</v>
      </c>
      <c r="B997" s="2" t="str">
        <f>IFERROR(__xludf.DUMMYFUNCTION("SPLIT(A997,"" "")"),"$cd")</f>
        <v>$cd</v>
      </c>
      <c r="C997" s="2" t="str">
        <f>IFERROR(__xludf.DUMMYFUNCTION("""COMPUTED_VALUE"""),"..")</f>
        <v>..</v>
      </c>
      <c r="D997" s="2" t="str">
        <f>IFERROR(__xludf.DUMMYFUNCTION("IF(AND(B997=""$cd"",C997&lt;&gt;""..""),CONCATENATE(D996,""/"",C997),IF(C997="".."",MID(D996,1,LEN(D996)-LEN(REGEXEXTRACT(D996,""(/\w*)$""))),D996))"),"//zddrb/zdhcp/mzsfcvgv")</f>
        <v>//zddrb/zdhcp/mzsfcvgv</v>
      </c>
      <c r="K997" s="2"/>
    </row>
    <row r="998">
      <c r="A998" s="1" t="s">
        <v>750</v>
      </c>
      <c r="B998" s="2" t="str">
        <f>IFERROR(__xludf.DUMMYFUNCTION("SPLIT(A998,"" "")"),"$cd")</f>
        <v>$cd</v>
      </c>
      <c r="C998" s="2" t="str">
        <f>IFERROR(__xludf.DUMMYFUNCTION("""COMPUTED_VALUE"""),"zvjv")</f>
        <v>zvjv</v>
      </c>
      <c r="D998" s="2" t="str">
        <f>IFERROR(__xludf.DUMMYFUNCTION("IF(AND(B998=""$cd"",C998&lt;&gt;""..""),CONCATENATE(D997,""/"",C998),IF(C998="".."",MID(D997,1,LEN(D997)-LEN(REGEXEXTRACT(D997,""(/\w*)$""))),D997))"),"//zddrb/zdhcp/mzsfcvgv/zvjv")</f>
        <v>//zddrb/zdhcp/mzsfcvgv/zvjv</v>
      </c>
      <c r="K998" s="2"/>
    </row>
    <row r="999">
      <c r="A999" s="1" t="s">
        <v>609</v>
      </c>
      <c r="B999" s="2" t="str">
        <f>IFERROR(__xludf.DUMMYFUNCTION("SPLIT(A999,"" "")"),"$ls")</f>
        <v>$ls</v>
      </c>
      <c r="D999" s="2" t="str">
        <f>IFERROR(__xludf.DUMMYFUNCTION("IF(AND(B999=""$cd"",C999&lt;&gt;""..""),CONCATENATE(D998,""/"",C999),IF(C999="".."",MID(D998,1,LEN(D998)-LEN(REGEXEXTRACT(D998,""(/\w*)$""))),D998))"),"//zddrb/zdhcp/mzsfcvgv/zvjv")</f>
        <v>//zddrb/zdhcp/mzsfcvgv/zvjv</v>
      </c>
      <c r="K999" s="2"/>
    </row>
    <row r="1000">
      <c r="A1000" s="1" t="s">
        <v>551</v>
      </c>
      <c r="B1000" s="2">
        <f>IFERROR(__xludf.DUMMYFUNCTION("SPLIT(A1000,"" "")"),6088.0)</f>
        <v>6088</v>
      </c>
      <c r="C1000" s="2" t="str">
        <f>IFERROR(__xludf.DUMMYFUNCTION("""COMPUTED_VALUE"""),"gnpsb.dml")</f>
        <v>gnpsb.dml</v>
      </c>
      <c r="D1000" s="2" t="str">
        <f>IFERROR(__xludf.DUMMYFUNCTION("IF(AND(B1000=""$cd"",C1000&lt;&gt;""..""),CONCATENATE(D999,""/"",C1000),IF(C1000="".."",MID(D999,1,LEN(D999)-LEN(REGEXEXTRACT(D999,""(/\w*)$""))),D999))"),"//zddrb/zdhcp/mzsfcvgv/zvjv")</f>
        <v>//zddrb/zdhcp/mzsfcvgv/zvjv</v>
      </c>
      <c r="K1000" s="2"/>
    </row>
    <row r="1001">
      <c r="A1001" s="1" t="s">
        <v>552</v>
      </c>
      <c r="B1001" s="2">
        <f>IFERROR(__xludf.DUMMYFUNCTION("SPLIT(A1001,"" "")"),145405.0)</f>
        <v>145405</v>
      </c>
      <c r="C1001" s="2" t="str">
        <f>IFERROR(__xludf.DUMMYFUNCTION("""COMPUTED_VALUE"""),"llp.cbm")</f>
        <v>llp.cbm</v>
      </c>
      <c r="D1001" s="2" t="str">
        <f>IFERROR(__xludf.DUMMYFUNCTION("IF(AND(B1001=""$cd"",C1001&lt;&gt;""..""),CONCATENATE(D1000,""/"",C1001),IF(C1001="".."",MID(D1000,1,LEN(D1000)-LEN(REGEXEXTRACT(D1000,""(/\w*)$""))),D1000))"),"//zddrb/zdhcp/mzsfcvgv/zvjv")</f>
        <v>//zddrb/zdhcp/mzsfcvgv/zvjv</v>
      </c>
      <c r="K1001" s="2"/>
    </row>
    <row r="1002">
      <c r="A1002" s="1" t="s">
        <v>553</v>
      </c>
      <c r="B1002" s="2" t="str">
        <f>IFERROR(__xludf.DUMMYFUNCTION("SPLIT(A1002,"" "")"),"dir")</f>
        <v>dir</v>
      </c>
      <c r="C1002" s="2" t="str">
        <f>IFERROR(__xludf.DUMMYFUNCTION("""COMPUTED_VALUE"""),"mgcg")</f>
        <v>mgcg</v>
      </c>
      <c r="D1002" s="2" t="str">
        <f>IFERROR(__xludf.DUMMYFUNCTION("IF(AND(B1002=""$cd"",C1002&lt;&gt;""..""),CONCATENATE(D1001,""/"",C1002),IF(C1002="".."",MID(D1001,1,LEN(D1001)-LEN(REGEXEXTRACT(D1001,""(/\w*)$""))),D1001))"),"//zddrb/zdhcp/mzsfcvgv/zvjv")</f>
        <v>//zddrb/zdhcp/mzsfcvgv/zvjv</v>
      </c>
      <c r="K1002" s="2"/>
    </row>
    <row r="1003">
      <c r="A1003" s="1" t="s">
        <v>554</v>
      </c>
      <c r="B1003" s="2" t="str">
        <f>IFERROR(__xludf.DUMMYFUNCTION("SPLIT(A1003,"" "")"),"dir")</f>
        <v>dir</v>
      </c>
      <c r="C1003" s="2" t="str">
        <f>IFERROR(__xludf.DUMMYFUNCTION("""COMPUTED_VALUE"""),"nwl")</f>
        <v>nwl</v>
      </c>
      <c r="D1003" s="2" t="str">
        <f>IFERROR(__xludf.DUMMYFUNCTION("IF(AND(B1003=""$cd"",C1003&lt;&gt;""..""),CONCATENATE(D1002,""/"",C1003),IF(C1003="".."",MID(D1002,1,LEN(D1002)-LEN(REGEXEXTRACT(D1002,""(/\w*)$""))),D1002))"),"//zddrb/zdhcp/mzsfcvgv/zvjv")</f>
        <v>//zddrb/zdhcp/mzsfcvgv/zvjv</v>
      </c>
      <c r="K1003" s="2"/>
    </row>
    <row r="1004">
      <c r="A1004" s="1" t="s">
        <v>555</v>
      </c>
      <c r="B1004" s="2" t="str">
        <f>IFERROR(__xludf.DUMMYFUNCTION("SPLIT(A1004,"" "")"),"dir")</f>
        <v>dir</v>
      </c>
      <c r="C1004" s="2" t="str">
        <f>IFERROR(__xludf.DUMMYFUNCTION("""COMPUTED_VALUE"""),"rqznjmt")</f>
        <v>rqznjmt</v>
      </c>
      <c r="D1004" s="2" t="str">
        <f>IFERROR(__xludf.DUMMYFUNCTION("IF(AND(B1004=""$cd"",C1004&lt;&gt;""..""),CONCATENATE(D1003,""/"",C1004),IF(C1004="".."",MID(D1003,1,LEN(D1003)-LEN(REGEXEXTRACT(D1003,""(/\w*)$""))),D1003))"),"//zddrb/zdhcp/mzsfcvgv/zvjv")</f>
        <v>//zddrb/zdhcp/mzsfcvgv/zvjv</v>
      </c>
      <c r="K1004" s="2"/>
    </row>
    <row r="1005">
      <c r="A1005" s="1" t="s">
        <v>556</v>
      </c>
      <c r="B1005" s="2">
        <f>IFERROR(__xludf.DUMMYFUNCTION("SPLIT(A1005,"" "")"),128194.0)</f>
        <v>128194</v>
      </c>
      <c r="C1005" s="2" t="str">
        <f>IFERROR(__xludf.DUMMYFUNCTION("""COMPUTED_VALUE"""),"zbdp.gqb")</f>
        <v>zbdp.gqb</v>
      </c>
      <c r="D1005" s="2" t="str">
        <f>IFERROR(__xludf.DUMMYFUNCTION("IF(AND(B1005=""$cd"",C1005&lt;&gt;""..""),CONCATENATE(D1004,""/"",C1005),IF(C1005="".."",MID(D1004,1,LEN(D1004)-LEN(REGEXEXTRACT(D1004,""(/\w*)$""))),D1004))"),"//zddrb/zdhcp/mzsfcvgv/zvjv")</f>
        <v>//zddrb/zdhcp/mzsfcvgv/zvjv</v>
      </c>
      <c r="K1005" s="2"/>
    </row>
    <row r="1006">
      <c r="A1006" s="1" t="s">
        <v>751</v>
      </c>
      <c r="B1006" s="2" t="str">
        <f>IFERROR(__xludf.DUMMYFUNCTION("SPLIT(A1006,"" "")"),"$cd")</f>
        <v>$cd</v>
      </c>
      <c r="C1006" s="2" t="str">
        <f>IFERROR(__xludf.DUMMYFUNCTION("""COMPUTED_VALUE"""),"mgcg")</f>
        <v>mgcg</v>
      </c>
      <c r="D1006" s="2" t="str">
        <f>IFERROR(__xludf.DUMMYFUNCTION("IF(AND(B1006=""$cd"",C1006&lt;&gt;""..""),CONCATENATE(D1005,""/"",C1006),IF(C1006="".."",MID(D1005,1,LEN(D1005)-LEN(REGEXEXTRACT(D1005,""(/\w*)$""))),D1005))"),"//zddrb/zdhcp/mzsfcvgv/zvjv/mgcg")</f>
        <v>//zddrb/zdhcp/mzsfcvgv/zvjv/mgcg</v>
      </c>
      <c r="K1006" s="2"/>
    </row>
    <row r="1007">
      <c r="A1007" s="1" t="s">
        <v>609</v>
      </c>
      <c r="B1007" s="2" t="str">
        <f>IFERROR(__xludf.DUMMYFUNCTION("SPLIT(A1007,"" "")"),"$ls")</f>
        <v>$ls</v>
      </c>
      <c r="D1007" s="2" t="str">
        <f>IFERROR(__xludf.DUMMYFUNCTION("IF(AND(B1007=""$cd"",C1007&lt;&gt;""..""),CONCATENATE(D1006,""/"",C1007),IF(C1007="".."",MID(D1006,1,LEN(D1006)-LEN(REGEXEXTRACT(D1006,""(/\w*)$""))),D1006))"),"//zddrb/zdhcp/mzsfcvgv/zvjv/mgcg")</f>
        <v>//zddrb/zdhcp/mzsfcvgv/zvjv/mgcg</v>
      </c>
      <c r="K1007" s="2"/>
    </row>
    <row r="1008">
      <c r="A1008" s="1" t="s">
        <v>558</v>
      </c>
      <c r="B1008" s="2" t="str">
        <f>IFERROR(__xludf.DUMMYFUNCTION("SPLIT(A1008,"" "")"),"dir")</f>
        <v>dir</v>
      </c>
      <c r="C1008" s="2" t="str">
        <f>IFERROR(__xludf.DUMMYFUNCTION("""COMPUTED_VALUE"""),"ngwvm")</f>
        <v>ngwvm</v>
      </c>
      <c r="D1008" s="2" t="str">
        <f>IFERROR(__xludf.DUMMYFUNCTION("IF(AND(B1008=""$cd"",C1008&lt;&gt;""..""),CONCATENATE(D1007,""/"",C1008),IF(C1008="".."",MID(D1007,1,LEN(D1007)-LEN(REGEXEXTRACT(D1007,""(/\w*)$""))),D1007))"),"//zddrb/zdhcp/mzsfcvgv/zvjv/mgcg")</f>
        <v>//zddrb/zdhcp/mzsfcvgv/zvjv/mgcg</v>
      </c>
      <c r="K1008" s="2"/>
    </row>
    <row r="1009">
      <c r="A1009" s="1" t="s">
        <v>39</v>
      </c>
      <c r="B1009" s="2" t="str">
        <f>IFERROR(__xludf.DUMMYFUNCTION("SPLIT(A1009,"" "")"),"dir")</f>
        <v>dir</v>
      </c>
      <c r="C1009" s="2" t="str">
        <f>IFERROR(__xludf.DUMMYFUNCTION("""COMPUTED_VALUE"""),"slzdbm")</f>
        <v>slzdbm</v>
      </c>
      <c r="D1009" s="2" t="str">
        <f>IFERROR(__xludf.DUMMYFUNCTION("IF(AND(B1009=""$cd"",C1009&lt;&gt;""..""),CONCATENATE(D1008,""/"",C1009),IF(C1009="".."",MID(D1008,1,LEN(D1008)-LEN(REGEXEXTRACT(D1008,""(/\w*)$""))),D1008))"),"//zddrb/zdhcp/mzsfcvgv/zvjv/mgcg")</f>
        <v>//zddrb/zdhcp/mzsfcvgv/zvjv/mgcg</v>
      </c>
      <c r="K1009" s="2"/>
    </row>
    <row r="1010">
      <c r="A1010" s="1" t="s">
        <v>559</v>
      </c>
      <c r="B1010" s="2" t="str">
        <f>IFERROR(__xludf.DUMMYFUNCTION("SPLIT(A1010,"" "")"),"dir")</f>
        <v>dir</v>
      </c>
      <c r="C1010" s="2" t="str">
        <f>IFERROR(__xludf.DUMMYFUNCTION("""COMPUTED_VALUE"""),"smd")</f>
        <v>smd</v>
      </c>
      <c r="D1010" s="2" t="str">
        <f>IFERROR(__xludf.DUMMYFUNCTION("IF(AND(B1010=""$cd"",C1010&lt;&gt;""..""),CONCATENATE(D1009,""/"",C1010),IF(C1010="".."",MID(D1009,1,LEN(D1009)-LEN(REGEXEXTRACT(D1009,""(/\w*)$""))),D1009))"),"//zddrb/zdhcp/mzsfcvgv/zvjv/mgcg")</f>
        <v>//zddrb/zdhcp/mzsfcvgv/zvjv/mgcg</v>
      </c>
      <c r="K1010" s="2"/>
    </row>
    <row r="1011">
      <c r="A1011" s="1" t="s">
        <v>560</v>
      </c>
      <c r="B1011" s="2" t="str">
        <f>IFERROR(__xludf.DUMMYFUNCTION("SPLIT(A1011,"" "")"),"dir")</f>
        <v>dir</v>
      </c>
      <c r="C1011" s="2" t="str">
        <f>IFERROR(__xludf.DUMMYFUNCTION("""COMPUTED_VALUE"""),"smr")</f>
        <v>smr</v>
      </c>
      <c r="D1011" s="2" t="str">
        <f>IFERROR(__xludf.DUMMYFUNCTION("IF(AND(B1011=""$cd"",C1011&lt;&gt;""..""),CONCATENATE(D1010,""/"",C1011),IF(C1011="".."",MID(D1010,1,LEN(D1010)-LEN(REGEXEXTRACT(D1010,""(/\w*)$""))),D1010))"),"//zddrb/zdhcp/mzsfcvgv/zvjv/mgcg")</f>
        <v>//zddrb/zdhcp/mzsfcvgv/zvjv/mgcg</v>
      </c>
      <c r="K1011" s="2"/>
    </row>
    <row r="1012">
      <c r="A1012" s="1" t="s">
        <v>46</v>
      </c>
      <c r="B1012" s="2" t="str">
        <f>IFERROR(__xludf.DUMMYFUNCTION("SPLIT(A1012,"" "")"),"dir")</f>
        <v>dir</v>
      </c>
      <c r="C1012" s="2" t="str">
        <f>IFERROR(__xludf.DUMMYFUNCTION("""COMPUTED_VALUE"""),"zcgrgff")</f>
        <v>zcgrgff</v>
      </c>
      <c r="D1012" s="2" t="str">
        <f>IFERROR(__xludf.DUMMYFUNCTION("IF(AND(B1012=""$cd"",C1012&lt;&gt;""..""),CONCATENATE(D1011,""/"",C1012),IF(C1012="".."",MID(D1011,1,LEN(D1011)-LEN(REGEXEXTRACT(D1011,""(/\w*)$""))),D1011))"),"//zddrb/zdhcp/mzsfcvgv/zvjv/mgcg")</f>
        <v>//zddrb/zdhcp/mzsfcvgv/zvjv/mgcg</v>
      </c>
      <c r="K1012" s="2"/>
    </row>
    <row r="1013">
      <c r="A1013" s="1" t="s">
        <v>752</v>
      </c>
      <c r="B1013" s="2" t="str">
        <f>IFERROR(__xludf.DUMMYFUNCTION("SPLIT(A1013,"" "")"),"$cd")</f>
        <v>$cd</v>
      </c>
      <c r="C1013" s="2" t="str">
        <f>IFERROR(__xludf.DUMMYFUNCTION("""COMPUTED_VALUE"""),"ngwvm")</f>
        <v>ngwvm</v>
      </c>
      <c r="D1013" s="2" t="str">
        <f>IFERROR(__xludf.DUMMYFUNCTION("IF(AND(B1013=""$cd"",C1013&lt;&gt;""..""),CONCATENATE(D1012,""/"",C1013),IF(C1013="".."",MID(D1012,1,LEN(D1012)-LEN(REGEXEXTRACT(D1012,""(/\w*)$""))),D1012))"),"//zddrb/zdhcp/mzsfcvgv/zvjv/mgcg/ngwvm")</f>
        <v>//zddrb/zdhcp/mzsfcvgv/zvjv/mgcg/ngwvm</v>
      </c>
      <c r="K1013" s="2"/>
    </row>
    <row r="1014">
      <c r="A1014" s="1" t="s">
        <v>609</v>
      </c>
      <c r="B1014" s="2" t="str">
        <f>IFERROR(__xludf.DUMMYFUNCTION("SPLIT(A1014,"" "")"),"$ls")</f>
        <v>$ls</v>
      </c>
      <c r="D1014" s="2" t="str">
        <f>IFERROR(__xludf.DUMMYFUNCTION("IF(AND(B1014=""$cd"",C1014&lt;&gt;""..""),CONCATENATE(D1013,""/"",C1014),IF(C1014="".."",MID(D1013,1,LEN(D1013)-LEN(REGEXEXTRACT(D1013,""(/\w*)$""))),D1013))"),"//zddrb/zdhcp/mzsfcvgv/zvjv/mgcg/ngwvm")</f>
        <v>//zddrb/zdhcp/mzsfcvgv/zvjv/mgcg/ngwvm</v>
      </c>
      <c r="K1014" s="2"/>
    </row>
    <row r="1015">
      <c r="A1015" s="1" t="s">
        <v>562</v>
      </c>
      <c r="B1015" s="2">
        <f>IFERROR(__xludf.DUMMYFUNCTION("SPLIT(A1015,"" "")"),49186.0)</f>
        <v>49186</v>
      </c>
      <c r="C1015" s="2" t="str">
        <f>IFERROR(__xludf.DUMMYFUNCTION("""COMPUTED_VALUE"""),"hmqfdht")</f>
        <v>hmqfdht</v>
      </c>
      <c r="D1015" s="2" t="str">
        <f>IFERROR(__xludf.DUMMYFUNCTION("IF(AND(B1015=""$cd"",C1015&lt;&gt;""..""),CONCATENATE(D1014,""/"",C1015),IF(C1015="".."",MID(D1014,1,LEN(D1014)-LEN(REGEXEXTRACT(D1014,""(/\w*)$""))),D1014))"),"//zddrb/zdhcp/mzsfcvgv/zvjv/mgcg/ngwvm")</f>
        <v>//zddrb/zdhcp/mzsfcvgv/zvjv/mgcg/ngwvm</v>
      </c>
      <c r="K1015" s="2"/>
    </row>
    <row r="1016">
      <c r="A1016" s="1" t="s">
        <v>612</v>
      </c>
      <c r="B1016" s="2" t="str">
        <f>IFERROR(__xludf.DUMMYFUNCTION("SPLIT(A1016,"" "")"),"$cd")</f>
        <v>$cd</v>
      </c>
      <c r="C1016" s="2" t="str">
        <f>IFERROR(__xludf.DUMMYFUNCTION("""COMPUTED_VALUE"""),"..")</f>
        <v>..</v>
      </c>
      <c r="D1016" s="2" t="str">
        <f>IFERROR(__xludf.DUMMYFUNCTION("IF(AND(B1016=""$cd"",C1016&lt;&gt;""..""),CONCATENATE(D1015,""/"",C1016),IF(C1016="".."",MID(D1015,1,LEN(D1015)-LEN(REGEXEXTRACT(D1015,""(/\w*)$""))),D1015))"),"//zddrb/zdhcp/mzsfcvgv/zvjv/mgcg")</f>
        <v>//zddrb/zdhcp/mzsfcvgv/zvjv/mgcg</v>
      </c>
      <c r="K1016" s="2"/>
    </row>
    <row r="1017">
      <c r="A1017" s="1" t="s">
        <v>624</v>
      </c>
      <c r="B1017" s="2" t="str">
        <f>IFERROR(__xludf.DUMMYFUNCTION("SPLIT(A1017,"" "")"),"$cd")</f>
        <v>$cd</v>
      </c>
      <c r="C1017" s="2" t="str">
        <f>IFERROR(__xludf.DUMMYFUNCTION("""COMPUTED_VALUE"""),"slzdbm")</f>
        <v>slzdbm</v>
      </c>
      <c r="D1017" s="2" t="str">
        <f>IFERROR(__xludf.DUMMYFUNCTION("IF(AND(B1017=""$cd"",C1017&lt;&gt;""..""),CONCATENATE(D1016,""/"",C1017),IF(C1017="".."",MID(D1016,1,LEN(D1016)-LEN(REGEXEXTRACT(D1016,""(/\w*)$""))),D1016))"),"//zddrb/zdhcp/mzsfcvgv/zvjv/mgcg/slzdbm")</f>
        <v>//zddrb/zdhcp/mzsfcvgv/zvjv/mgcg/slzdbm</v>
      </c>
      <c r="K1017" s="2"/>
    </row>
    <row r="1018">
      <c r="A1018" s="1" t="s">
        <v>609</v>
      </c>
      <c r="B1018" s="2" t="str">
        <f>IFERROR(__xludf.DUMMYFUNCTION("SPLIT(A1018,"" "")"),"$ls")</f>
        <v>$ls</v>
      </c>
      <c r="D1018" s="2" t="str">
        <f>IFERROR(__xludf.DUMMYFUNCTION("IF(AND(B1018=""$cd"",C1018&lt;&gt;""..""),CONCATENATE(D1017,""/"",C1018),IF(C1018="".."",MID(D1017,1,LEN(D1017)-LEN(REGEXEXTRACT(D1017,""(/\w*)$""))),D1017))"),"//zddrb/zdhcp/mzsfcvgv/zvjv/mgcg/slzdbm")</f>
        <v>//zddrb/zdhcp/mzsfcvgv/zvjv/mgcg/slzdbm</v>
      </c>
      <c r="K1018" s="2"/>
    </row>
    <row r="1019">
      <c r="A1019" s="1" t="s">
        <v>563</v>
      </c>
      <c r="B1019" s="2">
        <f>IFERROR(__xludf.DUMMYFUNCTION("SPLIT(A1019,"" "")"),44434.0)</f>
        <v>44434</v>
      </c>
      <c r="C1019" s="2" t="str">
        <f>IFERROR(__xludf.DUMMYFUNCTION("""COMPUTED_VALUE"""),"rdcb")</f>
        <v>rdcb</v>
      </c>
      <c r="D1019" s="2" t="str">
        <f>IFERROR(__xludf.DUMMYFUNCTION("IF(AND(B1019=""$cd"",C1019&lt;&gt;""..""),CONCATENATE(D1018,""/"",C1019),IF(C1019="".."",MID(D1018,1,LEN(D1018)-LEN(REGEXEXTRACT(D1018,""(/\w*)$""))),D1018))"),"//zddrb/zdhcp/mzsfcvgv/zvjv/mgcg/slzdbm")</f>
        <v>//zddrb/zdhcp/mzsfcvgv/zvjv/mgcg/slzdbm</v>
      </c>
      <c r="K1019" s="2"/>
    </row>
    <row r="1020">
      <c r="A1020" s="1" t="s">
        <v>612</v>
      </c>
      <c r="B1020" s="2" t="str">
        <f>IFERROR(__xludf.DUMMYFUNCTION("SPLIT(A1020,"" "")"),"$cd")</f>
        <v>$cd</v>
      </c>
      <c r="C1020" s="2" t="str">
        <f>IFERROR(__xludf.DUMMYFUNCTION("""COMPUTED_VALUE"""),"..")</f>
        <v>..</v>
      </c>
      <c r="D1020" s="2" t="str">
        <f>IFERROR(__xludf.DUMMYFUNCTION("IF(AND(B1020=""$cd"",C1020&lt;&gt;""..""),CONCATENATE(D1019,""/"",C1020),IF(C1020="".."",MID(D1019,1,LEN(D1019)-LEN(REGEXEXTRACT(D1019,""(/\w*)$""))),D1019))"),"//zddrb/zdhcp/mzsfcvgv/zvjv/mgcg")</f>
        <v>//zddrb/zdhcp/mzsfcvgv/zvjv/mgcg</v>
      </c>
      <c r="K1020" s="2"/>
    </row>
    <row r="1021">
      <c r="A1021" s="1" t="s">
        <v>753</v>
      </c>
      <c r="B1021" s="2" t="str">
        <f>IFERROR(__xludf.DUMMYFUNCTION("SPLIT(A1021,"" "")"),"$cd")</f>
        <v>$cd</v>
      </c>
      <c r="C1021" s="2" t="str">
        <f>IFERROR(__xludf.DUMMYFUNCTION("""COMPUTED_VALUE"""),"smd")</f>
        <v>smd</v>
      </c>
      <c r="D1021" s="2" t="str">
        <f>IFERROR(__xludf.DUMMYFUNCTION("IF(AND(B1021=""$cd"",C1021&lt;&gt;""..""),CONCATENATE(D1020,""/"",C1021),IF(C1021="".."",MID(D1020,1,LEN(D1020)-LEN(REGEXEXTRACT(D1020,""(/\w*)$""))),D1020))"),"//zddrb/zdhcp/mzsfcvgv/zvjv/mgcg/smd")</f>
        <v>//zddrb/zdhcp/mzsfcvgv/zvjv/mgcg/smd</v>
      </c>
      <c r="K1021" s="2"/>
    </row>
    <row r="1022">
      <c r="A1022" s="1" t="s">
        <v>609</v>
      </c>
      <c r="B1022" s="2" t="str">
        <f>IFERROR(__xludf.DUMMYFUNCTION("SPLIT(A1022,"" "")"),"$ls")</f>
        <v>$ls</v>
      </c>
      <c r="D1022" s="2" t="str">
        <f>IFERROR(__xludf.DUMMYFUNCTION("IF(AND(B1022=""$cd"",C1022&lt;&gt;""..""),CONCATENATE(D1021,""/"",C1022),IF(C1022="".."",MID(D1021,1,LEN(D1021)-LEN(REGEXEXTRACT(D1021,""(/\w*)$""))),D1021))"),"//zddrb/zdhcp/mzsfcvgv/zvjv/mgcg/smd")</f>
        <v>//zddrb/zdhcp/mzsfcvgv/zvjv/mgcg/smd</v>
      </c>
      <c r="K1022" s="2"/>
    </row>
    <row r="1023">
      <c r="A1023" s="1" t="s">
        <v>565</v>
      </c>
      <c r="B1023" s="2" t="str">
        <f>IFERROR(__xludf.DUMMYFUNCTION("SPLIT(A1023,"" "")"),"dir")</f>
        <v>dir</v>
      </c>
      <c r="C1023" s="2" t="str">
        <f>IFERROR(__xludf.DUMMYFUNCTION("""COMPUTED_VALUE"""),"fjd")</f>
        <v>fjd</v>
      </c>
      <c r="D1023" s="2" t="str">
        <f>IFERROR(__xludf.DUMMYFUNCTION("IF(AND(B1023=""$cd"",C1023&lt;&gt;""..""),CONCATENATE(D1022,""/"",C1023),IF(C1023="".."",MID(D1022,1,LEN(D1022)-LEN(REGEXEXTRACT(D1022,""(/\w*)$""))),D1022))"),"//zddrb/zdhcp/mzsfcvgv/zvjv/mgcg/smd")</f>
        <v>//zddrb/zdhcp/mzsfcvgv/zvjv/mgcg/smd</v>
      </c>
      <c r="K1023" s="2"/>
    </row>
    <row r="1024">
      <c r="A1024" s="1" t="s">
        <v>566</v>
      </c>
      <c r="B1024" s="2" t="str">
        <f>IFERROR(__xludf.DUMMYFUNCTION("SPLIT(A1024,"" "")"),"dir")</f>
        <v>dir</v>
      </c>
      <c r="C1024" s="2" t="str">
        <f>IFERROR(__xludf.DUMMYFUNCTION("""COMPUTED_VALUE"""),"rscdvnwt")</f>
        <v>rscdvnwt</v>
      </c>
      <c r="D1024" s="2" t="str">
        <f>IFERROR(__xludf.DUMMYFUNCTION("IF(AND(B1024=""$cd"",C1024&lt;&gt;""..""),CONCATENATE(D1023,""/"",C1024),IF(C1024="".."",MID(D1023,1,LEN(D1023)-LEN(REGEXEXTRACT(D1023,""(/\w*)$""))),D1023))"),"//zddrb/zdhcp/mzsfcvgv/zvjv/mgcg/smd")</f>
        <v>//zddrb/zdhcp/mzsfcvgv/zvjv/mgcg/smd</v>
      </c>
      <c r="K1024" s="2"/>
    </row>
    <row r="1025">
      <c r="A1025" s="1" t="s">
        <v>567</v>
      </c>
      <c r="B1025" s="2" t="str">
        <f>IFERROR(__xludf.DUMMYFUNCTION("SPLIT(A1025,"" "")"),"dir")</f>
        <v>dir</v>
      </c>
      <c r="C1025" s="2" t="str">
        <f>IFERROR(__xludf.DUMMYFUNCTION("""COMPUTED_VALUE"""),"wbhp")</f>
        <v>wbhp</v>
      </c>
      <c r="D1025" s="2" t="str">
        <f>IFERROR(__xludf.DUMMYFUNCTION("IF(AND(B1025=""$cd"",C1025&lt;&gt;""..""),CONCATENATE(D1024,""/"",C1025),IF(C1025="".."",MID(D1024,1,LEN(D1024)-LEN(REGEXEXTRACT(D1024,""(/\w*)$""))),D1024))"),"//zddrb/zdhcp/mzsfcvgv/zvjv/mgcg/smd")</f>
        <v>//zddrb/zdhcp/mzsfcvgv/zvjv/mgcg/smd</v>
      </c>
      <c r="K1025" s="2"/>
    </row>
    <row r="1026">
      <c r="A1026" s="1" t="s">
        <v>568</v>
      </c>
      <c r="B1026" s="2">
        <f>IFERROR(__xludf.DUMMYFUNCTION("SPLIT(A1026,"" "")"),318166.0)</f>
        <v>318166</v>
      </c>
      <c r="C1026" s="2" t="str">
        <f>IFERROR(__xludf.DUMMYFUNCTION("""COMPUTED_VALUE"""),"zbdp.gqb")</f>
        <v>zbdp.gqb</v>
      </c>
      <c r="D1026" s="2" t="str">
        <f>IFERROR(__xludf.DUMMYFUNCTION("IF(AND(B1026=""$cd"",C1026&lt;&gt;""..""),CONCATENATE(D1025,""/"",C1026),IF(C1026="".."",MID(D1025,1,LEN(D1025)-LEN(REGEXEXTRACT(D1025,""(/\w*)$""))),D1025))"),"//zddrb/zdhcp/mzsfcvgv/zvjv/mgcg/smd")</f>
        <v>//zddrb/zdhcp/mzsfcvgv/zvjv/mgcg/smd</v>
      </c>
      <c r="K1026" s="2"/>
    </row>
    <row r="1027">
      <c r="A1027" s="1" t="s">
        <v>754</v>
      </c>
      <c r="B1027" s="2" t="str">
        <f>IFERROR(__xludf.DUMMYFUNCTION("SPLIT(A1027,"" "")"),"$cd")</f>
        <v>$cd</v>
      </c>
      <c r="C1027" s="2" t="str">
        <f>IFERROR(__xludf.DUMMYFUNCTION("""COMPUTED_VALUE"""),"fjd")</f>
        <v>fjd</v>
      </c>
      <c r="D1027" s="2" t="str">
        <f>IFERROR(__xludf.DUMMYFUNCTION("IF(AND(B1027=""$cd"",C1027&lt;&gt;""..""),CONCATENATE(D1026,""/"",C1027),IF(C1027="".."",MID(D1026,1,LEN(D1026)-LEN(REGEXEXTRACT(D1026,""(/\w*)$""))),D1026))"),"//zddrb/zdhcp/mzsfcvgv/zvjv/mgcg/smd/fjd")</f>
        <v>//zddrb/zdhcp/mzsfcvgv/zvjv/mgcg/smd/fjd</v>
      </c>
      <c r="K1027" s="2"/>
    </row>
    <row r="1028">
      <c r="A1028" s="1" t="s">
        <v>609</v>
      </c>
      <c r="B1028" s="2" t="str">
        <f>IFERROR(__xludf.DUMMYFUNCTION("SPLIT(A1028,"" "")"),"$ls")</f>
        <v>$ls</v>
      </c>
      <c r="D1028" s="2" t="str">
        <f>IFERROR(__xludf.DUMMYFUNCTION("IF(AND(B1028=""$cd"",C1028&lt;&gt;""..""),CONCATENATE(D1027,""/"",C1028),IF(C1028="".."",MID(D1027,1,LEN(D1027)-LEN(REGEXEXTRACT(D1027,""(/\w*)$""))),D1027))"),"//zddrb/zdhcp/mzsfcvgv/zvjv/mgcg/smd/fjd")</f>
        <v>//zddrb/zdhcp/mzsfcvgv/zvjv/mgcg/smd/fjd</v>
      </c>
      <c r="K1028" s="2"/>
    </row>
    <row r="1029">
      <c r="A1029" s="1" t="s">
        <v>570</v>
      </c>
      <c r="B1029" s="2">
        <f>IFERROR(__xludf.DUMMYFUNCTION("SPLIT(A1029,"" "")"),14084.0)</f>
        <v>14084</v>
      </c>
      <c r="C1029" s="2" t="str">
        <f>IFERROR(__xludf.DUMMYFUNCTION("""COMPUTED_VALUE"""),"hlvpfw.ghn")</f>
        <v>hlvpfw.ghn</v>
      </c>
      <c r="D1029" s="2" t="str">
        <f>IFERROR(__xludf.DUMMYFUNCTION("IF(AND(B1029=""$cd"",C1029&lt;&gt;""..""),CONCATENATE(D1028,""/"",C1029),IF(C1029="".."",MID(D1028,1,LEN(D1028)-LEN(REGEXEXTRACT(D1028,""(/\w*)$""))),D1028))"),"//zddrb/zdhcp/mzsfcvgv/zvjv/mgcg/smd/fjd")</f>
        <v>//zddrb/zdhcp/mzsfcvgv/zvjv/mgcg/smd/fjd</v>
      </c>
      <c r="K1029" s="2"/>
    </row>
    <row r="1030">
      <c r="A1030" s="1" t="s">
        <v>612</v>
      </c>
      <c r="B1030" s="2" t="str">
        <f>IFERROR(__xludf.DUMMYFUNCTION("SPLIT(A1030,"" "")"),"$cd")</f>
        <v>$cd</v>
      </c>
      <c r="C1030" s="2" t="str">
        <f>IFERROR(__xludf.DUMMYFUNCTION("""COMPUTED_VALUE"""),"..")</f>
        <v>..</v>
      </c>
      <c r="D1030" s="2" t="str">
        <f>IFERROR(__xludf.DUMMYFUNCTION("IF(AND(B1030=""$cd"",C1030&lt;&gt;""..""),CONCATENATE(D1029,""/"",C1030),IF(C1030="".."",MID(D1029,1,LEN(D1029)-LEN(REGEXEXTRACT(D1029,""(/\w*)$""))),D1029))"),"//zddrb/zdhcp/mzsfcvgv/zvjv/mgcg/smd")</f>
        <v>//zddrb/zdhcp/mzsfcvgv/zvjv/mgcg/smd</v>
      </c>
      <c r="K1030" s="2"/>
    </row>
    <row r="1031">
      <c r="A1031" s="1" t="s">
        <v>755</v>
      </c>
      <c r="B1031" s="2" t="str">
        <f>IFERROR(__xludf.DUMMYFUNCTION("SPLIT(A1031,"" "")"),"$cd")</f>
        <v>$cd</v>
      </c>
      <c r="C1031" s="2" t="str">
        <f>IFERROR(__xludf.DUMMYFUNCTION("""COMPUTED_VALUE"""),"rscdvnwt")</f>
        <v>rscdvnwt</v>
      </c>
      <c r="D1031" s="2" t="str">
        <f>IFERROR(__xludf.DUMMYFUNCTION("IF(AND(B1031=""$cd"",C1031&lt;&gt;""..""),CONCATENATE(D1030,""/"",C1031),IF(C1031="".."",MID(D1030,1,LEN(D1030)-LEN(REGEXEXTRACT(D1030,""(/\w*)$""))),D1030))"),"//zddrb/zdhcp/mzsfcvgv/zvjv/mgcg/smd/rscdvnwt")</f>
        <v>//zddrb/zdhcp/mzsfcvgv/zvjv/mgcg/smd/rscdvnwt</v>
      </c>
      <c r="K1031" s="2"/>
    </row>
    <row r="1032">
      <c r="A1032" s="1" t="s">
        <v>609</v>
      </c>
      <c r="B1032" s="2" t="str">
        <f>IFERROR(__xludf.DUMMYFUNCTION("SPLIT(A1032,"" "")"),"$ls")</f>
        <v>$ls</v>
      </c>
      <c r="D1032" s="2" t="str">
        <f>IFERROR(__xludf.DUMMYFUNCTION("IF(AND(B1032=""$cd"",C1032&lt;&gt;""..""),CONCATENATE(D1031,""/"",C1032),IF(C1032="".."",MID(D1031,1,LEN(D1031)-LEN(REGEXEXTRACT(D1031,""(/\w*)$""))),D1031))"),"//zddrb/zdhcp/mzsfcvgv/zvjv/mgcg/smd/rscdvnwt")</f>
        <v>//zddrb/zdhcp/mzsfcvgv/zvjv/mgcg/smd/rscdvnwt</v>
      </c>
      <c r="K1032" s="2"/>
    </row>
    <row r="1033">
      <c r="A1033" s="1" t="s">
        <v>572</v>
      </c>
      <c r="B1033" s="2">
        <f>IFERROR(__xludf.DUMMYFUNCTION("SPLIT(A1033,"" "")"),6432.0)</f>
        <v>6432</v>
      </c>
      <c r="C1033" s="2" t="str">
        <f>IFERROR(__xludf.DUMMYFUNCTION("""COMPUTED_VALUE"""),"fzwpmjm.ntl")</f>
        <v>fzwpmjm.ntl</v>
      </c>
      <c r="D1033" s="2" t="str">
        <f>IFERROR(__xludf.DUMMYFUNCTION("IF(AND(B1033=""$cd"",C1033&lt;&gt;""..""),CONCATENATE(D1032,""/"",C1033),IF(C1033="".."",MID(D1032,1,LEN(D1032)-LEN(REGEXEXTRACT(D1032,""(/\w*)$""))),D1032))"),"//zddrb/zdhcp/mzsfcvgv/zvjv/mgcg/smd/rscdvnwt")</f>
        <v>//zddrb/zdhcp/mzsfcvgv/zvjv/mgcg/smd/rscdvnwt</v>
      </c>
      <c r="K1033" s="2"/>
    </row>
    <row r="1034">
      <c r="A1034" s="1" t="s">
        <v>612</v>
      </c>
      <c r="B1034" s="2" t="str">
        <f>IFERROR(__xludf.DUMMYFUNCTION("SPLIT(A1034,"" "")"),"$cd")</f>
        <v>$cd</v>
      </c>
      <c r="C1034" s="2" t="str">
        <f>IFERROR(__xludf.DUMMYFUNCTION("""COMPUTED_VALUE"""),"..")</f>
        <v>..</v>
      </c>
      <c r="D1034" s="2" t="str">
        <f>IFERROR(__xludf.DUMMYFUNCTION("IF(AND(B1034=""$cd"",C1034&lt;&gt;""..""),CONCATENATE(D1033,""/"",C1034),IF(C1034="".."",MID(D1033,1,LEN(D1033)-LEN(REGEXEXTRACT(D1033,""(/\w*)$""))),D1033))"),"//zddrb/zdhcp/mzsfcvgv/zvjv/mgcg/smd")</f>
        <v>//zddrb/zdhcp/mzsfcvgv/zvjv/mgcg/smd</v>
      </c>
      <c r="K1034" s="2"/>
    </row>
    <row r="1035">
      <c r="A1035" s="1" t="s">
        <v>756</v>
      </c>
      <c r="B1035" s="2" t="str">
        <f>IFERROR(__xludf.DUMMYFUNCTION("SPLIT(A1035,"" "")"),"$cd")</f>
        <v>$cd</v>
      </c>
      <c r="C1035" s="2" t="str">
        <f>IFERROR(__xludf.DUMMYFUNCTION("""COMPUTED_VALUE"""),"wbhp")</f>
        <v>wbhp</v>
      </c>
      <c r="D1035" s="2" t="str">
        <f>IFERROR(__xludf.DUMMYFUNCTION("IF(AND(B1035=""$cd"",C1035&lt;&gt;""..""),CONCATENATE(D1034,""/"",C1035),IF(C1035="".."",MID(D1034,1,LEN(D1034)-LEN(REGEXEXTRACT(D1034,""(/\w*)$""))),D1034))"),"//zddrb/zdhcp/mzsfcvgv/zvjv/mgcg/smd/wbhp")</f>
        <v>//zddrb/zdhcp/mzsfcvgv/zvjv/mgcg/smd/wbhp</v>
      </c>
      <c r="K1035" s="2"/>
    </row>
    <row r="1036">
      <c r="A1036" s="1" t="s">
        <v>609</v>
      </c>
      <c r="B1036" s="2" t="str">
        <f>IFERROR(__xludf.DUMMYFUNCTION("SPLIT(A1036,"" "")"),"$ls")</f>
        <v>$ls</v>
      </c>
      <c r="D1036" s="2" t="str">
        <f>IFERROR(__xludf.DUMMYFUNCTION("IF(AND(B1036=""$cd"",C1036&lt;&gt;""..""),CONCATENATE(D1035,""/"",C1036),IF(C1036="".."",MID(D1035,1,LEN(D1035)-LEN(REGEXEXTRACT(D1035,""(/\w*)$""))),D1035))"),"//zddrb/zdhcp/mzsfcvgv/zvjv/mgcg/smd/wbhp")</f>
        <v>//zddrb/zdhcp/mzsfcvgv/zvjv/mgcg/smd/wbhp</v>
      </c>
      <c r="K1036" s="2"/>
    </row>
    <row r="1037">
      <c r="A1037" s="1" t="s">
        <v>574</v>
      </c>
      <c r="B1037" s="2" t="str">
        <f>IFERROR(__xludf.DUMMYFUNCTION("SPLIT(A1037,"" "")"),"dir")</f>
        <v>dir</v>
      </c>
      <c r="C1037" s="2" t="str">
        <f>IFERROR(__xludf.DUMMYFUNCTION("""COMPUTED_VALUE"""),"czv")</f>
        <v>czv</v>
      </c>
      <c r="D1037" s="2" t="str">
        <f>IFERROR(__xludf.DUMMYFUNCTION("IF(AND(B1037=""$cd"",C1037&lt;&gt;""..""),CONCATENATE(D1036,""/"",C1037),IF(C1037="".."",MID(D1036,1,LEN(D1036)-LEN(REGEXEXTRACT(D1036,""(/\w*)$""))),D1036))"),"//zddrb/zdhcp/mzsfcvgv/zvjv/mgcg/smd/wbhp")</f>
        <v>//zddrb/zdhcp/mzsfcvgv/zvjv/mgcg/smd/wbhp</v>
      </c>
      <c r="K1037" s="2"/>
    </row>
    <row r="1038">
      <c r="A1038" s="1" t="s">
        <v>575</v>
      </c>
      <c r="B1038" s="2">
        <f>IFERROR(__xludf.DUMMYFUNCTION("SPLIT(A1038,"" "")"),217474.0)</f>
        <v>217474</v>
      </c>
      <c r="C1038" s="2" t="str">
        <f>IFERROR(__xludf.DUMMYFUNCTION("""COMPUTED_VALUE"""),"dnq.cpq")</f>
        <v>dnq.cpq</v>
      </c>
      <c r="D1038" s="2" t="str">
        <f>IFERROR(__xludf.DUMMYFUNCTION("IF(AND(B1038=""$cd"",C1038&lt;&gt;""..""),CONCATENATE(D1037,""/"",C1038),IF(C1038="".."",MID(D1037,1,LEN(D1037)-LEN(REGEXEXTRACT(D1037,""(/\w*)$""))),D1037))"),"//zddrb/zdhcp/mzsfcvgv/zvjv/mgcg/smd/wbhp")</f>
        <v>//zddrb/zdhcp/mzsfcvgv/zvjv/mgcg/smd/wbhp</v>
      </c>
      <c r="K1038" s="2"/>
    </row>
    <row r="1039">
      <c r="A1039" s="1" t="s">
        <v>576</v>
      </c>
      <c r="B1039" s="2">
        <f>IFERROR(__xludf.DUMMYFUNCTION("SPLIT(A1039,"" "")"),36009.0)</f>
        <v>36009</v>
      </c>
      <c r="C1039" s="2" t="str">
        <f>IFERROR(__xludf.DUMMYFUNCTION("""COMPUTED_VALUE"""),"jnwr.zdv")</f>
        <v>jnwr.zdv</v>
      </c>
      <c r="D1039" s="2" t="str">
        <f>IFERROR(__xludf.DUMMYFUNCTION("IF(AND(B1039=""$cd"",C1039&lt;&gt;""..""),CONCATENATE(D1038,""/"",C1039),IF(C1039="".."",MID(D1038,1,LEN(D1038)-LEN(REGEXEXTRACT(D1038,""(/\w*)$""))),D1038))"),"//zddrb/zdhcp/mzsfcvgv/zvjv/mgcg/smd/wbhp")</f>
        <v>//zddrb/zdhcp/mzsfcvgv/zvjv/mgcg/smd/wbhp</v>
      </c>
      <c r="K1039" s="2"/>
    </row>
    <row r="1040">
      <c r="A1040" s="1" t="s">
        <v>577</v>
      </c>
      <c r="B1040" s="2">
        <f>IFERROR(__xludf.DUMMYFUNCTION("SPLIT(A1040,"" "")"),32123.0)</f>
        <v>32123</v>
      </c>
      <c r="C1040" s="2" t="str">
        <f>IFERROR(__xludf.DUMMYFUNCTION("""COMPUTED_VALUE"""),"mpq.cdn")</f>
        <v>mpq.cdn</v>
      </c>
      <c r="D1040" s="2" t="str">
        <f>IFERROR(__xludf.DUMMYFUNCTION("IF(AND(B1040=""$cd"",C1040&lt;&gt;""..""),CONCATENATE(D1039,""/"",C1040),IF(C1040="".."",MID(D1039,1,LEN(D1039)-LEN(REGEXEXTRACT(D1039,""(/\w*)$""))),D1039))"),"//zddrb/zdhcp/mzsfcvgv/zvjv/mgcg/smd/wbhp")</f>
        <v>//zddrb/zdhcp/mzsfcvgv/zvjv/mgcg/smd/wbhp</v>
      </c>
      <c r="K1040" s="2"/>
    </row>
    <row r="1041">
      <c r="A1041" s="1" t="s">
        <v>578</v>
      </c>
      <c r="B1041" s="2">
        <f>IFERROR(__xludf.DUMMYFUNCTION("SPLIT(A1041,"" "")"),27607.0)</f>
        <v>27607</v>
      </c>
      <c r="C1041" s="2" t="str">
        <f>IFERROR(__xludf.DUMMYFUNCTION("""COMPUTED_VALUE"""),"mrm.sgs")</f>
        <v>mrm.sgs</v>
      </c>
      <c r="D1041" s="2" t="str">
        <f>IFERROR(__xludf.DUMMYFUNCTION("IF(AND(B1041=""$cd"",C1041&lt;&gt;""..""),CONCATENATE(D1040,""/"",C1041),IF(C1041="".."",MID(D1040,1,LEN(D1040)-LEN(REGEXEXTRACT(D1040,""(/\w*)$""))),D1040))"),"//zddrb/zdhcp/mzsfcvgv/zvjv/mgcg/smd/wbhp")</f>
        <v>//zddrb/zdhcp/mzsfcvgv/zvjv/mgcg/smd/wbhp</v>
      </c>
      <c r="K1041" s="2"/>
    </row>
    <row r="1042">
      <c r="A1042" s="1" t="s">
        <v>579</v>
      </c>
      <c r="B1042" s="2">
        <f>IFERROR(__xludf.DUMMYFUNCTION("SPLIT(A1042,"" "")"),107593.0)</f>
        <v>107593</v>
      </c>
      <c r="C1042" s="2" t="str">
        <f>IFERROR(__xludf.DUMMYFUNCTION("""COMPUTED_VALUE"""),"zbdp.gqb")</f>
        <v>zbdp.gqb</v>
      </c>
      <c r="D1042" s="2" t="str">
        <f>IFERROR(__xludf.DUMMYFUNCTION("IF(AND(B1042=""$cd"",C1042&lt;&gt;""..""),CONCATENATE(D1041,""/"",C1042),IF(C1042="".."",MID(D1041,1,LEN(D1041)-LEN(REGEXEXTRACT(D1041,""(/\w*)$""))),D1041))"),"//zddrb/zdhcp/mzsfcvgv/zvjv/mgcg/smd/wbhp")</f>
        <v>//zddrb/zdhcp/mzsfcvgv/zvjv/mgcg/smd/wbhp</v>
      </c>
      <c r="K1042" s="2"/>
    </row>
    <row r="1043">
      <c r="A1043" s="1" t="s">
        <v>757</v>
      </c>
      <c r="B1043" s="2" t="str">
        <f>IFERROR(__xludf.DUMMYFUNCTION("SPLIT(A1043,"" "")"),"$cd")</f>
        <v>$cd</v>
      </c>
      <c r="C1043" s="2" t="str">
        <f>IFERROR(__xludf.DUMMYFUNCTION("""COMPUTED_VALUE"""),"czv")</f>
        <v>czv</v>
      </c>
      <c r="D1043" s="2" t="str">
        <f>IFERROR(__xludf.DUMMYFUNCTION("IF(AND(B1043=""$cd"",C1043&lt;&gt;""..""),CONCATENATE(D1042,""/"",C1043),IF(C1043="".."",MID(D1042,1,LEN(D1042)-LEN(REGEXEXTRACT(D1042,""(/\w*)$""))),D1042))"),"//zddrb/zdhcp/mzsfcvgv/zvjv/mgcg/smd/wbhp/czv")</f>
        <v>//zddrb/zdhcp/mzsfcvgv/zvjv/mgcg/smd/wbhp/czv</v>
      </c>
      <c r="K1043" s="2"/>
    </row>
    <row r="1044">
      <c r="A1044" s="1" t="s">
        <v>609</v>
      </c>
      <c r="B1044" s="2" t="str">
        <f>IFERROR(__xludf.DUMMYFUNCTION("SPLIT(A1044,"" "")"),"$ls")</f>
        <v>$ls</v>
      </c>
      <c r="D1044" s="2" t="str">
        <f>IFERROR(__xludf.DUMMYFUNCTION("IF(AND(B1044=""$cd"",C1044&lt;&gt;""..""),CONCATENATE(D1043,""/"",C1044),IF(C1044="".."",MID(D1043,1,LEN(D1043)-LEN(REGEXEXTRACT(D1043,""(/\w*)$""))),D1043))"),"//zddrb/zdhcp/mzsfcvgv/zvjv/mgcg/smd/wbhp/czv")</f>
        <v>//zddrb/zdhcp/mzsfcvgv/zvjv/mgcg/smd/wbhp/czv</v>
      </c>
      <c r="K1044" s="2"/>
    </row>
    <row r="1045">
      <c r="A1045" s="1" t="s">
        <v>581</v>
      </c>
      <c r="B1045" s="2">
        <f>IFERROR(__xludf.DUMMYFUNCTION("SPLIT(A1045,"" "")"),60750.0)</f>
        <v>60750</v>
      </c>
      <c r="C1045" s="2" t="str">
        <f>IFERROR(__xludf.DUMMYFUNCTION("""COMPUTED_VALUE"""),"zcgrgff.mnr")</f>
        <v>zcgrgff.mnr</v>
      </c>
      <c r="D1045" s="2" t="str">
        <f>IFERROR(__xludf.DUMMYFUNCTION("IF(AND(B1045=""$cd"",C1045&lt;&gt;""..""),CONCATENATE(D1044,""/"",C1045),IF(C1045="".."",MID(D1044,1,LEN(D1044)-LEN(REGEXEXTRACT(D1044,""(/\w*)$""))),D1044))"),"//zddrb/zdhcp/mzsfcvgv/zvjv/mgcg/smd/wbhp/czv")</f>
        <v>//zddrb/zdhcp/mzsfcvgv/zvjv/mgcg/smd/wbhp/czv</v>
      </c>
      <c r="K1045" s="2"/>
    </row>
    <row r="1046">
      <c r="A1046" s="1" t="s">
        <v>612</v>
      </c>
      <c r="B1046" s="2" t="str">
        <f>IFERROR(__xludf.DUMMYFUNCTION("SPLIT(A1046,"" "")"),"$cd")</f>
        <v>$cd</v>
      </c>
      <c r="C1046" s="2" t="str">
        <f>IFERROR(__xludf.DUMMYFUNCTION("""COMPUTED_VALUE"""),"..")</f>
        <v>..</v>
      </c>
      <c r="D1046" s="2" t="str">
        <f>IFERROR(__xludf.DUMMYFUNCTION("IF(AND(B1046=""$cd"",C1046&lt;&gt;""..""),CONCATENATE(D1045,""/"",C1046),IF(C1046="".."",MID(D1045,1,LEN(D1045)-LEN(REGEXEXTRACT(D1045,""(/\w*)$""))),D1045))"),"//zddrb/zdhcp/mzsfcvgv/zvjv/mgcg/smd/wbhp")</f>
        <v>//zddrb/zdhcp/mzsfcvgv/zvjv/mgcg/smd/wbhp</v>
      </c>
      <c r="K1046" s="2"/>
    </row>
    <row r="1047">
      <c r="A1047" s="1" t="s">
        <v>612</v>
      </c>
      <c r="B1047" s="2" t="str">
        <f>IFERROR(__xludf.DUMMYFUNCTION("SPLIT(A1047,"" "")"),"$cd")</f>
        <v>$cd</v>
      </c>
      <c r="C1047" s="2" t="str">
        <f>IFERROR(__xludf.DUMMYFUNCTION("""COMPUTED_VALUE"""),"..")</f>
        <v>..</v>
      </c>
      <c r="D1047" s="2" t="str">
        <f>IFERROR(__xludf.DUMMYFUNCTION("IF(AND(B1047=""$cd"",C1047&lt;&gt;""..""),CONCATENATE(D1046,""/"",C1047),IF(C1047="".."",MID(D1046,1,LEN(D1046)-LEN(REGEXEXTRACT(D1046,""(/\w*)$""))),D1046))"),"//zddrb/zdhcp/mzsfcvgv/zvjv/mgcg/smd")</f>
        <v>//zddrb/zdhcp/mzsfcvgv/zvjv/mgcg/smd</v>
      </c>
      <c r="K1047" s="2"/>
    </row>
    <row r="1048">
      <c r="A1048" s="1" t="s">
        <v>612</v>
      </c>
      <c r="B1048" s="2" t="str">
        <f>IFERROR(__xludf.DUMMYFUNCTION("SPLIT(A1048,"" "")"),"$cd")</f>
        <v>$cd</v>
      </c>
      <c r="C1048" s="2" t="str">
        <f>IFERROR(__xludf.DUMMYFUNCTION("""COMPUTED_VALUE"""),"..")</f>
        <v>..</v>
      </c>
      <c r="D1048" s="2" t="str">
        <f>IFERROR(__xludf.DUMMYFUNCTION("IF(AND(B1048=""$cd"",C1048&lt;&gt;""..""),CONCATENATE(D1047,""/"",C1048),IF(C1048="".."",MID(D1047,1,LEN(D1047)-LEN(REGEXEXTRACT(D1047,""(/\w*)$""))),D1047))"),"//zddrb/zdhcp/mzsfcvgv/zvjv/mgcg")</f>
        <v>//zddrb/zdhcp/mzsfcvgv/zvjv/mgcg</v>
      </c>
      <c r="K1048" s="2"/>
    </row>
    <row r="1049">
      <c r="A1049" s="1" t="s">
        <v>758</v>
      </c>
      <c r="B1049" s="2" t="str">
        <f>IFERROR(__xludf.DUMMYFUNCTION("SPLIT(A1049,"" "")"),"$cd")</f>
        <v>$cd</v>
      </c>
      <c r="C1049" s="2" t="str">
        <f>IFERROR(__xludf.DUMMYFUNCTION("""COMPUTED_VALUE"""),"smr")</f>
        <v>smr</v>
      </c>
      <c r="D1049" s="2" t="str">
        <f>IFERROR(__xludf.DUMMYFUNCTION("IF(AND(B1049=""$cd"",C1049&lt;&gt;""..""),CONCATENATE(D1048,""/"",C1049),IF(C1049="".."",MID(D1048,1,LEN(D1048)-LEN(REGEXEXTRACT(D1048,""(/\w*)$""))),D1048))"),"//zddrb/zdhcp/mzsfcvgv/zvjv/mgcg/smr")</f>
        <v>//zddrb/zdhcp/mzsfcvgv/zvjv/mgcg/smr</v>
      </c>
      <c r="K1049" s="2"/>
    </row>
    <row r="1050">
      <c r="A1050" s="1" t="s">
        <v>609</v>
      </c>
      <c r="B1050" s="2" t="str">
        <f>IFERROR(__xludf.DUMMYFUNCTION("SPLIT(A1050,"" "")"),"$ls")</f>
        <v>$ls</v>
      </c>
      <c r="D1050" s="2" t="str">
        <f>IFERROR(__xludf.DUMMYFUNCTION("IF(AND(B1050=""$cd"",C1050&lt;&gt;""..""),CONCATENATE(D1049,""/"",C1050),IF(C1050="".."",MID(D1049,1,LEN(D1049)-LEN(REGEXEXTRACT(D1049,""(/\w*)$""))),D1049))"),"//zddrb/zdhcp/mzsfcvgv/zvjv/mgcg/smr")</f>
        <v>//zddrb/zdhcp/mzsfcvgv/zvjv/mgcg/smr</v>
      </c>
      <c r="K1050" s="2"/>
    </row>
    <row r="1051">
      <c r="A1051" s="1" t="s">
        <v>583</v>
      </c>
      <c r="B1051" s="2">
        <f>IFERROR(__xludf.DUMMYFUNCTION("SPLIT(A1051,"" "")"),47204.0)</f>
        <v>47204</v>
      </c>
      <c r="C1051" s="2" t="str">
        <f>IFERROR(__xludf.DUMMYFUNCTION("""COMPUTED_VALUE"""),"zcgrgff.vsl")</f>
        <v>zcgrgff.vsl</v>
      </c>
      <c r="D1051" s="2" t="str">
        <f>IFERROR(__xludf.DUMMYFUNCTION("IF(AND(B1051=""$cd"",C1051&lt;&gt;""..""),CONCATENATE(D1050,""/"",C1051),IF(C1051="".."",MID(D1050,1,LEN(D1050)-LEN(REGEXEXTRACT(D1050,""(/\w*)$""))),D1050))"),"//zddrb/zdhcp/mzsfcvgv/zvjv/mgcg/smr")</f>
        <v>//zddrb/zdhcp/mzsfcvgv/zvjv/mgcg/smr</v>
      </c>
      <c r="K1051" s="2"/>
    </row>
    <row r="1052">
      <c r="A1052" s="1" t="s">
        <v>612</v>
      </c>
      <c r="B1052" s="2" t="str">
        <f>IFERROR(__xludf.DUMMYFUNCTION("SPLIT(A1052,"" "")"),"$cd")</f>
        <v>$cd</v>
      </c>
      <c r="C1052" s="2" t="str">
        <f>IFERROR(__xludf.DUMMYFUNCTION("""COMPUTED_VALUE"""),"..")</f>
        <v>..</v>
      </c>
      <c r="D1052" s="2" t="str">
        <f>IFERROR(__xludf.DUMMYFUNCTION("IF(AND(B1052=""$cd"",C1052&lt;&gt;""..""),CONCATENATE(D1051,""/"",C1052),IF(C1052="".."",MID(D1051,1,LEN(D1051)-LEN(REGEXEXTRACT(D1051,""(/\w*)$""))),D1051))"),"//zddrb/zdhcp/mzsfcvgv/zvjv/mgcg")</f>
        <v>//zddrb/zdhcp/mzsfcvgv/zvjv/mgcg</v>
      </c>
      <c r="K1052" s="2"/>
    </row>
    <row r="1053">
      <c r="A1053" s="1" t="s">
        <v>625</v>
      </c>
      <c r="B1053" s="2" t="str">
        <f>IFERROR(__xludf.DUMMYFUNCTION("SPLIT(A1053,"" "")"),"$cd")</f>
        <v>$cd</v>
      </c>
      <c r="C1053" s="2" t="str">
        <f>IFERROR(__xludf.DUMMYFUNCTION("""COMPUTED_VALUE"""),"zcgrgff")</f>
        <v>zcgrgff</v>
      </c>
      <c r="D1053" s="2" t="str">
        <f>IFERROR(__xludf.DUMMYFUNCTION("IF(AND(B1053=""$cd"",C1053&lt;&gt;""..""),CONCATENATE(D1052,""/"",C1053),IF(C1053="".."",MID(D1052,1,LEN(D1052)-LEN(REGEXEXTRACT(D1052,""(/\w*)$""))),D1052))"),"//zddrb/zdhcp/mzsfcvgv/zvjv/mgcg/zcgrgff")</f>
        <v>//zddrb/zdhcp/mzsfcvgv/zvjv/mgcg/zcgrgff</v>
      </c>
      <c r="K1053" s="2"/>
    </row>
    <row r="1054">
      <c r="A1054" s="1" t="s">
        <v>609</v>
      </c>
      <c r="B1054" s="2" t="str">
        <f>IFERROR(__xludf.DUMMYFUNCTION("SPLIT(A1054,"" "")"),"$ls")</f>
        <v>$ls</v>
      </c>
      <c r="D1054" s="2" t="str">
        <f>IFERROR(__xludf.DUMMYFUNCTION("IF(AND(B1054=""$cd"",C1054&lt;&gt;""..""),CONCATENATE(D1053,""/"",C1054),IF(C1054="".."",MID(D1053,1,LEN(D1053)-LEN(REGEXEXTRACT(D1053,""(/\w*)$""))),D1053))"),"//zddrb/zdhcp/mzsfcvgv/zvjv/mgcg/zcgrgff")</f>
        <v>//zddrb/zdhcp/mzsfcvgv/zvjv/mgcg/zcgrgff</v>
      </c>
      <c r="K1054" s="2"/>
    </row>
    <row r="1055">
      <c r="A1055" s="1" t="s">
        <v>584</v>
      </c>
      <c r="B1055" s="2">
        <f>IFERROR(__xludf.DUMMYFUNCTION("SPLIT(A1055,"" "")"),317050.0)</f>
        <v>317050</v>
      </c>
      <c r="C1055" s="2" t="str">
        <f>IFERROR(__xludf.DUMMYFUNCTION("""COMPUTED_VALUE"""),"hjtfb")</f>
        <v>hjtfb</v>
      </c>
      <c r="D1055" s="2" t="str">
        <f>IFERROR(__xludf.DUMMYFUNCTION("IF(AND(B1055=""$cd"",C1055&lt;&gt;""..""),CONCATENATE(D1054,""/"",C1055),IF(C1055="".."",MID(D1054,1,LEN(D1054)-LEN(REGEXEXTRACT(D1054,""(/\w*)$""))),D1054))"),"//zddrb/zdhcp/mzsfcvgv/zvjv/mgcg/zcgrgff")</f>
        <v>//zddrb/zdhcp/mzsfcvgv/zvjv/mgcg/zcgrgff</v>
      </c>
      <c r="K1055" s="2"/>
    </row>
    <row r="1056">
      <c r="A1056" s="1" t="s">
        <v>585</v>
      </c>
      <c r="B1056" s="2">
        <f>IFERROR(__xludf.DUMMYFUNCTION("SPLIT(A1056,"" "")"),110272.0)</f>
        <v>110272</v>
      </c>
      <c r="C1056" s="2" t="str">
        <f>IFERROR(__xludf.DUMMYFUNCTION("""COMPUTED_VALUE"""),"jrbcbvjw")</f>
        <v>jrbcbvjw</v>
      </c>
      <c r="D1056" s="2" t="str">
        <f>IFERROR(__xludf.DUMMYFUNCTION("IF(AND(B1056=""$cd"",C1056&lt;&gt;""..""),CONCATENATE(D1055,""/"",C1056),IF(C1056="".."",MID(D1055,1,LEN(D1055)-LEN(REGEXEXTRACT(D1055,""(/\w*)$""))),D1055))"),"//zddrb/zdhcp/mzsfcvgv/zvjv/mgcg/zcgrgff")</f>
        <v>//zddrb/zdhcp/mzsfcvgv/zvjv/mgcg/zcgrgff</v>
      </c>
      <c r="K1056" s="2"/>
    </row>
    <row r="1057">
      <c r="A1057" s="1" t="s">
        <v>586</v>
      </c>
      <c r="B1057" s="2">
        <f>IFERROR(__xludf.DUMMYFUNCTION("SPLIT(A1057,"" "")"),290867.0)</f>
        <v>290867</v>
      </c>
      <c r="C1057" s="2" t="str">
        <f>IFERROR(__xludf.DUMMYFUNCTION("""COMPUTED_VALUE"""),"ltfj.dvl")</f>
        <v>ltfj.dvl</v>
      </c>
      <c r="D1057" s="2" t="str">
        <f>IFERROR(__xludf.DUMMYFUNCTION("IF(AND(B1057=""$cd"",C1057&lt;&gt;""..""),CONCATENATE(D1056,""/"",C1057),IF(C1057="".."",MID(D1056,1,LEN(D1056)-LEN(REGEXEXTRACT(D1056,""(/\w*)$""))),D1056))"),"//zddrb/zdhcp/mzsfcvgv/zvjv/mgcg/zcgrgff")</f>
        <v>//zddrb/zdhcp/mzsfcvgv/zvjv/mgcg/zcgrgff</v>
      </c>
      <c r="K1057" s="2"/>
    </row>
    <row r="1058">
      <c r="A1058" s="1" t="s">
        <v>128</v>
      </c>
      <c r="B1058" s="2" t="str">
        <f>IFERROR(__xludf.DUMMYFUNCTION("SPLIT(A1058,"" "")"),"dir")</f>
        <v>dir</v>
      </c>
      <c r="C1058" s="2" t="str">
        <f>IFERROR(__xludf.DUMMYFUNCTION("""COMPUTED_VALUE"""),"mzsfcvgv")</f>
        <v>mzsfcvgv</v>
      </c>
      <c r="D1058" s="2" t="str">
        <f>IFERROR(__xludf.DUMMYFUNCTION("IF(AND(B1058=""$cd"",C1058&lt;&gt;""..""),CONCATENATE(D1057,""/"",C1058),IF(C1058="".."",MID(D1057,1,LEN(D1057)-LEN(REGEXEXTRACT(D1057,""(/\w*)$""))),D1057))"),"//zddrb/zdhcp/mzsfcvgv/zvjv/mgcg/zcgrgff")</f>
        <v>//zddrb/zdhcp/mzsfcvgv/zvjv/mgcg/zcgrgff</v>
      </c>
      <c r="K1058" s="2"/>
    </row>
    <row r="1059">
      <c r="A1059" s="1" t="s">
        <v>587</v>
      </c>
      <c r="B1059" s="2">
        <f>IFERROR(__xludf.DUMMYFUNCTION("SPLIT(A1059,"" "")"),130694.0)</f>
        <v>130694</v>
      </c>
      <c r="C1059" s="2" t="str">
        <f>IFERROR(__xludf.DUMMYFUNCTION("""COMPUTED_VALUE"""),"wnc.rnr")</f>
        <v>wnc.rnr</v>
      </c>
      <c r="D1059" s="2" t="str">
        <f>IFERROR(__xludf.DUMMYFUNCTION("IF(AND(B1059=""$cd"",C1059&lt;&gt;""..""),CONCATENATE(D1058,""/"",C1059),IF(C1059="".."",MID(D1058,1,LEN(D1058)-LEN(REGEXEXTRACT(D1058,""(/\w*)$""))),D1058))"),"//zddrb/zdhcp/mzsfcvgv/zvjv/mgcg/zcgrgff")</f>
        <v>//zddrb/zdhcp/mzsfcvgv/zvjv/mgcg/zcgrgff</v>
      </c>
      <c r="K1059" s="2"/>
    </row>
    <row r="1060">
      <c r="A1060" s="1" t="s">
        <v>588</v>
      </c>
      <c r="B1060" s="2">
        <f>IFERROR(__xludf.DUMMYFUNCTION("SPLIT(A1060,"" "")"),206448.0)</f>
        <v>206448</v>
      </c>
      <c r="C1060" s="2" t="str">
        <f>IFERROR(__xludf.DUMMYFUNCTION("""COMPUTED_VALUE"""),"zbdp.gqb")</f>
        <v>zbdp.gqb</v>
      </c>
      <c r="D1060" s="2" t="str">
        <f>IFERROR(__xludf.DUMMYFUNCTION("IF(AND(B1060=""$cd"",C1060&lt;&gt;""..""),CONCATENATE(D1059,""/"",C1060),IF(C1060="".."",MID(D1059,1,LEN(D1059)-LEN(REGEXEXTRACT(D1059,""(/\w*)$""))),D1059))"),"//zddrb/zdhcp/mzsfcvgv/zvjv/mgcg/zcgrgff")</f>
        <v>//zddrb/zdhcp/mzsfcvgv/zvjv/mgcg/zcgrgff</v>
      </c>
      <c r="K1060" s="2"/>
    </row>
    <row r="1061">
      <c r="A1061" s="1" t="s">
        <v>643</v>
      </c>
      <c r="B1061" s="2" t="str">
        <f>IFERROR(__xludf.DUMMYFUNCTION("SPLIT(A1061,"" "")"),"$cd")</f>
        <v>$cd</v>
      </c>
      <c r="C1061" s="2" t="str">
        <f>IFERROR(__xludf.DUMMYFUNCTION("""COMPUTED_VALUE"""),"mzsfcvgv")</f>
        <v>mzsfcvgv</v>
      </c>
      <c r="D1061" s="2" t="str">
        <f>IFERROR(__xludf.DUMMYFUNCTION("IF(AND(B1061=""$cd"",C1061&lt;&gt;""..""),CONCATENATE(D1060,""/"",C1061),IF(C1061="".."",MID(D1060,1,LEN(D1060)-LEN(REGEXEXTRACT(D1060,""(/\w*)$""))),D1060))"),"//zddrb/zdhcp/mzsfcvgv/zvjv/mgcg/zcgrgff/mzsfcvgv")</f>
        <v>//zddrb/zdhcp/mzsfcvgv/zvjv/mgcg/zcgrgff/mzsfcvgv</v>
      </c>
      <c r="K1061" s="2"/>
    </row>
    <row r="1062">
      <c r="A1062" s="1" t="s">
        <v>609</v>
      </c>
      <c r="B1062" s="2" t="str">
        <f>IFERROR(__xludf.DUMMYFUNCTION("SPLIT(A1062,"" "")"),"$ls")</f>
        <v>$ls</v>
      </c>
      <c r="D1062" s="2" t="str">
        <f>IFERROR(__xludf.DUMMYFUNCTION("IF(AND(B1062=""$cd"",C1062&lt;&gt;""..""),CONCATENATE(D1061,""/"",C1062),IF(C1062="".."",MID(D1061,1,LEN(D1061)-LEN(REGEXEXTRACT(D1061,""(/\w*)$""))),D1061))"),"//zddrb/zdhcp/mzsfcvgv/zvjv/mgcg/zcgrgff/mzsfcvgv")</f>
        <v>//zddrb/zdhcp/mzsfcvgv/zvjv/mgcg/zcgrgff/mzsfcvgv</v>
      </c>
      <c r="K1062" s="2"/>
    </row>
    <row r="1063">
      <c r="A1063" s="1" t="s">
        <v>4</v>
      </c>
      <c r="B1063" s="2" t="str">
        <f>IFERROR(__xludf.DUMMYFUNCTION("SPLIT(A1063,"" "")"),"dir")</f>
        <v>dir</v>
      </c>
      <c r="C1063" s="2" t="str">
        <f>IFERROR(__xludf.DUMMYFUNCTION("""COMPUTED_VALUE"""),"jnwr")</f>
        <v>jnwr</v>
      </c>
      <c r="D1063" s="2" t="str">
        <f>IFERROR(__xludf.DUMMYFUNCTION("IF(AND(B1063=""$cd"",C1063&lt;&gt;""..""),CONCATENATE(D1062,""/"",C1063),IF(C1063="".."",MID(D1062,1,LEN(D1062)-LEN(REGEXEXTRACT(D1062,""(/\w*)$""))),D1062))"),"//zddrb/zdhcp/mzsfcvgv/zvjv/mgcg/zcgrgff/mzsfcvgv")</f>
        <v>//zddrb/zdhcp/mzsfcvgv/zvjv/mgcg/zcgrgff/mzsfcvgv</v>
      </c>
      <c r="K1063" s="2"/>
    </row>
    <row r="1064">
      <c r="A1064" s="1" t="s">
        <v>614</v>
      </c>
      <c r="B1064" s="2" t="str">
        <f>IFERROR(__xludf.DUMMYFUNCTION("SPLIT(A1064,"" "")"),"$cd")</f>
        <v>$cd</v>
      </c>
      <c r="C1064" s="2" t="str">
        <f>IFERROR(__xludf.DUMMYFUNCTION("""COMPUTED_VALUE"""),"jnwr")</f>
        <v>jnwr</v>
      </c>
      <c r="D1064" s="2" t="str">
        <f>IFERROR(__xludf.DUMMYFUNCTION("IF(AND(B1064=""$cd"",C1064&lt;&gt;""..""),CONCATENATE(D1063,""/"",C1064),IF(C1064="".."",MID(D1063,1,LEN(D1063)-LEN(REGEXEXTRACT(D1063,""(/\w*)$""))),D1063))"),"//zddrb/zdhcp/mzsfcvgv/zvjv/mgcg/zcgrgff/mzsfcvgv/jnwr")</f>
        <v>//zddrb/zdhcp/mzsfcvgv/zvjv/mgcg/zcgrgff/mzsfcvgv/jnwr</v>
      </c>
      <c r="K1064" s="2"/>
    </row>
    <row r="1065">
      <c r="A1065" s="1" t="s">
        <v>609</v>
      </c>
      <c r="B1065" s="2" t="str">
        <f>IFERROR(__xludf.DUMMYFUNCTION("SPLIT(A1065,"" "")"),"$ls")</f>
        <v>$ls</v>
      </c>
      <c r="D1065" s="2" t="str">
        <f>IFERROR(__xludf.DUMMYFUNCTION("IF(AND(B1065=""$cd"",C1065&lt;&gt;""..""),CONCATENATE(D1064,""/"",C1065),IF(C1065="".."",MID(D1064,1,LEN(D1064)-LEN(REGEXEXTRACT(D1064,""(/\w*)$""))),D1064))"),"//zddrb/zdhcp/mzsfcvgv/zvjv/mgcg/zcgrgff/mzsfcvgv/jnwr")</f>
        <v>//zddrb/zdhcp/mzsfcvgv/zvjv/mgcg/zcgrgff/mzsfcvgv/jnwr</v>
      </c>
      <c r="K1065" s="2"/>
    </row>
    <row r="1066">
      <c r="A1066" s="1" t="s">
        <v>589</v>
      </c>
      <c r="B1066" s="2">
        <f>IFERROR(__xludf.DUMMYFUNCTION("SPLIT(A1066,"" "")"),20405.0)</f>
        <v>20405</v>
      </c>
      <c r="C1066" s="2" t="str">
        <f>IFERROR(__xludf.DUMMYFUNCTION("""COMPUTED_VALUE"""),"bjpvssjt")</f>
        <v>bjpvssjt</v>
      </c>
      <c r="D1066" s="2" t="str">
        <f>IFERROR(__xludf.DUMMYFUNCTION("IF(AND(B1066=""$cd"",C1066&lt;&gt;""..""),CONCATENATE(D1065,""/"",C1066),IF(C1066="".."",MID(D1065,1,LEN(D1065)-LEN(REGEXEXTRACT(D1065,""(/\w*)$""))),D1065))"),"//zddrb/zdhcp/mzsfcvgv/zvjv/mgcg/zcgrgff/mzsfcvgv/jnwr")</f>
        <v>//zddrb/zdhcp/mzsfcvgv/zvjv/mgcg/zcgrgff/mzsfcvgv/jnwr</v>
      </c>
      <c r="K1066" s="2"/>
    </row>
    <row r="1067">
      <c r="A1067" s="1" t="s">
        <v>612</v>
      </c>
      <c r="B1067" s="2" t="str">
        <f>IFERROR(__xludf.DUMMYFUNCTION("SPLIT(A1067,"" "")"),"$cd")</f>
        <v>$cd</v>
      </c>
      <c r="C1067" s="2" t="str">
        <f>IFERROR(__xludf.DUMMYFUNCTION("""COMPUTED_VALUE"""),"..")</f>
        <v>..</v>
      </c>
      <c r="D1067" s="2" t="str">
        <f>IFERROR(__xludf.DUMMYFUNCTION("IF(AND(B1067=""$cd"",C1067&lt;&gt;""..""),CONCATENATE(D1066,""/"",C1067),IF(C1067="".."",MID(D1066,1,LEN(D1066)-LEN(REGEXEXTRACT(D1066,""(/\w*)$""))),D1066))"),"//zddrb/zdhcp/mzsfcvgv/zvjv/mgcg/zcgrgff/mzsfcvgv")</f>
        <v>//zddrb/zdhcp/mzsfcvgv/zvjv/mgcg/zcgrgff/mzsfcvgv</v>
      </c>
      <c r="K1067" s="2"/>
    </row>
    <row r="1068">
      <c r="A1068" s="1" t="s">
        <v>612</v>
      </c>
      <c r="B1068" s="2" t="str">
        <f>IFERROR(__xludf.DUMMYFUNCTION("SPLIT(A1068,"" "")"),"$cd")</f>
        <v>$cd</v>
      </c>
      <c r="C1068" s="2" t="str">
        <f>IFERROR(__xludf.DUMMYFUNCTION("""COMPUTED_VALUE"""),"..")</f>
        <v>..</v>
      </c>
      <c r="D1068" s="2" t="str">
        <f>IFERROR(__xludf.DUMMYFUNCTION("IF(AND(B1068=""$cd"",C1068&lt;&gt;""..""),CONCATENATE(D1067,""/"",C1068),IF(C1068="".."",MID(D1067,1,LEN(D1067)-LEN(REGEXEXTRACT(D1067,""(/\w*)$""))),D1067))"),"//zddrb/zdhcp/mzsfcvgv/zvjv/mgcg/zcgrgff")</f>
        <v>//zddrb/zdhcp/mzsfcvgv/zvjv/mgcg/zcgrgff</v>
      </c>
      <c r="K1068" s="2"/>
    </row>
    <row r="1069">
      <c r="A1069" s="1" t="s">
        <v>612</v>
      </c>
      <c r="B1069" s="2" t="str">
        <f>IFERROR(__xludf.DUMMYFUNCTION("SPLIT(A1069,"" "")"),"$cd")</f>
        <v>$cd</v>
      </c>
      <c r="C1069" s="2" t="str">
        <f>IFERROR(__xludf.DUMMYFUNCTION("""COMPUTED_VALUE"""),"..")</f>
        <v>..</v>
      </c>
      <c r="D1069" s="2" t="str">
        <f>IFERROR(__xludf.DUMMYFUNCTION("IF(AND(B1069=""$cd"",C1069&lt;&gt;""..""),CONCATENATE(D1068,""/"",C1069),IF(C1069="".."",MID(D1068,1,LEN(D1068)-LEN(REGEXEXTRACT(D1068,""(/\w*)$""))),D1068))"),"//zddrb/zdhcp/mzsfcvgv/zvjv/mgcg")</f>
        <v>//zddrb/zdhcp/mzsfcvgv/zvjv/mgcg</v>
      </c>
      <c r="K1069" s="2"/>
    </row>
    <row r="1070">
      <c r="A1070" s="1" t="s">
        <v>612</v>
      </c>
      <c r="B1070" s="2" t="str">
        <f>IFERROR(__xludf.DUMMYFUNCTION("SPLIT(A1070,"" "")"),"$cd")</f>
        <v>$cd</v>
      </c>
      <c r="C1070" s="2" t="str">
        <f>IFERROR(__xludf.DUMMYFUNCTION("""COMPUTED_VALUE"""),"..")</f>
        <v>..</v>
      </c>
      <c r="D1070" s="2" t="str">
        <f>IFERROR(__xludf.DUMMYFUNCTION("IF(AND(B1070=""$cd"",C1070&lt;&gt;""..""),CONCATENATE(D1069,""/"",C1070),IF(C1070="".."",MID(D1069,1,LEN(D1069)-LEN(REGEXEXTRACT(D1069,""(/\w*)$""))),D1069))"),"//zddrb/zdhcp/mzsfcvgv/zvjv")</f>
        <v>//zddrb/zdhcp/mzsfcvgv/zvjv</v>
      </c>
      <c r="K1070" s="2"/>
    </row>
    <row r="1071">
      <c r="A1071" s="1" t="s">
        <v>759</v>
      </c>
      <c r="B1071" s="2" t="str">
        <f>IFERROR(__xludf.DUMMYFUNCTION("SPLIT(A1071,"" "")"),"$cd")</f>
        <v>$cd</v>
      </c>
      <c r="C1071" s="2" t="str">
        <f>IFERROR(__xludf.DUMMYFUNCTION("""COMPUTED_VALUE"""),"nwl")</f>
        <v>nwl</v>
      </c>
      <c r="D1071" s="2" t="str">
        <f>IFERROR(__xludf.DUMMYFUNCTION("IF(AND(B1071=""$cd"",C1071&lt;&gt;""..""),CONCATENATE(D1070,""/"",C1071),IF(C1071="".."",MID(D1070,1,LEN(D1070)-LEN(REGEXEXTRACT(D1070,""(/\w*)$""))),D1070))"),"//zddrb/zdhcp/mzsfcvgv/zvjv/nwl")</f>
        <v>//zddrb/zdhcp/mzsfcvgv/zvjv/nwl</v>
      </c>
      <c r="K1071" s="2"/>
    </row>
    <row r="1072">
      <c r="A1072" s="1" t="s">
        <v>609</v>
      </c>
      <c r="B1072" s="2" t="str">
        <f>IFERROR(__xludf.DUMMYFUNCTION("SPLIT(A1072,"" "")"),"$ls")</f>
        <v>$ls</v>
      </c>
      <c r="D1072" s="2" t="str">
        <f>IFERROR(__xludf.DUMMYFUNCTION("IF(AND(B1072=""$cd"",C1072&lt;&gt;""..""),CONCATENATE(D1071,""/"",C1072),IF(C1072="".."",MID(D1071,1,LEN(D1071)-LEN(REGEXEXTRACT(D1071,""(/\w*)$""))),D1071))"),"//zddrb/zdhcp/mzsfcvgv/zvjv/nwl")</f>
        <v>//zddrb/zdhcp/mzsfcvgv/zvjv/nwl</v>
      </c>
      <c r="K1072" s="2"/>
    </row>
    <row r="1073">
      <c r="A1073" s="1" t="s">
        <v>591</v>
      </c>
      <c r="B1073" s="2">
        <f>IFERROR(__xludf.DUMMYFUNCTION("SPLIT(A1073,"" "")"),254439.0)</f>
        <v>254439</v>
      </c>
      <c r="C1073" s="2" t="str">
        <f>IFERROR(__xludf.DUMMYFUNCTION("""COMPUTED_VALUE"""),"dlv")</f>
        <v>dlv</v>
      </c>
      <c r="D1073" s="2" t="str">
        <f>IFERROR(__xludf.DUMMYFUNCTION("IF(AND(B1073=""$cd"",C1073&lt;&gt;""..""),CONCATENATE(D1072,""/"",C1073),IF(C1073="".."",MID(D1072,1,LEN(D1072)-LEN(REGEXEXTRACT(D1072,""(/\w*)$""))),D1072))"),"//zddrb/zdhcp/mzsfcvgv/zvjv/nwl")</f>
        <v>//zddrb/zdhcp/mzsfcvgv/zvjv/nwl</v>
      </c>
      <c r="K1073" s="2"/>
    </row>
    <row r="1074">
      <c r="A1074" s="1" t="s">
        <v>592</v>
      </c>
      <c r="B1074" s="2">
        <f>IFERROR(__xludf.DUMMYFUNCTION("SPLIT(A1074,"" "")"),193910.0)</f>
        <v>193910</v>
      </c>
      <c r="C1074" s="2" t="str">
        <f>IFERROR(__xludf.DUMMYFUNCTION("""COMPUTED_VALUE"""),"hlvpfw")</f>
        <v>hlvpfw</v>
      </c>
      <c r="D1074" s="2" t="str">
        <f>IFERROR(__xludf.DUMMYFUNCTION("IF(AND(B1074=""$cd"",C1074&lt;&gt;""..""),CONCATENATE(D1073,""/"",C1074),IF(C1074="".."",MID(D1073,1,LEN(D1073)-LEN(REGEXEXTRACT(D1073,""(/\w*)$""))),D1073))"),"//zddrb/zdhcp/mzsfcvgv/zvjv/nwl")</f>
        <v>//zddrb/zdhcp/mzsfcvgv/zvjv/nwl</v>
      </c>
      <c r="K1074" s="2"/>
    </row>
    <row r="1075">
      <c r="A1075" s="1" t="s">
        <v>593</v>
      </c>
      <c r="B1075" s="2">
        <f>IFERROR(__xludf.DUMMYFUNCTION("SPLIT(A1075,"" "")"),13603.0)</f>
        <v>13603</v>
      </c>
      <c r="C1075" s="2" t="str">
        <f>IFERROR(__xludf.DUMMYFUNCTION("""COMPUTED_VALUE"""),"hnsdntn.trz")</f>
        <v>hnsdntn.trz</v>
      </c>
      <c r="D1075" s="2" t="str">
        <f>IFERROR(__xludf.DUMMYFUNCTION("IF(AND(B1075=""$cd"",C1075&lt;&gt;""..""),CONCATENATE(D1074,""/"",C1075),IF(C1075="".."",MID(D1074,1,LEN(D1074)-LEN(REGEXEXTRACT(D1074,""(/\w*)$""))),D1074))"),"//zddrb/zdhcp/mzsfcvgv/zvjv/nwl")</f>
        <v>//zddrb/zdhcp/mzsfcvgv/zvjv/nwl</v>
      </c>
      <c r="K1075" s="2"/>
    </row>
    <row r="1076">
      <c r="A1076" s="1" t="s">
        <v>594</v>
      </c>
      <c r="B1076" s="2">
        <f>IFERROR(__xludf.DUMMYFUNCTION("SPLIT(A1076,"" "")"),2990.0)</f>
        <v>2990</v>
      </c>
      <c r="C1076" s="2" t="str">
        <f>IFERROR(__xludf.DUMMYFUNCTION("""COMPUTED_VALUE"""),"mpq.cdn")</f>
        <v>mpq.cdn</v>
      </c>
      <c r="D1076" s="2" t="str">
        <f>IFERROR(__xludf.DUMMYFUNCTION("IF(AND(B1076=""$cd"",C1076&lt;&gt;""..""),CONCATENATE(D1075,""/"",C1076),IF(C1076="".."",MID(D1075,1,LEN(D1075)-LEN(REGEXEXTRACT(D1075,""(/\w*)$""))),D1075))"),"//zddrb/zdhcp/mzsfcvgv/zvjv/nwl")</f>
        <v>//zddrb/zdhcp/mzsfcvgv/zvjv/nwl</v>
      </c>
      <c r="K1076" s="2"/>
    </row>
    <row r="1077">
      <c r="A1077" s="1" t="s">
        <v>612</v>
      </c>
      <c r="B1077" s="2" t="str">
        <f>IFERROR(__xludf.DUMMYFUNCTION("SPLIT(A1077,"" "")"),"$cd")</f>
        <v>$cd</v>
      </c>
      <c r="C1077" s="2" t="str">
        <f>IFERROR(__xludf.DUMMYFUNCTION("""COMPUTED_VALUE"""),"..")</f>
        <v>..</v>
      </c>
      <c r="D1077" s="2" t="str">
        <f>IFERROR(__xludf.DUMMYFUNCTION("IF(AND(B1077=""$cd"",C1077&lt;&gt;""..""),CONCATENATE(D1076,""/"",C1077),IF(C1077="".."",MID(D1076,1,LEN(D1076)-LEN(REGEXEXTRACT(D1076,""(/\w*)$""))),D1076))"),"//zddrb/zdhcp/mzsfcvgv/zvjv")</f>
        <v>//zddrb/zdhcp/mzsfcvgv/zvjv</v>
      </c>
      <c r="K1077" s="2"/>
    </row>
    <row r="1078">
      <c r="A1078" s="1" t="s">
        <v>760</v>
      </c>
      <c r="B1078" s="2" t="str">
        <f>IFERROR(__xludf.DUMMYFUNCTION("SPLIT(A1078,"" "")"),"$cd")</f>
        <v>$cd</v>
      </c>
      <c r="C1078" s="2" t="str">
        <f>IFERROR(__xludf.DUMMYFUNCTION("""COMPUTED_VALUE"""),"rqznjmt")</f>
        <v>rqznjmt</v>
      </c>
      <c r="D1078" s="2" t="str">
        <f>IFERROR(__xludf.DUMMYFUNCTION("IF(AND(B1078=""$cd"",C1078&lt;&gt;""..""),CONCATENATE(D1077,""/"",C1078),IF(C1078="".."",MID(D1077,1,LEN(D1077)-LEN(REGEXEXTRACT(D1077,""(/\w*)$""))),D1077))"),"//zddrb/zdhcp/mzsfcvgv/zvjv/rqznjmt")</f>
        <v>//zddrb/zdhcp/mzsfcvgv/zvjv/rqznjmt</v>
      </c>
      <c r="K1078" s="2"/>
    </row>
    <row r="1079">
      <c r="A1079" s="1" t="s">
        <v>609</v>
      </c>
      <c r="B1079" s="2" t="str">
        <f>IFERROR(__xludf.DUMMYFUNCTION("SPLIT(A1079,"" "")"),"$ls")</f>
        <v>$ls</v>
      </c>
      <c r="D1079" s="2" t="str">
        <f>IFERROR(__xludf.DUMMYFUNCTION("IF(AND(B1079=""$cd"",C1079&lt;&gt;""..""),CONCATENATE(D1078,""/"",C1079),IF(C1079="".."",MID(D1078,1,LEN(D1078)-LEN(REGEXEXTRACT(D1078,""(/\w*)$""))),D1078))"),"//zddrb/zdhcp/mzsfcvgv/zvjv/rqznjmt")</f>
        <v>//zddrb/zdhcp/mzsfcvgv/zvjv/rqznjmt</v>
      </c>
      <c r="K1079" s="2"/>
    </row>
    <row r="1080">
      <c r="A1080" s="1" t="s">
        <v>596</v>
      </c>
      <c r="B1080" s="2">
        <f>IFERROR(__xludf.DUMMYFUNCTION("SPLIT(A1080,"" "")"),250114.0)</f>
        <v>250114</v>
      </c>
      <c r="C1080" s="2" t="str">
        <f>IFERROR(__xludf.DUMMYFUNCTION("""COMPUTED_VALUE"""),"hlvpfw")</f>
        <v>hlvpfw</v>
      </c>
      <c r="D1080" s="2" t="str">
        <f>IFERROR(__xludf.DUMMYFUNCTION("IF(AND(B1080=""$cd"",C1080&lt;&gt;""..""),CONCATENATE(D1079,""/"",C1080),IF(C1080="".."",MID(D1079,1,LEN(D1079)-LEN(REGEXEXTRACT(D1079,""(/\w*)$""))),D1079))"),"//zddrb/zdhcp/mzsfcvgv/zvjv/rqznjmt")</f>
        <v>//zddrb/zdhcp/mzsfcvgv/zvjv/rqznjmt</v>
      </c>
      <c r="K1080" s="2"/>
    </row>
    <row r="1081">
      <c r="A1081" s="1" t="s">
        <v>597</v>
      </c>
      <c r="B1081" s="2">
        <f>IFERROR(__xludf.DUMMYFUNCTION("SPLIT(A1081,"" "")"),189732.0)</f>
        <v>189732</v>
      </c>
      <c r="C1081" s="2" t="str">
        <f>IFERROR(__xludf.DUMMYFUNCTION("""COMPUTED_VALUE"""),"mzsfcvgv.vqv")</f>
        <v>mzsfcvgv.vqv</v>
      </c>
      <c r="D1081" s="2" t="str">
        <f>IFERROR(__xludf.DUMMYFUNCTION("IF(AND(B1081=""$cd"",C1081&lt;&gt;""..""),CONCATENATE(D1080,""/"",C1081),IF(C1081="".."",MID(D1080,1,LEN(D1080)-LEN(REGEXEXTRACT(D1080,""(/\w*)$""))),D1080))"),"//zddrb/zdhcp/mzsfcvgv/zvjv/rqznjmt")</f>
        <v>//zddrb/zdhcp/mzsfcvgv/zvjv/rqznjmt</v>
      </c>
      <c r="K1081" s="2"/>
    </row>
    <row r="1082">
      <c r="A1082" s="1" t="s">
        <v>598</v>
      </c>
      <c r="B1082" s="2">
        <f>IFERROR(__xludf.DUMMYFUNCTION("SPLIT(A1082,"" "")"),144688.0)</f>
        <v>144688</v>
      </c>
      <c r="C1082" s="2" t="str">
        <f>IFERROR(__xludf.DUMMYFUNCTION("""COMPUTED_VALUE"""),"zcgrgff")</f>
        <v>zcgrgff</v>
      </c>
      <c r="D1082" s="2" t="str">
        <f>IFERROR(__xludf.DUMMYFUNCTION("IF(AND(B1082=""$cd"",C1082&lt;&gt;""..""),CONCATENATE(D1081,""/"",C1082),IF(C1082="".."",MID(D1081,1,LEN(D1081)-LEN(REGEXEXTRACT(D1081,""(/\w*)$""))),D1081))"),"//zddrb/zdhcp/mzsfcvgv/zvjv/rqznjmt")</f>
        <v>//zddrb/zdhcp/mzsfcvgv/zvjv/rqznjmt</v>
      </c>
      <c r="K1082" s="2"/>
    </row>
    <row r="1083">
      <c r="A1083" s="1" t="s">
        <v>612</v>
      </c>
      <c r="B1083" s="2" t="str">
        <f>IFERROR(__xludf.DUMMYFUNCTION("SPLIT(A1083,"" "")"),"$cd")</f>
        <v>$cd</v>
      </c>
      <c r="C1083" s="2" t="str">
        <f>IFERROR(__xludf.DUMMYFUNCTION("""COMPUTED_VALUE"""),"..")</f>
        <v>..</v>
      </c>
      <c r="D1083" s="2" t="str">
        <f>IFERROR(__xludf.DUMMYFUNCTION("IF(AND(B1083=""$cd"",C1083&lt;&gt;""..""),CONCATENATE(D1082,""/"",C1083),IF(C1083="".."",MID(D1082,1,LEN(D1082)-LEN(REGEXEXTRACT(D1082,""(/\w*)$""))),D1082))"),"//zddrb/zdhcp/mzsfcvgv/zvjv")</f>
        <v>//zddrb/zdhcp/mzsfcvgv/zvjv</v>
      </c>
      <c r="K1083" s="2"/>
    </row>
    <row r="1084">
      <c r="A1084" s="1" t="s">
        <v>612</v>
      </c>
      <c r="B1084" s="2" t="str">
        <f>IFERROR(__xludf.DUMMYFUNCTION("SPLIT(A1084,"" "")"),"$cd")</f>
        <v>$cd</v>
      </c>
      <c r="C1084" s="2" t="str">
        <f>IFERROR(__xludf.DUMMYFUNCTION("""COMPUTED_VALUE"""),"..")</f>
        <v>..</v>
      </c>
      <c r="D1084" s="2" t="str">
        <f>IFERROR(__xludf.DUMMYFUNCTION("IF(AND(B1084=""$cd"",C1084&lt;&gt;""..""),CONCATENATE(D1083,""/"",C1084),IF(C1084="".."",MID(D1083,1,LEN(D1083)-LEN(REGEXEXTRACT(D1083,""(/\w*)$""))),D1083))"),"//zddrb/zdhcp/mzsfcvgv")</f>
        <v>//zddrb/zdhcp/mzsfcvgv</v>
      </c>
      <c r="K1084" s="2"/>
    </row>
    <row r="1085">
      <c r="A1085" s="1" t="s">
        <v>612</v>
      </c>
      <c r="B1085" s="2" t="str">
        <f>IFERROR(__xludf.DUMMYFUNCTION("SPLIT(A1085,"" "")"),"$cd")</f>
        <v>$cd</v>
      </c>
      <c r="C1085" s="2" t="str">
        <f>IFERROR(__xludf.DUMMYFUNCTION("""COMPUTED_VALUE"""),"..")</f>
        <v>..</v>
      </c>
      <c r="D1085" s="2" t="str">
        <f>IFERROR(__xludf.DUMMYFUNCTION("IF(AND(B1085=""$cd"",C1085&lt;&gt;""..""),CONCATENATE(D1084,""/"",C1085),IF(C1085="".."",MID(D1084,1,LEN(D1084)-LEN(REGEXEXTRACT(D1084,""(/\w*)$""))),D1084))"),"//zddrb/zdhcp")</f>
        <v>//zddrb/zdhcp</v>
      </c>
      <c r="K1085" s="2"/>
    </row>
    <row r="1086">
      <c r="A1086" s="1" t="s">
        <v>761</v>
      </c>
      <c r="B1086" s="2" t="str">
        <f>IFERROR(__xludf.DUMMYFUNCTION("SPLIT(A1086,"" "")"),"$cd")</f>
        <v>$cd</v>
      </c>
      <c r="C1086" s="2" t="str">
        <f>IFERROR(__xludf.DUMMYFUNCTION("""COMPUTED_VALUE"""),"zdsvth")</f>
        <v>zdsvth</v>
      </c>
      <c r="D1086" s="2" t="str">
        <f>IFERROR(__xludf.DUMMYFUNCTION("IF(AND(B1086=""$cd"",C1086&lt;&gt;""..""),CONCATENATE(D1085,""/"",C1086),IF(C1086="".."",MID(D1085,1,LEN(D1085)-LEN(REGEXEXTRACT(D1085,""(/\w*)$""))),D1085))"),"//zddrb/zdhcp/zdsvth")</f>
        <v>//zddrb/zdhcp/zdsvth</v>
      </c>
      <c r="K1086" s="2"/>
    </row>
    <row r="1087">
      <c r="A1087" s="1" t="s">
        <v>609</v>
      </c>
      <c r="B1087" s="2" t="str">
        <f>IFERROR(__xludf.DUMMYFUNCTION("SPLIT(A1087,"" "")"),"$ls")</f>
        <v>$ls</v>
      </c>
      <c r="D1087" s="2" t="str">
        <f>IFERROR(__xludf.DUMMYFUNCTION("IF(AND(B1087=""$cd"",C1087&lt;&gt;""..""),CONCATENATE(D1086,""/"",C1087),IF(C1087="".."",MID(D1086,1,LEN(D1086)-LEN(REGEXEXTRACT(D1086,""(/\w*)$""))),D1086))"),"//zddrb/zdhcp/zdsvth")</f>
        <v>//zddrb/zdhcp/zdsvth</v>
      </c>
      <c r="K1087" s="2"/>
    </row>
    <row r="1088">
      <c r="A1088" s="1" t="s">
        <v>600</v>
      </c>
      <c r="B1088" s="2">
        <f>IFERROR(__xludf.DUMMYFUNCTION("SPLIT(A1088,"" "")"),150609.0)</f>
        <v>150609</v>
      </c>
      <c r="C1088" s="2" t="str">
        <f>IFERROR(__xludf.DUMMYFUNCTION("""COMPUTED_VALUE"""),"jnwr.rtr")</f>
        <v>jnwr.rtr</v>
      </c>
      <c r="D1088" s="2" t="str">
        <f>IFERROR(__xludf.DUMMYFUNCTION("IF(AND(B1088=""$cd"",C1088&lt;&gt;""..""),CONCATENATE(D1087,""/"",C1088),IF(C1088="".."",MID(D1087,1,LEN(D1087)-LEN(REGEXEXTRACT(D1087,""(/\w*)$""))),D1087))"),"//zddrb/zdhcp/zdsvth")</f>
        <v>//zddrb/zdhcp/zdsvth</v>
      </c>
      <c r="K1088" s="2"/>
    </row>
    <row r="1089">
      <c r="A1089" s="1" t="s">
        <v>601</v>
      </c>
      <c r="B1089" s="2">
        <f>IFERROR(__xludf.DUMMYFUNCTION("SPLIT(A1089,"" "")"),173402.0)</f>
        <v>173402</v>
      </c>
      <c r="C1089" s="2" t="str">
        <f>IFERROR(__xludf.DUMMYFUNCTION("""COMPUTED_VALUE"""),"nftm.nwd")</f>
        <v>nftm.nwd</v>
      </c>
      <c r="D1089" s="2" t="str">
        <f>IFERROR(__xludf.DUMMYFUNCTION("IF(AND(B1089=""$cd"",C1089&lt;&gt;""..""),CONCATENATE(D1088,""/"",C1089),IF(C1089="".."",MID(D1088,1,LEN(D1088)-LEN(REGEXEXTRACT(D1088,""(/\w*)$""))),D1088))"),"//zddrb/zdhcp/zdsvth")</f>
        <v>//zddrb/zdhcp/zdsvth</v>
      </c>
      <c r="K1089" s="2"/>
    </row>
    <row r="1090">
      <c r="A1090" s="1" t="s">
        <v>602</v>
      </c>
      <c r="B1090" s="2" t="str">
        <f>IFERROR(__xludf.DUMMYFUNCTION("SPLIT(A1090,"" "")"),"dir")</f>
        <v>dir</v>
      </c>
      <c r="C1090" s="2" t="str">
        <f>IFERROR(__xludf.DUMMYFUNCTION("""COMPUTED_VALUE"""),"njhjrgmf")</f>
        <v>njhjrgmf</v>
      </c>
      <c r="D1090" s="2" t="str">
        <f>IFERROR(__xludf.DUMMYFUNCTION("IF(AND(B1090=""$cd"",C1090&lt;&gt;""..""),CONCATENATE(D1089,""/"",C1090),IF(C1090="".."",MID(D1089,1,LEN(D1089)-LEN(REGEXEXTRACT(D1089,""(/\w*)$""))),D1089))"),"//zddrb/zdhcp/zdsvth")</f>
        <v>//zddrb/zdhcp/zdsvth</v>
      </c>
      <c r="K1090" s="2"/>
    </row>
    <row r="1091">
      <c r="A1091" s="1" t="s">
        <v>762</v>
      </c>
      <c r="B1091" s="2" t="str">
        <f>IFERROR(__xludf.DUMMYFUNCTION("SPLIT(A1091,"" "")"),"$cd")</f>
        <v>$cd</v>
      </c>
      <c r="C1091" s="2" t="str">
        <f>IFERROR(__xludf.DUMMYFUNCTION("""COMPUTED_VALUE"""),"njhjrgmf")</f>
        <v>njhjrgmf</v>
      </c>
      <c r="D1091" s="2" t="str">
        <f>IFERROR(__xludf.DUMMYFUNCTION("IF(AND(B1091=""$cd"",C1091&lt;&gt;""..""),CONCATENATE(D1090,""/"",C1091),IF(C1091="".."",MID(D1090,1,LEN(D1090)-LEN(REGEXEXTRACT(D1090,""(/\w*)$""))),D1090))"),"//zddrb/zdhcp/zdsvth/njhjrgmf")</f>
        <v>//zddrb/zdhcp/zdsvth/njhjrgmf</v>
      </c>
      <c r="K1091" s="2"/>
    </row>
    <row r="1092">
      <c r="A1092" s="1" t="s">
        <v>609</v>
      </c>
      <c r="B1092" s="2" t="str">
        <f>IFERROR(__xludf.DUMMYFUNCTION("SPLIT(A1092,"" "")"),"$ls")</f>
        <v>$ls</v>
      </c>
      <c r="D1092" s="2" t="str">
        <f>IFERROR(__xludf.DUMMYFUNCTION("IF(AND(B1092=""$cd"",C1092&lt;&gt;""..""),CONCATENATE(D1091,""/"",C1092),IF(C1092="".."",MID(D1091,1,LEN(D1091)-LEN(REGEXEXTRACT(D1091,""(/\w*)$""))),D1091))"),"//zddrb/zdhcp/zdsvth/njhjrgmf")</f>
        <v>//zddrb/zdhcp/zdsvth/njhjrgmf</v>
      </c>
      <c r="K1092" s="2"/>
    </row>
    <row r="1093">
      <c r="A1093" s="1" t="s">
        <v>604</v>
      </c>
      <c r="B1093" s="2">
        <f>IFERROR(__xludf.DUMMYFUNCTION("SPLIT(A1093,"" "")"),295762.0)</f>
        <v>295762</v>
      </c>
      <c r="C1093" s="2" t="str">
        <f>IFERROR(__xludf.DUMMYFUNCTION("""COMPUTED_VALUE"""),"nchztlh.lcs")</f>
        <v>nchztlh.lcs</v>
      </c>
      <c r="D1093" s="2" t="str">
        <f>IFERROR(__xludf.DUMMYFUNCTION("IF(AND(B1093=""$cd"",C1093&lt;&gt;""..""),CONCATENATE(D1092,""/"",C1093),IF(C1093="".."",MID(D1092,1,LEN(D1092)-LEN(REGEXEXTRACT(D1092,""(/\w*)$""))),D1092))"),"//zddrb/zdhcp/zdsvth/njhjrgmf")</f>
        <v>//zddrb/zdhcp/zdsvth/njhjrgmf</v>
      </c>
      <c r="K1093" s="2"/>
    </row>
  </sheetData>
  <drawing r:id="rId1"/>
</worksheet>
</file>