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2.xml" ContentType="application/vnd.openxmlformats-officedocument.themeOverride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3.xml" ContentType="application/vnd.openxmlformats-officedocument.themeOverride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4.xml" ContentType="application/vnd.openxmlformats-officedocument.themeOverride+xml"/>
  <Override PartName="/xl/drawings/drawing1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drawings/drawing1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ave\Dropbox\Kwai Shing\~A HEATHER IN\Stats\"/>
    </mc:Choice>
  </mc:AlternateContent>
  <xr:revisionPtr revIDLastSave="0" documentId="13_ncr:1_{94E369FC-04E7-4DCB-B972-5E8F5C18F73B}" xr6:coauthVersionLast="45" xr6:coauthVersionMax="45" xr10:uidLastSave="{00000000-0000-0000-0000-000000000000}"/>
  <bookViews>
    <workbookView xWindow="-120" yWindow="-120" windowWidth="29040" windowHeight="15840" tabRatio="842" firstSheet="13" activeTab="13" xr2:uid="{00000000-000D-0000-FFFF-FFFF00000000}"/>
  </bookViews>
  <sheets>
    <sheet name="P.1 Cal (1st_selected)" sheetId="53" state="hidden" r:id="rId1"/>
    <sheet name="P.2 Cal (1st_selected)" sheetId="58" state="hidden" r:id="rId2"/>
    <sheet name="P.3 Cal (1st_selected)" sheetId="55" state="hidden" r:id="rId3"/>
    <sheet name="P.1 Cal (1st_all)" sheetId="40" state="hidden" r:id="rId4"/>
    <sheet name="P.2 Cal (1st_all)" sheetId="42" state="hidden" r:id="rId5"/>
    <sheet name="P.3 Cal (1st_all)" sheetId="43" state="hidden" r:id="rId6"/>
    <sheet name="P.1 Cal (1st)" sheetId="33" state="hidden" r:id="rId7"/>
    <sheet name="P.2 Cal (1st)" sheetId="41" state="hidden" r:id="rId8"/>
    <sheet name="P.3 Cal (1st)" sheetId="45" state="hidden" r:id="rId9"/>
    <sheet name="P.2 Cal (2nd)" sheetId="49" state="hidden" r:id="rId10"/>
    <sheet name="P.3 Cal (2nd)" sheetId="50" state="hidden" r:id="rId11"/>
    <sheet name="P.3 Chart (Class)" sheetId="75" state="hidden" r:id="rId12"/>
    <sheet name="P.3 Chart (Unit)" sheetId="74" state="hidden" r:id="rId13"/>
    <sheet name="Unit 1" sheetId="86" r:id="rId14"/>
    <sheet name="Analysis" sheetId="87" r:id="rId15"/>
    <sheet name="P.1 Chart (Class)" sheetId="69" state="hidden" r:id="rId16"/>
    <sheet name="P.1 Chart (Unit)" sheetId="70" state="hidden" r:id="rId17"/>
    <sheet name="P.2 Chart (Unit)" sheetId="72" state="hidden" r:id="rId18"/>
    <sheet name="P.2 Chart (Class)" sheetId="71" state="hidden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7" i="86" l="1"/>
  <c r="AE55" i="86" l="1"/>
  <c r="AE56" i="86"/>
  <c r="AE57" i="86"/>
  <c r="AE58" i="86"/>
  <c r="AE59" i="86"/>
  <c r="AE60" i="86"/>
  <c r="AE61" i="86"/>
  <c r="AE62" i="86"/>
  <c r="AE63" i="86"/>
  <c r="AE64" i="86"/>
  <c r="AE65" i="86"/>
  <c r="AE66" i="86"/>
  <c r="AE67" i="86"/>
  <c r="AE68" i="86"/>
  <c r="AE69" i="86"/>
  <c r="AE70" i="86"/>
  <c r="AE71" i="86"/>
  <c r="AE72" i="86"/>
  <c r="AE73" i="86"/>
  <c r="AE74" i="86"/>
  <c r="AE54" i="86"/>
  <c r="AE53" i="86"/>
  <c r="AE52" i="86"/>
  <c r="AE51" i="86"/>
  <c r="AE47" i="86"/>
  <c r="AE36" i="86"/>
  <c r="AE38" i="86"/>
  <c r="AE39" i="86"/>
  <c r="AE40" i="86"/>
  <c r="AE41" i="86"/>
  <c r="AE42" i="86"/>
  <c r="AE43" i="86"/>
  <c r="AE44" i="86"/>
  <c r="AE45" i="86"/>
  <c r="AE34" i="86" l="1"/>
  <c r="AE33" i="86"/>
  <c r="AE32" i="86"/>
  <c r="AE31" i="86"/>
  <c r="AE28" i="86"/>
  <c r="AE26" i="86"/>
  <c r="AE24" i="86"/>
  <c r="C25" i="87" l="1"/>
  <c r="C26" i="87" s="1"/>
  <c r="D25" i="87"/>
  <c r="D26" i="87" s="1"/>
  <c r="E25" i="87"/>
  <c r="E26" i="87" s="1"/>
  <c r="F25" i="87"/>
  <c r="F26" i="87" s="1"/>
  <c r="G25" i="87"/>
  <c r="G26" i="87" s="1"/>
  <c r="H25" i="87"/>
  <c r="H26" i="87" s="1"/>
  <c r="I25" i="87"/>
  <c r="I26" i="87" s="1"/>
  <c r="J25" i="87"/>
  <c r="J26" i="87" s="1"/>
  <c r="K25" i="87"/>
  <c r="K26" i="87" s="1"/>
  <c r="L25" i="87"/>
  <c r="L26" i="87" s="1"/>
  <c r="M25" i="87"/>
  <c r="M26" i="87" s="1"/>
  <c r="N25" i="87"/>
  <c r="N26" i="87" s="1"/>
  <c r="O25" i="87"/>
  <c r="O26" i="87" s="1"/>
  <c r="P25" i="87"/>
  <c r="P26" i="87" s="1"/>
  <c r="Q25" i="87"/>
  <c r="Q26" i="87" s="1"/>
  <c r="B25" i="87"/>
  <c r="B26" i="87" s="1"/>
  <c r="C23" i="87"/>
  <c r="C24" i="87" s="1"/>
  <c r="D23" i="87"/>
  <c r="D24" i="87" s="1"/>
  <c r="E23" i="87"/>
  <c r="E24" i="87" s="1"/>
  <c r="F23" i="87"/>
  <c r="F24" i="87" s="1"/>
  <c r="G23" i="87"/>
  <c r="G24" i="87" s="1"/>
  <c r="H23" i="87"/>
  <c r="H24" i="87" s="1"/>
  <c r="I23" i="87"/>
  <c r="I24" i="87" s="1"/>
  <c r="J23" i="87"/>
  <c r="J24" i="87" s="1"/>
  <c r="K23" i="87"/>
  <c r="K24" i="87" s="1"/>
  <c r="L23" i="87"/>
  <c r="L24" i="87" s="1"/>
  <c r="M23" i="87"/>
  <c r="M24" i="87" s="1"/>
  <c r="N23" i="87"/>
  <c r="N24" i="87" s="1"/>
  <c r="O23" i="87"/>
  <c r="O24" i="87" s="1"/>
  <c r="P23" i="87"/>
  <c r="P24" i="87" s="1"/>
  <c r="Q23" i="87"/>
  <c r="Q24" i="87" s="1"/>
  <c r="B23" i="87"/>
  <c r="B24" i="87" s="1"/>
  <c r="C21" i="87"/>
  <c r="C22" i="87" s="1"/>
  <c r="D21" i="87"/>
  <c r="D22" i="87" s="1"/>
  <c r="E21" i="87"/>
  <c r="E22" i="87" s="1"/>
  <c r="F21" i="87"/>
  <c r="F22" i="87" s="1"/>
  <c r="G21" i="87"/>
  <c r="G22" i="87" s="1"/>
  <c r="H21" i="87"/>
  <c r="H22" i="87" s="1"/>
  <c r="I21" i="87"/>
  <c r="I22" i="87" s="1"/>
  <c r="J21" i="87"/>
  <c r="J22" i="87" s="1"/>
  <c r="K21" i="87"/>
  <c r="K22" i="87" s="1"/>
  <c r="L21" i="87"/>
  <c r="L22" i="87" s="1"/>
  <c r="M21" i="87"/>
  <c r="M22" i="87" s="1"/>
  <c r="N21" i="87"/>
  <c r="N22" i="87" s="1"/>
  <c r="O21" i="87"/>
  <c r="O22" i="87" s="1"/>
  <c r="P21" i="87"/>
  <c r="P22" i="87" s="1"/>
  <c r="Q21" i="87"/>
  <c r="Q22" i="87" s="1"/>
  <c r="B21" i="87"/>
  <c r="B22" i="87" s="1"/>
  <c r="C19" i="87"/>
  <c r="C20" i="87" s="1"/>
  <c r="D19" i="87"/>
  <c r="D20" i="87" s="1"/>
  <c r="E19" i="87"/>
  <c r="E20" i="87" s="1"/>
  <c r="F19" i="87"/>
  <c r="F20" i="87" s="1"/>
  <c r="G19" i="87"/>
  <c r="G20" i="87" s="1"/>
  <c r="H19" i="87"/>
  <c r="I19" i="87"/>
  <c r="I20" i="87" s="1"/>
  <c r="J19" i="87"/>
  <c r="J20" i="87" s="1"/>
  <c r="K19" i="87"/>
  <c r="K20" i="87" s="1"/>
  <c r="L19" i="87"/>
  <c r="M19" i="87"/>
  <c r="M20" i="87" s="1"/>
  <c r="N19" i="87"/>
  <c r="N20" i="87" s="1"/>
  <c r="O19" i="87"/>
  <c r="O20" i="87" s="1"/>
  <c r="P19" i="87"/>
  <c r="P20" i="87" s="1"/>
  <c r="Q19" i="87"/>
  <c r="Q20" i="87" s="1"/>
  <c r="B19" i="87"/>
  <c r="B20" i="87" s="1"/>
  <c r="C10" i="87"/>
  <c r="C11" i="87" s="1"/>
  <c r="D10" i="87"/>
  <c r="D11" i="87" s="1"/>
  <c r="E10" i="87"/>
  <c r="E11" i="87" s="1"/>
  <c r="F10" i="87"/>
  <c r="F11" i="87" s="1"/>
  <c r="G10" i="87"/>
  <c r="G11" i="87" s="1"/>
  <c r="H10" i="87"/>
  <c r="H11" i="87" s="1"/>
  <c r="I10" i="87"/>
  <c r="I11" i="87" s="1"/>
  <c r="J10" i="87"/>
  <c r="J11" i="87" s="1"/>
  <c r="K10" i="87"/>
  <c r="K11" i="87" s="1"/>
  <c r="L10" i="87"/>
  <c r="L11" i="87" s="1"/>
  <c r="M10" i="87"/>
  <c r="M11" i="87" s="1"/>
  <c r="B10" i="87"/>
  <c r="B11" i="87" s="1"/>
  <c r="C8" i="87"/>
  <c r="C9" i="87" s="1"/>
  <c r="D8" i="87"/>
  <c r="D9" i="87" s="1"/>
  <c r="E8" i="87"/>
  <c r="E9" i="87" s="1"/>
  <c r="F8" i="87"/>
  <c r="F9" i="87" s="1"/>
  <c r="G8" i="87"/>
  <c r="G9" i="87" s="1"/>
  <c r="H8" i="87"/>
  <c r="H9" i="87" s="1"/>
  <c r="I8" i="87"/>
  <c r="I9" i="87" s="1"/>
  <c r="J8" i="87"/>
  <c r="J9" i="87" s="1"/>
  <c r="K8" i="87"/>
  <c r="K9" i="87" s="1"/>
  <c r="L8" i="87"/>
  <c r="L9" i="87" s="1"/>
  <c r="M8" i="87"/>
  <c r="M9" i="87" s="1"/>
  <c r="B8" i="87"/>
  <c r="B9" i="87" s="1"/>
  <c r="C6" i="87"/>
  <c r="C7" i="87" s="1"/>
  <c r="D6" i="87"/>
  <c r="D7" i="87" s="1"/>
  <c r="E6" i="87"/>
  <c r="E7" i="87" s="1"/>
  <c r="F6" i="87"/>
  <c r="F7" i="87" s="1"/>
  <c r="G6" i="87"/>
  <c r="G7" i="87" s="1"/>
  <c r="H6" i="87"/>
  <c r="H7" i="87" s="1"/>
  <c r="I6" i="87"/>
  <c r="I7" i="87" s="1"/>
  <c r="J6" i="87"/>
  <c r="J7" i="87" s="1"/>
  <c r="K6" i="87"/>
  <c r="K7" i="87" s="1"/>
  <c r="L6" i="87"/>
  <c r="L7" i="87" s="1"/>
  <c r="M6" i="87"/>
  <c r="M7" i="87" s="1"/>
  <c r="B6" i="87"/>
  <c r="B7" i="87" s="1"/>
  <c r="C4" i="87"/>
  <c r="C5" i="87" s="1"/>
  <c r="D4" i="87"/>
  <c r="D5" i="87" s="1"/>
  <c r="E4" i="87"/>
  <c r="E5" i="87" s="1"/>
  <c r="F4" i="87"/>
  <c r="F5" i="87" s="1"/>
  <c r="G4" i="87"/>
  <c r="G5" i="87" s="1"/>
  <c r="H4" i="87"/>
  <c r="H5" i="87" s="1"/>
  <c r="I4" i="87"/>
  <c r="I5" i="87" s="1"/>
  <c r="J4" i="87"/>
  <c r="J5" i="87" s="1"/>
  <c r="K4" i="87"/>
  <c r="K5" i="87" s="1"/>
  <c r="L4" i="87"/>
  <c r="L5" i="87" s="1"/>
  <c r="M4" i="87"/>
  <c r="M5" i="87" s="1"/>
  <c r="B4" i="87"/>
  <c r="B5" i="87" s="1"/>
  <c r="L27" i="87" l="1"/>
  <c r="L28" i="87" s="1"/>
  <c r="L20" i="87"/>
  <c r="H27" i="87"/>
  <c r="H28" i="87" s="1"/>
  <c r="H20" i="87"/>
  <c r="G27" i="87"/>
  <c r="G28" i="87" s="1"/>
  <c r="P27" i="87"/>
  <c r="P28" i="87" s="1"/>
  <c r="Q27" i="87"/>
  <c r="Q28" i="87" s="1"/>
  <c r="N27" i="87"/>
  <c r="N28" i="87" s="1"/>
  <c r="M27" i="87"/>
  <c r="M28" i="87" s="1"/>
  <c r="D27" i="87"/>
  <c r="D28" i="87" s="1"/>
  <c r="O27" i="87"/>
  <c r="O28" i="87" s="1"/>
  <c r="I27" i="87"/>
  <c r="I28" i="87" s="1"/>
  <c r="F27" i="87"/>
  <c r="F28" i="87" s="1"/>
  <c r="B27" i="87"/>
  <c r="B28" i="87" s="1"/>
  <c r="J27" i="87"/>
  <c r="J28" i="87" s="1"/>
  <c r="E27" i="87"/>
  <c r="E28" i="87" s="1"/>
  <c r="K12" i="87"/>
  <c r="K13" i="87" s="1"/>
  <c r="K27" i="87"/>
  <c r="K28" i="87" s="1"/>
  <c r="C27" i="87"/>
  <c r="C28" i="87" s="1"/>
  <c r="B12" i="87"/>
  <c r="B13" i="87" s="1"/>
  <c r="J12" i="87"/>
  <c r="J13" i="87" s="1"/>
  <c r="F12" i="87"/>
  <c r="F13" i="87" s="1"/>
  <c r="G12" i="87"/>
  <c r="G13" i="87" s="1"/>
  <c r="M12" i="87"/>
  <c r="M13" i="87" s="1"/>
  <c r="I12" i="87"/>
  <c r="I13" i="87" s="1"/>
  <c r="E12" i="87"/>
  <c r="E13" i="87" s="1"/>
  <c r="C12" i="87"/>
  <c r="C13" i="87" s="1"/>
  <c r="L12" i="87"/>
  <c r="L13" i="87" s="1"/>
  <c r="H12" i="87"/>
  <c r="H13" i="87" s="1"/>
  <c r="D12" i="87"/>
  <c r="D13" i="87" s="1"/>
  <c r="AE83" i="86" l="1"/>
  <c r="AE84" i="86"/>
  <c r="AE85" i="86"/>
  <c r="AE86" i="86"/>
  <c r="AE87" i="86"/>
  <c r="AH2" i="86"/>
  <c r="AH3" i="86"/>
  <c r="AH4" i="86"/>
  <c r="AH5" i="86"/>
  <c r="AH6" i="86"/>
  <c r="AH7" i="86"/>
  <c r="AH8" i="86"/>
  <c r="AH9" i="86"/>
  <c r="AH10" i="86"/>
  <c r="AH11" i="86"/>
  <c r="AH12" i="86"/>
  <c r="AH13" i="86"/>
  <c r="AH14" i="86"/>
  <c r="AH15" i="86"/>
  <c r="AH16" i="86"/>
  <c r="AH17" i="86"/>
  <c r="AH18" i="86"/>
  <c r="AH19" i="86"/>
  <c r="AH20" i="86"/>
  <c r="AH21" i="86"/>
  <c r="AH22" i="86"/>
  <c r="AH23" i="86"/>
  <c r="AH24" i="86"/>
  <c r="AH25" i="86"/>
  <c r="AH26" i="86"/>
  <c r="AH27" i="86"/>
  <c r="AH28" i="86"/>
  <c r="AH29" i="86"/>
  <c r="AH30" i="86"/>
  <c r="AH31" i="86"/>
  <c r="AH32" i="86"/>
  <c r="AH33" i="86"/>
  <c r="AH34" i="86"/>
  <c r="AH35" i="86"/>
  <c r="AH36" i="86"/>
  <c r="AH37" i="86"/>
  <c r="AH38" i="86"/>
  <c r="AH39" i="86"/>
  <c r="AH40" i="86"/>
  <c r="AH41" i="86"/>
  <c r="AH42" i="86"/>
  <c r="AH43" i="86"/>
  <c r="AH44" i="86"/>
  <c r="AH45" i="86"/>
  <c r="AH46" i="86"/>
  <c r="AH47" i="86"/>
  <c r="AH48" i="86"/>
  <c r="AH49" i="86"/>
  <c r="AH50" i="86"/>
  <c r="AH51" i="86"/>
  <c r="AH52" i="86"/>
  <c r="AH53" i="86"/>
  <c r="AH54" i="86"/>
  <c r="AH55" i="86"/>
  <c r="AH56" i="86"/>
  <c r="AH57" i="86"/>
  <c r="AH58" i="86"/>
  <c r="AH59" i="86"/>
  <c r="AH60" i="86"/>
  <c r="AH61" i="86"/>
  <c r="AH62" i="86"/>
  <c r="AH63" i="86"/>
  <c r="AH64" i="86"/>
  <c r="AH65" i="86"/>
  <c r="AH66" i="86"/>
  <c r="AH67" i="86"/>
  <c r="AH68" i="86"/>
  <c r="AH69" i="86"/>
  <c r="AH70" i="86"/>
  <c r="AH71" i="86"/>
  <c r="AH72" i="86"/>
  <c r="AH73" i="86"/>
  <c r="AH74" i="86"/>
  <c r="AH75" i="86"/>
  <c r="AH76" i="86"/>
  <c r="AH77" i="86"/>
  <c r="AH78" i="86"/>
  <c r="AH79" i="86"/>
  <c r="AH80" i="86"/>
  <c r="AH81" i="86"/>
  <c r="AH82" i="86"/>
  <c r="AH83" i="86"/>
  <c r="AH84" i="86"/>
  <c r="AH85" i="86"/>
  <c r="AH86" i="86"/>
  <c r="AH87" i="86"/>
  <c r="AE81" i="86"/>
  <c r="AE82" i="86"/>
  <c r="AK3" i="86" l="1"/>
  <c r="AL3" i="86" s="1"/>
  <c r="AM3" i="86" s="1"/>
  <c r="AK4" i="86"/>
  <c r="AL4" i="86" s="1"/>
  <c r="AM4" i="86" s="1"/>
  <c r="AK5" i="86"/>
  <c r="AL5" i="86" s="1"/>
  <c r="AM5" i="86" s="1"/>
  <c r="AK6" i="86"/>
  <c r="AL6" i="86" s="1"/>
  <c r="AM6" i="86" s="1"/>
  <c r="AK7" i="86"/>
  <c r="AL7" i="86" s="1"/>
  <c r="AM7" i="86" s="1"/>
  <c r="AK8" i="86"/>
  <c r="AL8" i="86" s="1"/>
  <c r="AM8" i="86" s="1"/>
  <c r="AK9" i="86"/>
  <c r="AL9" i="86" s="1"/>
  <c r="AM9" i="86" s="1"/>
  <c r="AK10" i="86"/>
  <c r="AL10" i="86" s="1"/>
  <c r="AM10" i="86" s="1"/>
  <c r="AK11" i="86"/>
  <c r="AL11" i="86" s="1"/>
  <c r="AM11" i="86" s="1"/>
  <c r="AK12" i="86"/>
  <c r="AL12" i="86" s="1"/>
  <c r="AM12" i="86" s="1"/>
  <c r="AK13" i="86"/>
  <c r="AL13" i="86" s="1"/>
  <c r="AM13" i="86" s="1"/>
  <c r="AK14" i="86"/>
  <c r="AL14" i="86" s="1"/>
  <c r="AM14" i="86" s="1"/>
  <c r="AK15" i="86"/>
  <c r="AL15" i="86" s="1"/>
  <c r="AM15" i="86" s="1"/>
  <c r="AK16" i="86"/>
  <c r="AL16" i="86" s="1"/>
  <c r="AM16" i="86" s="1"/>
  <c r="AK17" i="86"/>
  <c r="AL17" i="86" s="1"/>
  <c r="AM17" i="86" s="1"/>
  <c r="AK18" i="86"/>
  <c r="AL18" i="86" s="1"/>
  <c r="AM18" i="86" s="1"/>
  <c r="AK19" i="86"/>
  <c r="AL19" i="86" s="1"/>
  <c r="AM19" i="86" s="1"/>
  <c r="AK20" i="86"/>
  <c r="AL20" i="86" s="1"/>
  <c r="AM20" i="86" s="1"/>
  <c r="AK21" i="86"/>
  <c r="AL21" i="86" s="1"/>
  <c r="AM21" i="86" s="1"/>
  <c r="AK22" i="86"/>
  <c r="AL22" i="86" s="1"/>
  <c r="AM22" i="86" s="1"/>
  <c r="AK23" i="86"/>
  <c r="AL23" i="86" s="1"/>
  <c r="AM23" i="86" s="1"/>
  <c r="AK24" i="86"/>
  <c r="AL24" i="86" s="1"/>
  <c r="AM24" i="86" s="1"/>
  <c r="AK25" i="86"/>
  <c r="AL25" i="86" s="1"/>
  <c r="AM25" i="86" s="1"/>
  <c r="AK26" i="86"/>
  <c r="AL26" i="86" s="1"/>
  <c r="AM26" i="86" s="1"/>
  <c r="AK27" i="86"/>
  <c r="AL27" i="86" s="1"/>
  <c r="AM27" i="86" s="1"/>
  <c r="AK28" i="86"/>
  <c r="AL28" i="86" s="1"/>
  <c r="AM28" i="86" s="1"/>
  <c r="AK29" i="86"/>
  <c r="AL29" i="86" s="1"/>
  <c r="AM29" i="86" s="1"/>
  <c r="AK30" i="86"/>
  <c r="AL30" i="86" s="1"/>
  <c r="AM30" i="86" s="1"/>
  <c r="AK31" i="86"/>
  <c r="AL31" i="86" s="1"/>
  <c r="AM31" i="86" s="1"/>
  <c r="AK32" i="86"/>
  <c r="AL32" i="86" s="1"/>
  <c r="AM32" i="86" s="1"/>
  <c r="AK33" i="86"/>
  <c r="AL33" i="86" s="1"/>
  <c r="AM33" i="86" s="1"/>
  <c r="AK34" i="86"/>
  <c r="AL34" i="86" s="1"/>
  <c r="AM34" i="86" s="1"/>
  <c r="AK35" i="86"/>
  <c r="AL35" i="86" s="1"/>
  <c r="AM35" i="86" s="1"/>
  <c r="AK36" i="86"/>
  <c r="AL36" i="86" s="1"/>
  <c r="AM36" i="86" s="1"/>
  <c r="AK37" i="86"/>
  <c r="AL37" i="86" s="1"/>
  <c r="AM37" i="86" s="1"/>
  <c r="AK38" i="86"/>
  <c r="AL38" i="86" s="1"/>
  <c r="AM38" i="86" s="1"/>
  <c r="AK39" i="86"/>
  <c r="AL39" i="86" s="1"/>
  <c r="AM39" i="86" s="1"/>
  <c r="AK40" i="86"/>
  <c r="AL40" i="86" s="1"/>
  <c r="AM40" i="86" s="1"/>
  <c r="AK41" i="86"/>
  <c r="AL41" i="86" s="1"/>
  <c r="AM41" i="86" s="1"/>
  <c r="AK42" i="86"/>
  <c r="AL42" i="86" s="1"/>
  <c r="AM42" i="86" s="1"/>
  <c r="AK43" i="86"/>
  <c r="AL43" i="86" s="1"/>
  <c r="AM43" i="86" s="1"/>
  <c r="AK44" i="86"/>
  <c r="AL44" i="86" s="1"/>
  <c r="AM44" i="86" s="1"/>
  <c r="AK45" i="86"/>
  <c r="AL45" i="86" s="1"/>
  <c r="AM45" i="86" s="1"/>
  <c r="AK46" i="86"/>
  <c r="AL46" i="86" s="1"/>
  <c r="AM46" i="86" s="1"/>
  <c r="AK47" i="86"/>
  <c r="AL47" i="86" s="1"/>
  <c r="AM47" i="86" s="1"/>
  <c r="AK48" i="86"/>
  <c r="AL48" i="86" s="1"/>
  <c r="AM48" i="86" s="1"/>
  <c r="AK49" i="86"/>
  <c r="AL49" i="86" s="1"/>
  <c r="AM49" i="86" s="1"/>
  <c r="AK50" i="86"/>
  <c r="AL50" i="86" s="1"/>
  <c r="AM50" i="86" s="1"/>
  <c r="AK51" i="86"/>
  <c r="AL51" i="86" s="1"/>
  <c r="AM51" i="86" s="1"/>
  <c r="AK52" i="86"/>
  <c r="AL52" i="86" s="1"/>
  <c r="AM52" i="86" s="1"/>
  <c r="AK53" i="86"/>
  <c r="AL53" i="86" s="1"/>
  <c r="AM53" i="86" s="1"/>
  <c r="AK54" i="86"/>
  <c r="AL54" i="86" s="1"/>
  <c r="AM54" i="86" s="1"/>
  <c r="AK55" i="86"/>
  <c r="AL55" i="86" s="1"/>
  <c r="AM55" i="86" s="1"/>
  <c r="AK56" i="86"/>
  <c r="AL56" i="86" s="1"/>
  <c r="AM56" i="86" s="1"/>
  <c r="AK57" i="86"/>
  <c r="AL57" i="86" s="1"/>
  <c r="AM57" i="86" s="1"/>
  <c r="AK58" i="86"/>
  <c r="AL58" i="86" s="1"/>
  <c r="AM58" i="86" s="1"/>
  <c r="AK59" i="86"/>
  <c r="AL59" i="86" s="1"/>
  <c r="AM59" i="86" s="1"/>
  <c r="AK60" i="86"/>
  <c r="AL60" i="86" s="1"/>
  <c r="AM60" i="86" s="1"/>
  <c r="AK61" i="86"/>
  <c r="AL61" i="86" s="1"/>
  <c r="AM61" i="86" s="1"/>
  <c r="AK62" i="86"/>
  <c r="AL62" i="86" s="1"/>
  <c r="AM62" i="86" s="1"/>
  <c r="AK63" i="86"/>
  <c r="AL63" i="86" s="1"/>
  <c r="AM63" i="86" s="1"/>
  <c r="AK64" i="86"/>
  <c r="AL64" i="86" s="1"/>
  <c r="AM64" i="86" s="1"/>
  <c r="AK65" i="86"/>
  <c r="AL65" i="86" s="1"/>
  <c r="AM65" i="86" s="1"/>
  <c r="AK66" i="86"/>
  <c r="AL66" i="86" s="1"/>
  <c r="AM66" i="86" s="1"/>
  <c r="AK67" i="86"/>
  <c r="AL67" i="86" s="1"/>
  <c r="AM67" i="86" s="1"/>
  <c r="AK68" i="86"/>
  <c r="AL68" i="86" s="1"/>
  <c r="AM68" i="86" s="1"/>
  <c r="AK69" i="86"/>
  <c r="AL69" i="86" s="1"/>
  <c r="AM69" i="86" s="1"/>
  <c r="AK70" i="86"/>
  <c r="AL70" i="86" s="1"/>
  <c r="AM70" i="86" s="1"/>
  <c r="AK71" i="86"/>
  <c r="AL71" i="86" s="1"/>
  <c r="AM71" i="86" s="1"/>
  <c r="AK72" i="86"/>
  <c r="AL72" i="86" s="1"/>
  <c r="AM72" i="86" s="1"/>
  <c r="AK73" i="86"/>
  <c r="AL73" i="86" s="1"/>
  <c r="AM73" i="86" s="1"/>
  <c r="AK74" i="86"/>
  <c r="AL74" i="86" s="1"/>
  <c r="AM74" i="86" s="1"/>
  <c r="AK75" i="86"/>
  <c r="AL75" i="86" s="1"/>
  <c r="AM75" i="86" s="1"/>
  <c r="AK76" i="86"/>
  <c r="AL76" i="86" s="1"/>
  <c r="AM76" i="86" s="1"/>
  <c r="AK77" i="86"/>
  <c r="AL77" i="86" s="1"/>
  <c r="AM77" i="86" s="1"/>
  <c r="AK78" i="86"/>
  <c r="AL78" i="86" s="1"/>
  <c r="AM78" i="86" s="1"/>
  <c r="AK79" i="86"/>
  <c r="AL79" i="86" s="1"/>
  <c r="AM79" i="86" s="1"/>
  <c r="AK80" i="86"/>
  <c r="AL80" i="86" s="1"/>
  <c r="AM80" i="86" s="1"/>
  <c r="AK81" i="86"/>
  <c r="AL81" i="86" s="1"/>
  <c r="AM81" i="86" s="1"/>
  <c r="AK82" i="86"/>
  <c r="AL82" i="86" s="1"/>
  <c r="AM82" i="86" s="1"/>
  <c r="AK83" i="86"/>
  <c r="AL83" i="86" s="1"/>
  <c r="AM83" i="86" s="1"/>
  <c r="AK84" i="86"/>
  <c r="AL84" i="86" s="1"/>
  <c r="AM84" i="86" s="1"/>
  <c r="AK85" i="86"/>
  <c r="AL85" i="86" s="1"/>
  <c r="AM85" i="86" s="1"/>
  <c r="AK86" i="86"/>
  <c r="AL86" i="86" s="1"/>
  <c r="AM86" i="86" s="1"/>
  <c r="AK87" i="86"/>
  <c r="AL87" i="86" s="1"/>
  <c r="AM87" i="86" s="1"/>
  <c r="AK2" i="86"/>
  <c r="AL2" i="86" s="1"/>
  <c r="AI3" i="86"/>
  <c r="AJ3" i="86" s="1"/>
  <c r="AI4" i="86"/>
  <c r="AJ4" i="86" s="1"/>
  <c r="AI5" i="86"/>
  <c r="AJ5" i="86" s="1"/>
  <c r="AI6" i="86"/>
  <c r="AJ6" i="86" s="1"/>
  <c r="AI7" i="86"/>
  <c r="AJ7" i="86" s="1"/>
  <c r="AI8" i="86"/>
  <c r="AJ8" i="86" s="1"/>
  <c r="AI9" i="86"/>
  <c r="AJ9" i="86" s="1"/>
  <c r="AI10" i="86"/>
  <c r="AJ10" i="86" s="1"/>
  <c r="AI11" i="86"/>
  <c r="AJ11" i="86" s="1"/>
  <c r="AI12" i="86"/>
  <c r="AJ12" i="86" s="1"/>
  <c r="AI13" i="86"/>
  <c r="AJ13" i="86" s="1"/>
  <c r="AI14" i="86"/>
  <c r="AJ14" i="86" s="1"/>
  <c r="AI15" i="86"/>
  <c r="AJ15" i="86" s="1"/>
  <c r="AI16" i="86"/>
  <c r="AJ16" i="86" s="1"/>
  <c r="AI17" i="86"/>
  <c r="AJ17" i="86" s="1"/>
  <c r="AI18" i="86"/>
  <c r="AJ18" i="86" s="1"/>
  <c r="AI19" i="86"/>
  <c r="AJ19" i="86" s="1"/>
  <c r="AI20" i="86"/>
  <c r="AJ20" i="86" s="1"/>
  <c r="AI21" i="86"/>
  <c r="AJ21" i="86" s="1"/>
  <c r="AI22" i="86"/>
  <c r="AJ22" i="86" s="1"/>
  <c r="AI23" i="86"/>
  <c r="AJ23" i="86" s="1"/>
  <c r="AI24" i="86"/>
  <c r="AJ24" i="86" s="1"/>
  <c r="AI25" i="86"/>
  <c r="AJ25" i="86" s="1"/>
  <c r="AI26" i="86"/>
  <c r="AJ26" i="86" s="1"/>
  <c r="AI27" i="86"/>
  <c r="AJ27" i="86" s="1"/>
  <c r="AI28" i="86"/>
  <c r="AJ28" i="86" s="1"/>
  <c r="AI29" i="86"/>
  <c r="AJ29" i="86" s="1"/>
  <c r="AI30" i="86"/>
  <c r="AJ30" i="86" s="1"/>
  <c r="AI31" i="86"/>
  <c r="AJ31" i="86" s="1"/>
  <c r="AI32" i="86"/>
  <c r="AJ32" i="86" s="1"/>
  <c r="AI33" i="86"/>
  <c r="AJ33" i="86" s="1"/>
  <c r="AI34" i="86"/>
  <c r="AJ34" i="86" s="1"/>
  <c r="AI35" i="86"/>
  <c r="AJ35" i="86" s="1"/>
  <c r="AI36" i="86"/>
  <c r="AJ36" i="86" s="1"/>
  <c r="AI37" i="86"/>
  <c r="AJ37" i="86" s="1"/>
  <c r="AI38" i="86"/>
  <c r="AJ38" i="86" s="1"/>
  <c r="AI39" i="86"/>
  <c r="AJ39" i="86" s="1"/>
  <c r="AI40" i="86"/>
  <c r="AJ40" i="86" s="1"/>
  <c r="AI41" i="86"/>
  <c r="AJ41" i="86" s="1"/>
  <c r="AI42" i="86"/>
  <c r="AJ42" i="86" s="1"/>
  <c r="AI43" i="86"/>
  <c r="AJ43" i="86" s="1"/>
  <c r="AI44" i="86"/>
  <c r="AJ44" i="86" s="1"/>
  <c r="AI45" i="86"/>
  <c r="AJ45" i="86" s="1"/>
  <c r="AI46" i="86"/>
  <c r="AJ46" i="86" s="1"/>
  <c r="AI47" i="86"/>
  <c r="AJ47" i="86" s="1"/>
  <c r="AI48" i="86"/>
  <c r="AJ48" i="86" s="1"/>
  <c r="AI49" i="86"/>
  <c r="AJ49" i="86" s="1"/>
  <c r="AI50" i="86"/>
  <c r="AJ50" i="86" s="1"/>
  <c r="AI51" i="86"/>
  <c r="AJ51" i="86" s="1"/>
  <c r="AI52" i="86"/>
  <c r="AJ52" i="86" s="1"/>
  <c r="AI53" i="86"/>
  <c r="AJ53" i="86" s="1"/>
  <c r="AI54" i="86"/>
  <c r="AJ54" i="86" s="1"/>
  <c r="AI55" i="86"/>
  <c r="AJ55" i="86" s="1"/>
  <c r="AI56" i="86"/>
  <c r="AJ56" i="86" s="1"/>
  <c r="AI57" i="86"/>
  <c r="AJ57" i="86" s="1"/>
  <c r="AI58" i="86"/>
  <c r="AJ58" i="86" s="1"/>
  <c r="AI59" i="86"/>
  <c r="AJ59" i="86" s="1"/>
  <c r="AI60" i="86"/>
  <c r="AJ60" i="86" s="1"/>
  <c r="AI61" i="86"/>
  <c r="AJ61" i="86" s="1"/>
  <c r="AI62" i="86"/>
  <c r="AJ62" i="86" s="1"/>
  <c r="AI63" i="86"/>
  <c r="AJ63" i="86" s="1"/>
  <c r="AI64" i="86"/>
  <c r="AJ64" i="86" s="1"/>
  <c r="AI65" i="86"/>
  <c r="AJ65" i="86" s="1"/>
  <c r="AI66" i="86"/>
  <c r="AJ66" i="86" s="1"/>
  <c r="AI67" i="86"/>
  <c r="AJ67" i="86" s="1"/>
  <c r="AI68" i="86"/>
  <c r="AJ68" i="86" s="1"/>
  <c r="AI69" i="86"/>
  <c r="AJ69" i="86" s="1"/>
  <c r="AI70" i="86"/>
  <c r="AJ70" i="86" s="1"/>
  <c r="AI71" i="86"/>
  <c r="AJ71" i="86" s="1"/>
  <c r="AI72" i="86"/>
  <c r="AJ72" i="86" s="1"/>
  <c r="AI73" i="86"/>
  <c r="AJ73" i="86" s="1"/>
  <c r="AI74" i="86"/>
  <c r="AJ74" i="86" s="1"/>
  <c r="AI75" i="86"/>
  <c r="AJ75" i="86" s="1"/>
  <c r="AI76" i="86"/>
  <c r="AJ76" i="86" s="1"/>
  <c r="AI77" i="86"/>
  <c r="AJ77" i="86" s="1"/>
  <c r="AI78" i="86"/>
  <c r="AJ78" i="86" s="1"/>
  <c r="AI79" i="86"/>
  <c r="AJ79" i="86" s="1"/>
  <c r="AI80" i="86"/>
  <c r="AJ80" i="86" s="1"/>
  <c r="AI2" i="86"/>
  <c r="AJ2" i="86" s="1"/>
  <c r="AI81" i="86"/>
  <c r="AJ81" i="86" s="1"/>
  <c r="AI82" i="86"/>
  <c r="AJ82" i="86" s="1"/>
  <c r="AI83" i="86"/>
  <c r="AJ83" i="86" s="1"/>
  <c r="AI84" i="86"/>
  <c r="AJ84" i="86" s="1"/>
  <c r="AI85" i="86"/>
  <c r="AJ85" i="86" s="1"/>
  <c r="AI86" i="86"/>
  <c r="AJ86" i="86" s="1"/>
  <c r="AI87" i="86"/>
  <c r="AJ87" i="86" s="1"/>
  <c r="B30" i="87" l="1"/>
  <c r="B31" i="87" s="1"/>
  <c r="AM2" i="86"/>
  <c r="B33" i="87" s="1"/>
  <c r="B34" i="87" s="1"/>
  <c r="AF81" i="86"/>
  <c r="AG81" i="86" s="1"/>
  <c r="AF82" i="86"/>
  <c r="AG82" i="86" s="1"/>
  <c r="AF83" i="86"/>
  <c r="AG83" i="86" s="1"/>
  <c r="AF84" i="86"/>
  <c r="AG84" i="86" s="1"/>
  <c r="AF85" i="86"/>
  <c r="AG85" i="86" s="1"/>
  <c r="AF86" i="86"/>
  <c r="AG86" i="86" s="1"/>
  <c r="AF87" i="86"/>
  <c r="AG87" i="86" s="1"/>
  <c r="AE23" i="86" l="1"/>
  <c r="AF23" i="86" s="1"/>
  <c r="AG23" i="86" s="1"/>
  <c r="AF24" i="86"/>
  <c r="AG24" i="86" s="1"/>
  <c r="AE25" i="86"/>
  <c r="AF25" i="86" s="1"/>
  <c r="AG25" i="86" s="1"/>
  <c r="AF26" i="86"/>
  <c r="AG26" i="86" s="1"/>
  <c r="AE27" i="86"/>
  <c r="AF27" i="86" s="1"/>
  <c r="AG27" i="86" s="1"/>
  <c r="AF28" i="86"/>
  <c r="AG28" i="86" s="1"/>
  <c r="AE29" i="86"/>
  <c r="AF29" i="86" s="1"/>
  <c r="AG29" i="86" s="1"/>
  <c r="AE30" i="86"/>
  <c r="AF30" i="86" s="1"/>
  <c r="AG30" i="86" s="1"/>
  <c r="AF31" i="86"/>
  <c r="AG31" i="86" s="1"/>
  <c r="AF32" i="86"/>
  <c r="AG32" i="86" s="1"/>
  <c r="AF33" i="86"/>
  <c r="AG33" i="86" s="1"/>
  <c r="AF34" i="86"/>
  <c r="AG34" i="86" s="1"/>
  <c r="AE35" i="86"/>
  <c r="AF35" i="86" s="1"/>
  <c r="AG35" i="86" s="1"/>
  <c r="AF36" i="86"/>
  <c r="AG36" i="86" s="1"/>
  <c r="AF37" i="86"/>
  <c r="AG37" i="86" s="1"/>
  <c r="AF38" i="86"/>
  <c r="AG38" i="86" s="1"/>
  <c r="AF39" i="86"/>
  <c r="AG39" i="86" s="1"/>
  <c r="AF40" i="86"/>
  <c r="AG40" i="86" s="1"/>
  <c r="AF41" i="86"/>
  <c r="AG41" i="86" s="1"/>
  <c r="AF42" i="86"/>
  <c r="AG42" i="86" s="1"/>
  <c r="AF43" i="86"/>
  <c r="AG43" i="86" s="1"/>
  <c r="AF44" i="86"/>
  <c r="AG44" i="86" s="1"/>
  <c r="AF45" i="86"/>
  <c r="AG45" i="86" s="1"/>
  <c r="AE46" i="86"/>
  <c r="AF46" i="86" s="1"/>
  <c r="AG46" i="86" s="1"/>
  <c r="AF47" i="86"/>
  <c r="AG47" i="86" s="1"/>
  <c r="AE48" i="86"/>
  <c r="AF48" i="86" s="1"/>
  <c r="AG48" i="86" s="1"/>
  <c r="AE49" i="86"/>
  <c r="AF49" i="86" s="1"/>
  <c r="AG49" i="86" s="1"/>
  <c r="AE50" i="86"/>
  <c r="AF50" i="86" s="1"/>
  <c r="AG50" i="86" s="1"/>
  <c r="AF51" i="86"/>
  <c r="AG51" i="86" s="1"/>
  <c r="AF52" i="86"/>
  <c r="AG52" i="86" s="1"/>
  <c r="AF53" i="86"/>
  <c r="AG53" i="86" s="1"/>
  <c r="AF54" i="86"/>
  <c r="AG54" i="86" s="1"/>
  <c r="AF55" i="86"/>
  <c r="AG55" i="86" s="1"/>
  <c r="AF56" i="86"/>
  <c r="AG56" i="86" s="1"/>
  <c r="AF57" i="86"/>
  <c r="AG57" i="86" s="1"/>
  <c r="AF58" i="86"/>
  <c r="AG58" i="86" s="1"/>
  <c r="AF59" i="86"/>
  <c r="AG59" i="86" s="1"/>
  <c r="AF60" i="86"/>
  <c r="AG60" i="86" s="1"/>
  <c r="AF61" i="86"/>
  <c r="AG61" i="86" s="1"/>
  <c r="AF62" i="86"/>
  <c r="AG62" i="86" s="1"/>
  <c r="AF63" i="86"/>
  <c r="AG63" i="86" s="1"/>
  <c r="AF64" i="86"/>
  <c r="AG64" i="86" s="1"/>
  <c r="AF65" i="86"/>
  <c r="AG65" i="86" s="1"/>
  <c r="AF66" i="86"/>
  <c r="AG66" i="86" s="1"/>
  <c r="AF67" i="86"/>
  <c r="AG67" i="86" s="1"/>
  <c r="AF68" i="86"/>
  <c r="AG68" i="86" s="1"/>
  <c r="AF69" i="86"/>
  <c r="AG69" i="86" s="1"/>
  <c r="AF70" i="86"/>
  <c r="AG70" i="86" s="1"/>
  <c r="AF71" i="86"/>
  <c r="AG71" i="86" s="1"/>
  <c r="AF72" i="86"/>
  <c r="AG72" i="86" s="1"/>
  <c r="AF73" i="86"/>
  <c r="AG73" i="86" s="1"/>
  <c r="AF74" i="86"/>
  <c r="AG74" i="86" s="1"/>
  <c r="AE75" i="86"/>
  <c r="AF75" i="86" s="1"/>
  <c r="AG75" i="86" s="1"/>
  <c r="AE76" i="86"/>
  <c r="AF76" i="86" s="1"/>
  <c r="AG76" i="86" s="1"/>
  <c r="AE77" i="86"/>
  <c r="AF77" i="86" s="1"/>
  <c r="AG77" i="86" s="1"/>
  <c r="AE78" i="86"/>
  <c r="AF78" i="86" s="1"/>
  <c r="AG78" i="86" s="1"/>
  <c r="AE79" i="86"/>
  <c r="AF79" i="86" s="1"/>
  <c r="AG79" i="86" s="1"/>
  <c r="AE80" i="86"/>
  <c r="AF80" i="86" s="1"/>
  <c r="AG80" i="86" s="1"/>
  <c r="AE3" i="86" l="1"/>
  <c r="AF3" i="86" s="1"/>
  <c r="AG3" i="86" s="1"/>
  <c r="AE4" i="86"/>
  <c r="AF4" i="86" s="1"/>
  <c r="AG4" i="86" s="1"/>
  <c r="AE5" i="86"/>
  <c r="AF5" i="86" s="1"/>
  <c r="AG5" i="86" s="1"/>
  <c r="AE6" i="86"/>
  <c r="AF6" i="86" s="1"/>
  <c r="AG6" i="86" s="1"/>
  <c r="AE7" i="86"/>
  <c r="AF7" i="86" s="1"/>
  <c r="AG7" i="86" s="1"/>
  <c r="AE8" i="86"/>
  <c r="AF8" i="86" s="1"/>
  <c r="AG8" i="86" s="1"/>
  <c r="AE9" i="86"/>
  <c r="AF9" i="86" s="1"/>
  <c r="AG9" i="86" s="1"/>
  <c r="AE10" i="86"/>
  <c r="AF10" i="86" s="1"/>
  <c r="AG10" i="86" s="1"/>
  <c r="AE11" i="86"/>
  <c r="AF11" i="86" s="1"/>
  <c r="AG11" i="86" s="1"/>
  <c r="AE12" i="86"/>
  <c r="AF12" i="86" s="1"/>
  <c r="AG12" i="86" s="1"/>
  <c r="AE13" i="86"/>
  <c r="AF13" i="86" s="1"/>
  <c r="AG13" i="86" s="1"/>
  <c r="AE14" i="86"/>
  <c r="AF14" i="86" s="1"/>
  <c r="AG14" i="86" s="1"/>
  <c r="AE15" i="86"/>
  <c r="AF15" i="86" s="1"/>
  <c r="AG15" i="86" s="1"/>
  <c r="AE16" i="86"/>
  <c r="AF16" i="86" s="1"/>
  <c r="AG16" i="86" s="1"/>
  <c r="AE17" i="86"/>
  <c r="AF17" i="86" s="1"/>
  <c r="AG17" i="86" s="1"/>
  <c r="AE18" i="86"/>
  <c r="AF18" i="86" s="1"/>
  <c r="AG18" i="86" s="1"/>
  <c r="AE19" i="86"/>
  <c r="AF19" i="86" s="1"/>
  <c r="AG19" i="86" s="1"/>
  <c r="AE20" i="86"/>
  <c r="AF20" i="86" s="1"/>
  <c r="AG20" i="86" s="1"/>
  <c r="AE21" i="86"/>
  <c r="AF21" i="86" s="1"/>
  <c r="AG21" i="86" s="1"/>
  <c r="AE22" i="86"/>
  <c r="AF22" i="86" s="1"/>
  <c r="AG22" i="86" s="1"/>
  <c r="AE2" i="86"/>
  <c r="AF2" i="86" s="1"/>
  <c r="AG2" i="86" s="1"/>
  <c r="B15" i="87" l="1"/>
  <c r="B16" i="87" s="1"/>
  <c r="O19" i="45"/>
  <c r="Y18" i="45"/>
  <c r="AD7" i="45"/>
  <c r="S15" i="45"/>
  <c r="S11" i="45"/>
  <c r="V18" i="41"/>
  <c r="V15" i="41"/>
  <c r="P16" i="41"/>
  <c r="P15" i="41"/>
  <c r="AF18" i="41"/>
  <c r="U17" i="41"/>
  <c r="U15" i="41"/>
  <c r="O19" i="41"/>
  <c r="O17" i="41"/>
  <c r="O13" i="41"/>
  <c r="AE15" i="41"/>
  <c r="AE14" i="41"/>
  <c r="AE13" i="41"/>
  <c r="AE9" i="41"/>
  <c r="AD20" i="41"/>
  <c r="AD16" i="41"/>
  <c r="X12" i="41"/>
  <c r="X10" i="41"/>
  <c r="X8" i="41"/>
  <c r="S18" i="41"/>
  <c r="S17" i="41"/>
  <c r="S12" i="41"/>
  <c r="M15" i="41"/>
  <c r="M7" i="41"/>
  <c r="AB15" i="33"/>
  <c r="AB10" i="33"/>
  <c r="T23" i="33"/>
  <c r="T18" i="33"/>
  <c r="T15" i="33"/>
  <c r="AP20" i="33"/>
  <c r="AP10" i="33"/>
  <c r="AH15" i="33"/>
  <c r="AH14" i="33"/>
  <c r="AH10" i="33"/>
  <c r="AO8" i="33"/>
  <c r="AN9" i="33"/>
  <c r="AF15" i="33"/>
  <c r="AF13" i="33"/>
  <c r="AF9" i="33"/>
  <c r="Q19" i="33"/>
  <c r="B19" i="33"/>
  <c r="E50" i="50"/>
  <c r="E49" i="50"/>
  <c r="E47" i="50"/>
  <c r="E46" i="50"/>
  <c r="D46" i="50"/>
  <c r="E45" i="50"/>
  <c r="D45" i="50"/>
  <c r="D44" i="50"/>
  <c r="E43" i="50"/>
  <c r="D43" i="50"/>
  <c r="E42" i="50"/>
  <c r="K41" i="50"/>
  <c r="E41" i="50"/>
  <c r="K40" i="50"/>
  <c r="K39" i="50"/>
  <c r="E39" i="50"/>
  <c r="K38" i="50"/>
  <c r="E38" i="50"/>
  <c r="D38" i="50"/>
  <c r="K37" i="50"/>
  <c r="E37" i="50"/>
  <c r="D37" i="50"/>
  <c r="D36" i="50"/>
  <c r="E35" i="50"/>
  <c r="D35" i="50"/>
  <c r="E34" i="50"/>
  <c r="D34" i="50"/>
  <c r="E33" i="50"/>
  <c r="D33" i="50"/>
  <c r="E32" i="50"/>
  <c r="D32" i="50"/>
  <c r="K31" i="50"/>
  <c r="E31" i="50"/>
  <c r="D31" i="50"/>
  <c r="K30" i="50"/>
  <c r="E30" i="50"/>
  <c r="D30" i="50"/>
  <c r="K29" i="50"/>
  <c r="E29" i="50"/>
  <c r="D29" i="50"/>
  <c r="K28" i="50"/>
  <c r="E28" i="50"/>
  <c r="D28" i="50"/>
  <c r="K27" i="50"/>
  <c r="E27" i="50"/>
  <c r="D27" i="50"/>
  <c r="V24" i="50"/>
  <c r="U24" i="50"/>
  <c r="T24" i="50"/>
  <c r="S24" i="50"/>
  <c r="V23" i="50"/>
  <c r="U23" i="50"/>
  <c r="T23" i="50"/>
  <c r="S23" i="50"/>
  <c r="V22" i="50"/>
  <c r="U22" i="50"/>
  <c r="T22" i="50"/>
  <c r="S22" i="50"/>
  <c r="V21" i="50"/>
  <c r="U21" i="50"/>
  <c r="T21" i="50"/>
  <c r="S21" i="50"/>
  <c r="V20" i="50"/>
  <c r="U20" i="50"/>
  <c r="T20" i="50"/>
  <c r="S20" i="50"/>
  <c r="V19" i="50"/>
  <c r="U19" i="50"/>
  <c r="T19" i="50"/>
  <c r="S19" i="50"/>
  <c r="V18" i="50"/>
  <c r="U18" i="50"/>
  <c r="T18" i="50"/>
  <c r="S18" i="50"/>
  <c r="V17" i="50"/>
  <c r="U17" i="50"/>
  <c r="T17" i="50"/>
  <c r="S17" i="50"/>
  <c r="V16" i="50"/>
  <c r="U16" i="50"/>
  <c r="T16" i="50"/>
  <c r="S16" i="50"/>
  <c r="V15" i="50"/>
  <c r="U15" i="50"/>
  <c r="T15" i="50"/>
  <c r="S15" i="50"/>
  <c r="V14" i="50"/>
  <c r="U14" i="50"/>
  <c r="T14" i="50"/>
  <c r="S14" i="50"/>
  <c r="V13" i="50"/>
  <c r="U13" i="50"/>
  <c r="T13" i="50"/>
  <c r="S13" i="50"/>
  <c r="AG12" i="50"/>
  <c r="AF12" i="50"/>
  <c r="AE12" i="50"/>
  <c r="AD12" i="50"/>
  <c r="V12" i="50"/>
  <c r="U12" i="50"/>
  <c r="T12" i="50"/>
  <c r="S12" i="50"/>
  <c r="AG11" i="50"/>
  <c r="AF11" i="50"/>
  <c r="AE11" i="50"/>
  <c r="AD11" i="50"/>
  <c r="V11" i="50"/>
  <c r="U11" i="50"/>
  <c r="T11" i="50"/>
  <c r="S11" i="50"/>
  <c r="AG10" i="50"/>
  <c r="AF10" i="50"/>
  <c r="AE10" i="50"/>
  <c r="AD10" i="50"/>
  <c r="V10" i="50"/>
  <c r="U10" i="50"/>
  <c r="T10" i="50"/>
  <c r="S10" i="50"/>
  <c r="AG9" i="50"/>
  <c r="AF9" i="50"/>
  <c r="AE9" i="50"/>
  <c r="AD9" i="50"/>
  <c r="V9" i="50"/>
  <c r="U9" i="50"/>
  <c r="T9" i="50"/>
  <c r="S9" i="50"/>
  <c r="AG8" i="50"/>
  <c r="D50" i="50" s="1"/>
  <c r="AF8" i="50"/>
  <c r="D49" i="50" s="1"/>
  <c r="AE8" i="50"/>
  <c r="AD8" i="50"/>
  <c r="D47" i="50" s="1"/>
  <c r="V8" i="50"/>
  <c r="U8" i="50"/>
  <c r="D41" i="50" s="1"/>
  <c r="T8" i="50"/>
  <c r="D40" i="50" s="1"/>
  <c r="S8" i="50"/>
  <c r="D39" i="50" s="1"/>
  <c r="AG7" i="50"/>
  <c r="AF7" i="50"/>
  <c r="AE7" i="50"/>
  <c r="AD7" i="50"/>
  <c r="V7" i="50"/>
  <c r="U7" i="50"/>
  <c r="T7" i="50"/>
  <c r="S7" i="50"/>
  <c r="E49" i="49"/>
  <c r="D49" i="49"/>
  <c r="E48" i="49"/>
  <c r="D48" i="49"/>
  <c r="E47" i="49"/>
  <c r="D47" i="49"/>
  <c r="E46" i="49"/>
  <c r="E45" i="49"/>
  <c r="D45" i="49"/>
  <c r="E44" i="49"/>
  <c r="D44" i="49"/>
  <c r="E43" i="49"/>
  <c r="D43" i="49"/>
  <c r="E42" i="49"/>
  <c r="D42" i="49"/>
  <c r="E41" i="49"/>
  <c r="L40" i="49"/>
  <c r="E40" i="49"/>
  <c r="L39" i="49"/>
  <c r="E39" i="49"/>
  <c r="D39" i="49"/>
  <c r="L38" i="49"/>
  <c r="E38" i="49"/>
  <c r="D38" i="49"/>
  <c r="L37" i="49"/>
  <c r="E37" i="49"/>
  <c r="D37" i="49"/>
  <c r="L36" i="49"/>
  <c r="E36" i="49"/>
  <c r="L35" i="49"/>
  <c r="E35" i="49"/>
  <c r="L34" i="49"/>
  <c r="E34" i="49"/>
  <c r="D34" i="49"/>
  <c r="L33" i="49"/>
  <c r="E33" i="49"/>
  <c r="D33" i="49"/>
  <c r="L32" i="49"/>
  <c r="E32" i="49"/>
  <c r="D32" i="49"/>
  <c r="L31" i="49"/>
  <c r="E31" i="49"/>
  <c r="D31" i="49"/>
  <c r="L30" i="49"/>
  <c r="E30" i="49"/>
  <c r="D30" i="49"/>
  <c r="L29" i="49"/>
  <c r="E29" i="49"/>
  <c r="D29" i="49"/>
  <c r="AC28" i="49"/>
  <c r="AD28" i="49" s="1"/>
  <c r="L28" i="49"/>
  <c r="E28" i="49"/>
  <c r="D28" i="49"/>
  <c r="AC27" i="49"/>
  <c r="AD27" i="49" s="1"/>
  <c r="L27" i="49"/>
  <c r="E27" i="49"/>
  <c r="D27" i="49"/>
  <c r="AC26" i="49"/>
  <c r="AD26" i="49" s="1"/>
  <c r="L26" i="49"/>
  <c r="E26" i="49"/>
  <c r="D26" i="49"/>
  <c r="AC25" i="49"/>
  <c r="AD25" i="49" s="1"/>
  <c r="AC24" i="49"/>
  <c r="AD24" i="49" s="1"/>
  <c r="AC23" i="49"/>
  <c r="AD23" i="49" s="1"/>
  <c r="AJ22" i="49"/>
  <c r="AK22" i="49" s="1"/>
  <c r="AC22" i="49"/>
  <c r="AD22" i="49" s="1"/>
  <c r="AJ21" i="49"/>
  <c r="AK21" i="49" s="1"/>
  <c r="AC21" i="49"/>
  <c r="AD21" i="49" s="1"/>
  <c r="AJ20" i="49"/>
  <c r="AK20" i="49" s="1"/>
  <c r="AC20" i="49"/>
  <c r="AD20" i="49" s="1"/>
  <c r="N20" i="49"/>
  <c r="O20" i="49" s="1"/>
  <c r="AJ19" i="49"/>
  <c r="AK19" i="49" s="1"/>
  <c r="AC19" i="49"/>
  <c r="AD19" i="49" s="1"/>
  <c r="N19" i="49"/>
  <c r="O19" i="49" s="1"/>
  <c r="AJ18" i="49"/>
  <c r="AK18" i="49" s="1"/>
  <c r="AC18" i="49"/>
  <c r="AD18" i="49" s="1"/>
  <c r="U18" i="49"/>
  <c r="V18" i="49" s="1"/>
  <c r="N18" i="49"/>
  <c r="F18" i="49"/>
  <c r="G18" i="49" s="1"/>
  <c r="AJ17" i="49"/>
  <c r="AK17" i="49" s="1"/>
  <c r="AC17" i="49"/>
  <c r="AD17" i="49" s="1"/>
  <c r="U17" i="49"/>
  <c r="V17" i="49" s="1"/>
  <c r="N17" i="49"/>
  <c r="O17" i="49" s="1"/>
  <c r="F17" i="49"/>
  <c r="G17" i="49" s="1"/>
  <c r="AR16" i="49"/>
  <c r="AS16" i="49" s="1"/>
  <c r="AJ16" i="49"/>
  <c r="AK16" i="49" s="1"/>
  <c r="AC16" i="49"/>
  <c r="AD16" i="49" s="1"/>
  <c r="U16" i="49"/>
  <c r="V16" i="49" s="1"/>
  <c r="N16" i="49"/>
  <c r="O16" i="49" s="1"/>
  <c r="F16" i="49"/>
  <c r="G16" i="49" s="1"/>
  <c r="AR15" i="49"/>
  <c r="AS15" i="49" s="1"/>
  <c r="AJ15" i="49"/>
  <c r="AK15" i="49" s="1"/>
  <c r="AC15" i="49"/>
  <c r="AD15" i="49" s="1"/>
  <c r="U15" i="49"/>
  <c r="V15" i="49" s="1"/>
  <c r="N15" i="49"/>
  <c r="O15" i="49" s="1"/>
  <c r="F15" i="49"/>
  <c r="G15" i="49" s="1"/>
  <c r="AR14" i="49"/>
  <c r="AS14" i="49" s="1"/>
  <c r="AJ14" i="49"/>
  <c r="AK14" i="49" s="1"/>
  <c r="AC14" i="49"/>
  <c r="AD14" i="49" s="1"/>
  <c r="U14" i="49"/>
  <c r="V14" i="49" s="1"/>
  <c r="N14" i="49"/>
  <c r="O14" i="49" s="1"/>
  <c r="F14" i="49"/>
  <c r="G14" i="49" s="1"/>
  <c r="AR13" i="49"/>
  <c r="AS13" i="49" s="1"/>
  <c r="AJ13" i="49"/>
  <c r="AK13" i="49" s="1"/>
  <c r="AC13" i="49"/>
  <c r="AD13" i="49" s="1"/>
  <c r="U13" i="49"/>
  <c r="V13" i="49" s="1"/>
  <c r="N13" i="49"/>
  <c r="O13" i="49" s="1"/>
  <c r="F13" i="49"/>
  <c r="G13" i="49" s="1"/>
  <c r="AR12" i="49"/>
  <c r="AS12" i="49" s="1"/>
  <c r="AJ12" i="49"/>
  <c r="AK12" i="49" s="1"/>
  <c r="AC12" i="49"/>
  <c r="AD12" i="49" s="1"/>
  <c r="U12" i="49"/>
  <c r="V12" i="49" s="1"/>
  <c r="N12" i="49"/>
  <c r="O12" i="49" s="1"/>
  <c r="F12" i="49"/>
  <c r="G12" i="49" s="1"/>
  <c r="AR11" i="49"/>
  <c r="AS11" i="49" s="1"/>
  <c r="AJ11" i="49"/>
  <c r="AK11" i="49" s="1"/>
  <c r="AC11" i="49"/>
  <c r="AD11" i="49" s="1"/>
  <c r="U11" i="49"/>
  <c r="V11" i="49" s="1"/>
  <c r="N11" i="49"/>
  <c r="O11" i="49" s="1"/>
  <c r="F11" i="49"/>
  <c r="G11" i="49" s="1"/>
  <c r="AR10" i="49"/>
  <c r="AS10" i="49" s="1"/>
  <c r="AJ10" i="49"/>
  <c r="AK10" i="49" s="1"/>
  <c r="AC10" i="49"/>
  <c r="AD10" i="49" s="1"/>
  <c r="U10" i="49"/>
  <c r="V10" i="49" s="1"/>
  <c r="N10" i="49"/>
  <c r="O10" i="49" s="1"/>
  <c r="F10" i="49"/>
  <c r="G10" i="49" s="1"/>
  <c r="AR9" i="49"/>
  <c r="AS9" i="49" s="1"/>
  <c r="AJ9" i="49"/>
  <c r="AK9" i="49" s="1"/>
  <c r="AC9" i="49"/>
  <c r="AD9" i="49" s="1"/>
  <c r="U9" i="49"/>
  <c r="V9" i="49" s="1"/>
  <c r="N9" i="49"/>
  <c r="O9" i="49" s="1"/>
  <c r="F9" i="49"/>
  <c r="G9" i="49" s="1"/>
  <c r="AR8" i="49"/>
  <c r="AS8" i="49" s="1"/>
  <c r="AJ8" i="49"/>
  <c r="AK8" i="49" s="1"/>
  <c r="AC8" i="49"/>
  <c r="AD8" i="49" s="1"/>
  <c r="U8" i="49"/>
  <c r="V8" i="49" s="1"/>
  <c r="N8" i="49"/>
  <c r="O8" i="49" s="1"/>
  <c r="F8" i="49"/>
  <c r="G8" i="49" s="1"/>
  <c r="AR7" i="49"/>
  <c r="AS7" i="49" s="1"/>
  <c r="AJ7" i="49"/>
  <c r="AK7" i="49" s="1"/>
  <c r="AC7" i="49"/>
  <c r="AD7" i="49" s="1"/>
  <c r="U7" i="49"/>
  <c r="N7" i="49"/>
  <c r="O7" i="49" s="1"/>
  <c r="F7" i="49"/>
  <c r="G7" i="49" s="1"/>
  <c r="E49" i="45"/>
  <c r="E46" i="45"/>
  <c r="E45" i="45"/>
  <c r="E42" i="45"/>
  <c r="K40" i="45"/>
  <c r="E40" i="45"/>
  <c r="K39" i="45"/>
  <c r="E39" i="45"/>
  <c r="K38" i="45"/>
  <c r="K37" i="45"/>
  <c r="K36" i="45"/>
  <c r="E36" i="45"/>
  <c r="K35" i="45"/>
  <c r="E35" i="45"/>
  <c r="K34" i="45"/>
  <c r="K33" i="45"/>
  <c r="K32" i="45"/>
  <c r="K31" i="45"/>
  <c r="K30" i="45"/>
  <c r="K29" i="45"/>
  <c r="K28" i="45"/>
  <c r="K27" i="45"/>
  <c r="K26" i="45"/>
  <c r="E23" i="45"/>
  <c r="D23" i="45"/>
  <c r="C23" i="45"/>
  <c r="B23" i="45"/>
  <c r="E22" i="45"/>
  <c r="C22" i="45"/>
  <c r="B22" i="45"/>
  <c r="E21" i="45"/>
  <c r="D21" i="45"/>
  <c r="B21" i="45"/>
  <c r="E20" i="45"/>
  <c r="D20" i="45"/>
  <c r="C20" i="45"/>
  <c r="P19" i="45"/>
  <c r="N19" i="45"/>
  <c r="E19" i="45"/>
  <c r="D19" i="45"/>
  <c r="C19" i="45"/>
  <c r="B19" i="45"/>
  <c r="AA18" i="45"/>
  <c r="Z18" i="45"/>
  <c r="V18" i="45"/>
  <c r="T18" i="45"/>
  <c r="P18" i="45"/>
  <c r="O18" i="45"/>
  <c r="N18" i="45"/>
  <c r="M18" i="45"/>
  <c r="K18" i="45"/>
  <c r="J18" i="45"/>
  <c r="I18" i="45"/>
  <c r="H18" i="45"/>
  <c r="E18" i="45"/>
  <c r="C18" i="45"/>
  <c r="B18" i="45"/>
  <c r="AA17" i="45"/>
  <c r="Y17" i="45"/>
  <c r="X17" i="45"/>
  <c r="V17" i="45"/>
  <c r="U17" i="45"/>
  <c r="T17" i="45"/>
  <c r="S17" i="45"/>
  <c r="P17" i="45"/>
  <c r="N17" i="45"/>
  <c r="M17" i="45"/>
  <c r="K17" i="45"/>
  <c r="I17" i="45"/>
  <c r="H17" i="45"/>
  <c r="E17" i="45"/>
  <c r="D17" i="45"/>
  <c r="B17" i="45"/>
  <c r="AA16" i="45"/>
  <c r="Y16" i="45"/>
  <c r="X16" i="45"/>
  <c r="V16" i="45"/>
  <c r="T16" i="45"/>
  <c r="S16" i="45"/>
  <c r="P16" i="45"/>
  <c r="O16" i="45"/>
  <c r="K16" i="45"/>
  <c r="J16" i="45"/>
  <c r="H16" i="45"/>
  <c r="E16" i="45"/>
  <c r="D16" i="45"/>
  <c r="C16" i="45"/>
  <c r="AG15" i="45"/>
  <c r="AF15" i="45"/>
  <c r="AD15" i="45"/>
  <c r="AA15" i="45"/>
  <c r="Z15" i="45"/>
  <c r="V15" i="45"/>
  <c r="U15" i="45"/>
  <c r="P15" i="45"/>
  <c r="N15" i="45"/>
  <c r="K15" i="45"/>
  <c r="J15" i="45"/>
  <c r="I15" i="45"/>
  <c r="E15" i="45"/>
  <c r="D15" i="45"/>
  <c r="C15" i="45"/>
  <c r="B15" i="45"/>
  <c r="AG14" i="45"/>
  <c r="AF14" i="45"/>
  <c r="AA14" i="45"/>
  <c r="Z14" i="45"/>
  <c r="Y14" i="45"/>
  <c r="V14" i="45"/>
  <c r="T14" i="45"/>
  <c r="P14" i="45"/>
  <c r="O14" i="45"/>
  <c r="N14" i="45"/>
  <c r="M14" i="45"/>
  <c r="K14" i="45"/>
  <c r="J14" i="45"/>
  <c r="I14" i="45"/>
  <c r="H14" i="45"/>
  <c r="E14" i="45"/>
  <c r="C14" i="45"/>
  <c r="B14" i="45"/>
  <c r="AG13" i="45"/>
  <c r="AF13" i="45"/>
  <c r="AE13" i="45"/>
  <c r="AD13" i="45"/>
  <c r="AA13" i="45"/>
  <c r="Z13" i="45"/>
  <c r="Y13" i="45"/>
  <c r="X13" i="45"/>
  <c r="V13" i="45"/>
  <c r="U13" i="45"/>
  <c r="T13" i="45"/>
  <c r="S13" i="45"/>
  <c r="P13" i="45"/>
  <c r="N13" i="45"/>
  <c r="M13" i="45"/>
  <c r="K13" i="45"/>
  <c r="I13" i="45"/>
  <c r="H13" i="45"/>
  <c r="E13" i="45"/>
  <c r="D13" i="45"/>
  <c r="B13" i="45"/>
  <c r="AG12" i="45"/>
  <c r="AE12" i="45"/>
  <c r="AD12" i="45"/>
  <c r="AA12" i="45"/>
  <c r="Y12" i="45"/>
  <c r="X12" i="45"/>
  <c r="V12" i="45"/>
  <c r="T12" i="45"/>
  <c r="S12" i="45"/>
  <c r="P12" i="45"/>
  <c r="O12" i="45"/>
  <c r="K12" i="45"/>
  <c r="J12" i="45"/>
  <c r="H12" i="45"/>
  <c r="E12" i="45"/>
  <c r="D12" i="45"/>
  <c r="C12" i="45"/>
  <c r="AG11" i="45"/>
  <c r="AF11" i="45"/>
  <c r="AD11" i="45"/>
  <c r="AA11" i="45"/>
  <c r="Z11" i="45"/>
  <c r="V11" i="45"/>
  <c r="U11" i="45"/>
  <c r="P11" i="45"/>
  <c r="O11" i="45"/>
  <c r="N11" i="45"/>
  <c r="K11" i="45"/>
  <c r="J11" i="45"/>
  <c r="I11" i="45"/>
  <c r="E11" i="45"/>
  <c r="D11" i="45"/>
  <c r="C11" i="45"/>
  <c r="B11" i="45"/>
  <c r="AG10" i="45"/>
  <c r="AF10" i="45"/>
  <c r="AA10" i="45"/>
  <c r="Z10" i="45"/>
  <c r="V10" i="45"/>
  <c r="U10" i="45"/>
  <c r="T10" i="45"/>
  <c r="P10" i="45"/>
  <c r="O10" i="45"/>
  <c r="N10" i="45"/>
  <c r="M10" i="45"/>
  <c r="K10" i="45"/>
  <c r="J10" i="45"/>
  <c r="I10" i="45"/>
  <c r="H10" i="45"/>
  <c r="E10" i="45"/>
  <c r="C10" i="45"/>
  <c r="B10" i="45"/>
  <c r="AG9" i="45"/>
  <c r="AE9" i="45"/>
  <c r="AD9" i="45"/>
  <c r="AA9" i="45"/>
  <c r="Y9" i="45"/>
  <c r="X9" i="45"/>
  <c r="V9" i="45"/>
  <c r="U9" i="45"/>
  <c r="T9" i="45"/>
  <c r="S9" i="45"/>
  <c r="P9" i="45"/>
  <c r="N9" i="45"/>
  <c r="M9" i="45"/>
  <c r="K9" i="45"/>
  <c r="I9" i="45"/>
  <c r="H9" i="45"/>
  <c r="E9" i="45"/>
  <c r="D9" i="45"/>
  <c r="B9" i="45"/>
  <c r="AG8" i="45"/>
  <c r="AE8" i="45"/>
  <c r="AD8" i="45"/>
  <c r="AA8" i="45"/>
  <c r="Y8" i="45"/>
  <c r="X8" i="45"/>
  <c r="V8" i="45"/>
  <c r="T8" i="45"/>
  <c r="S8" i="45"/>
  <c r="P8" i="45"/>
  <c r="O8" i="45"/>
  <c r="M8" i="45"/>
  <c r="K8" i="45"/>
  <c r="J8" i="45"/>
  <c r="H8" i="45"/>
  <c r="E8" i="45"/>
  <c r="D8" i="45"/>
  <c r="C8" i="45"/>
  <c r="AG7" i="45"/>
  <c r="AF7" i="45"/>
  <c r="AA7" i="45"/>
  <c r="Z7" i="45"/>
  <c r="X7" i="45"/>
  <c r="V7" i="45"/>
  <c r="U7" i="45"/>
  <c r="P7" i="45"/>
  <c r="O7" i="45"/>
  <c r="N7" i="45"/>
  <c r="K7" i="45"/>
  <c r="J7" i="45"/>
  <c r="I7" i="45"/>
  <c r="E7" i="45"/>
  <c r="D7" i="45"/>
  <c r="C7" i="45"/>
  <c r="B7" i="45"/>
  <c r="E47" i="41"/>
  <c r="E46" i="41"/>
  <c r="E45" i="41"/>
  <c r="E44" i="41"/>
  <c r="E43" i="41"/>
  <c r="E42" i="41"/>
  <c r="E41" i="41"/>
  <c r="E40" i="41"/>
  <c r="E39" i="41"/>
  <c r="K38" i="41"/>
  <c r="K37" i="41"/>
  <c r="E37" i="41"/>
  <c r="K36" i="41"/>
  <c r="E36" i="41"/>
  <c r="K35" i="41"/>
  <c r="E35" i="41"/>
  <c r="K34" i="41"/>
  <c r="K33" i="41"/>
  <c r="E33" i="41"/>
  <c r="K32" i="41"/>
  <c r="E32" i="41"/>
  <c r="K31" i="41"/>
  <c r="E31" i="41"/>
  <c r="K30" i="41"/>
  <c r="K29" i="41"/>
  <c r="E29" i="41"/>
  <c r="K28" i="41"/>
  <c r="K27" i="41"/>
  <c r="E27" i="41"/>
  <c r="K26" i="41"/>
  <c r="K25" i="41"/>
  <c r="E25" i="41"/>
  <c r="K24" i="41"/>
  <c r="E21" i="41"/>
  <c r="D21" i="41"/>
  <c r="C21" i="41"/>
  <c r="B21" i="41"/>
  <c r="AG20" i="41"/>
  <c r="AF20" i="41"/>
  <c r="E20" i="41"/>
  <c r="D20" i="41"/>
  <c r="C20" i="41"/>
  <c r="B20" i="41"/>
  <c r="AG19" i="41"/>
  <c r="V19" i="41"/>
  <c r="T19" i="41"/>
  <c r="S19" i="41"/>
  <c r="N19" i="41"/>
  <c r="M19" i="41"/>
  <c r="E19" i="41"/>
  <c r="D19" i="41"/>
  <c r="C19" i="41"/>
  <c r="B19" i="41"/>
  <c r="T18" i="41"/>
  <c r="P18" i="41"/>
  <c r="O18" i="41"/>
  <c r="N18" i="41"/>
  <c r="E18" i="41"/>
  <c r="D18" i="41"/>
  <c r="C18" i="41"/>
  <c r="B18" i="41"/>
  <c r="AG17" i="41"/>
  <c r="AF17" i="41"/>
  <c r="T17" i="41"/>
  <c r="P17" i="41"/>
  <c r="N17" i="41"/>
  <c r="M17" i="41"/>
  <c r="E17" i="41"/>
  <c r="D17" i="41"/>
  <c r="C17" i="41"/>
  <c r="B17" i="41"/>
  <c r="AG16" i="41"/>
  <c r="AF16" i="41"/>
  <c r="AE16" i="41"/>
  <c r="V16" i="41"/>
  <c r="U16" i="41"/>
  <c r="T16" i="41"/>
  <c r="N16" i="41"/>
  <c r="M16" i="41"/>
  <c r="E16" i="41"/>
  <c r="D16" i="41"/>
  <c r="C16" i="41"/>
  <c r="B16" i="41"/>
  <c r="AG15" i="41"/>
  <c r="T15" i="41"/>
  <c r="S15" i="41"/>
  <c r="N15" i="41"/>
  <c r="K15" i="41"/>
  <c r="J15" i="41"/>
  <c r="I15" i="41"/>
  <c r="H15" i="41"/>
  <c r="E15" i="41"/>
  <c r="D15" i="41"/>
  <c r="C15" i="41"/>
  <c r="B15" i="41"/>
  <c r="AF14" i="41"/>
  <c r="AD14" i="41"/>
  <c r="AA14" i="41"/>
  <c r="Z14" i="41"/>
  <c r="X14" i="41"/>
  <c r="T14" i="41"/>
  <c r="P14" i="41"/>
  <c r="O14" i="41"/>
  <c r="N14" i="41"/>
  <c r="K14" i="41"/>
  <c r="J14" i="41"/>
  <c r="I14" i="41"/>
  <c r="H14" i="41"/>
  <c r="E14" i="41"/>
  <c r="D14" i="41"/>
  <c r="C14" i="41"/>
  <c r="B14" i="41"/>
  <c r="AG13" i="41"/>
  <c r="AF13" i="41"/>
  <c r="AA13" i="41"/>
  <c r="P13" i="41"/>
  <c r="N13" i="41"/>
  <c r="M13" i="41"/>
  <c r="K13" i="41"/>
  <c r="J13" i="41"/>
  <c r="I13" i="41"/>
  <c r="H13" i="41"/>
  <c r="E13" i="41"/>
  <c r="D13" i="41"/>
  <c r="C13" i="41"/>
  <c r="B13" i="41"/>
  <c r="Z12" i="41"/>
  <c r="V12" i="41"/>
  <c r="U12" i="41"/>
  <c r="T12" i="41"/>
  <c r="P12" i="41"/>
  <c r="O12" i="41"/>
  <c r="N12" i="41"/>
  <c r="E12" i="41"/>
  <c r="D12" i="41"/>
  <c r="C12" i="41"/>
  <c r="B12" i="41"/>
  <c r="AG11" i="41"/>
  <c r="AF11" i="41"/>
  <c r="AD11" i="41"/>
  <c r="AA11" i="41"/>
  <c r="Z11" i="41"/>
  <c r="Y11" i="41"/>
  <c r="P11" i="41"/>
  <c r="O11" i="41"/>
  <c r="N11" i="41"/>
  <c r="K11" i="41"/>
  <c r="J11" i="41"/>
  <c r="I11" i="41"/>
  <c r="H11" i="41"/>
  <c r="E11" i="41"/>
  <c r="D11" i="41"/>
  <c r="C11" i="41"/>
  <c r="B11" i="41"/>
  <c r="AG10" i="41"/>
  <c r="AA10" i="41"/>
  <c r="Z10" i="41"/>
  <c r="Y10" i="41"/>
  <c r="V10" i="41"/>
  <c r="U10" i="41"/>
  <c r="T10" i="41"/>
  <c r="P10" i="41"/>
  <c r="O10" i="41"/>
  <c r="N10" i="41"/>
  <c r="K10" i="41"/>
  <c r="J10" i="41"/>
  <c r="I10" i="41"/>
  <c r="H10" i="41"/>
  <c r="E10" i="41"/>
  <c r="D10" i="41"/>
  <c r="C10" i="41"/>
  <c r="B10" i="41"/>
  <c r="AF9" i="41"/>
  <c r="AD9" i="41"/>
  <c r="AA9" i="41"/>
  <c r="Y9" i="41"/>
  <c r="V9" i="41"/>
  <c r="U9" i="41"/>
  <c r="T9" i="41"/>
  <c r="S9" i="41"/>
  <c r="P9" i="41"/>
  <c r="O9" i="41"/>
  <c r="N9" i="41"/>
  <c r="M9" i="41"/>
  <c r="K9" i="41"/>
  <c r="J9" i="41"/>
  <c r="I9" i="41"/>
  <c r="H9" i="41"/>
  <c r="E9" i="41"/>
  <c r="D9" i="41"/>
  <c r="C9" i="41"/>
  <c r="B9" i="41"/>
  <c r="AG8" i="41"/>
  <c r="AF8" i="41"/>
  <c r="Y8" i="41"/>
  <c r="T8" i="41"/>
  <c r="S8" i="41"/>
  <c r="P8" i="41"/>
  <c r="O8" i="41"/>
  <c r="N8" i="41"/>
  <c r="M8" i="41"/>
  <c r="K8" i="41"/>
  <c r="J8" i="41"/>
  <c r="I8" i="41"/>
  <c r="H8" i="41"/>
  <c r="E8" i="41"/>
  <c r="D8" i="41"/>
  <c r="C8" i="41"/>
  <c r="B8" i="41"/>
  <c r="AA7" i="41"/>
  <c r="Z7" i="41"/>
  <c r="Y7" i="41"/>
  <c r="P7" i="41"/>
  <c r="O7" i="41"/>
  <c r="N7" i="41"/>
  <c r="E7" i="41"/>
  <c r="D7" i="41"/>
  <c r="C7" i="41"/>
  <c r="B7" i="41"/>
  <c r="E50" i="33"/>
  <c r="E49" i="33"/>
  <c r="E48" i="33"/>
  <c r="E47" i="33"/>
  <c r="E46" i="33"/>
  <c r="E45" i="33"/>
  <c r="E44" i="33"/>
  <c r="E43" i="33"/>
  <c r="K42" i="33"/>
  <c r="E42" i="33"/>
  <c r="K41" i="33"/>
  <c r="E41" i="33"/>
  <c r="K40" i="33"/>
  <c r="E40" i="33"/>
  <c r="K39" i="33"/>
  <c r="E39" i="33"/>
  <c r="K38" i="33"/>
  <c r="E38" i="33"/>
  <c r="K37" i="33"/>
  <c r="E37" i="33"/>
  <c r="K36" i="33"/>
  <c r="E36" i="33"/>
  <c r="K35" i="33"/>
  <c r="E35" i="33"/>
  <c r="K34" i="33"/>
  <c r="K33" i="33"/>
  <c r="K32" i="33"/>
  <c r="T24" i="33"/>
  <c r="S24" i="33"/>
  <c r="R24" i="33"/>
  <c r="Q24" i="33"/>
  <c r="E24" i="33"/>
  <c r="D24" i="33"/>
  <c r="C24" i="33"/>
  <c r="R23" i="33"/>
  <c r="E23" i="33"/>
  <c r="D23" i="33"/>
  <c r="C23" i="33"/>
  <c r="T22" i="33"/>
  <c r="Q22" i="33"/>
  <c r="E22" i="33"/>
  <c r="D22" i="33"/>
  <c r="C22" i="33"/>
  <c r="B22" i="33"/>
  <c r="AQ21" i="33"/>
  <c r="AO21" i="33"/>
  <c r="AN21" i="33"/>
  <c r="T21" i="33"/>
  <c r="S21" i="33"/>
  <c r="R21" i="33"/>
  <c r="E21" i="33"/>
  <c r="D21" i="33"/>
  <c r="C21" i="33"/>
  <c r="B21" i="33"/>
  <c r="AQ20" i="33"/>
  <c r="AO20" i="33"/>
  <c r="AN20" i="33"/>
  <c r="T20" i="33"/>
  <c r="S20" i="33"/>
  <c r="R20" i="33"/>
  <c r="Q20" i="33"/>
  <c r="E20" i="33"/>
  <c r="D20" i="33"/>
  <c r="C20" i="33"/>
  <c r="B20" i="33"/>
  <c r="AO19" i="33"/>
  <c r="AN19" i="33"/>
  <c r="R19" i="33"/>
  <c r="E19" i="33"/>
  <c r="D19" i="33"/>
  <c r="C19" i="33"/>
  <c r="AN18" i="33"/>
  <c r="Q18" i="33"/>
  <c r="E18" i="33"/>
  <c r="D18" i="33"/>
  <c r="C18" i="33"/>
  <c r="B18" i="33"/>
  <c r="T17" i="33"/>
  <c r="S17" i="33"/>
  <c r="R17" i="33"/>
  <c r="E17" i="33"/>
  <c r="D17" i="33"/>
  <c r="C17" i="33"/>
  <c r="AQ16" i="33"/>
  <c r="AO16" i="33"/>
  <c r="AB16" i="33"/>
  <c r="AA16" i="33"/>
  <c r="Z16" i="33"/>
  <c r="Y16" i="33"/>
  <c r="T16" i="33"/>
  <c r="S16" i="33"/>
  <c r="R16" i="33"/>
  <c r="Q16" i="33"/>
  <c r="M16" i="33"/>
  <c r="L16" i="33"/>
  <c r="K16" i="33"/>
  <c r="E16" i="33"/>
  <c r="D16" i="33"/>
  <c r="C16" i="33"/>
  <c r="B16" i="33"/>
  <c r="AQ15" i="33"/>
  <c r="AO15" i="33"/>
  <c r="AN15" i="33"/>
  <c r="AI15" i="33"/>
  <c r="AG15" i="33"/>
  <c r="Z15" i="33"/>
  <c r="R15" i="33"/>
  <c r="M15" i="33"/>
  <c r="L15" i="33"/>
  <c r="K15" i="33"/>
  <c r="J15" i="33"/>
  <c r="E15" i="33"/>
  <c r="D15" i="33"/>
  <c r="C15" i="33"/>
  <c r="AO14" i="33"/>
  <c r="AN14" i="33"/>
  <c r="AI14" i="33"/>
  <c r="AG14" i="33"/>
  <c r="AF14" i="33"/>
  <c r="Y14" i="33"/>
  <c r="Q14" i="33"/>
  <c r="M14" i="33"/>
  <c r="L14" i="33"/>
  <c r="K14" i="33"/>
  <c r="J14" i="33"/>
  <c r="E14" i="33"/>
  <c r="D14" i="33"/>
  <c r="C14" i="33"/>
  <c r="B14" i="33"/>
  <c r="AN13" i="33"/>
  <c r="AG13" i="33"/>
  <c r="AB13" i="33"/>
  <c r="AA13" i="33"/>
  <c r="Z13" i="33"/>
  <c r="T13" i="33"/>
  <c r="S13" i="33"/>
  <c r="R13" i="33"/>
  <c r="M13" i="33"/>
  <c r="L13" i="33"/>
  <c r="K13" i="33"/>
  <c r="J13" i="33"/>
  <c r="E13" i="33"/>
  <c r="D13" i="33"/>
  <c r="C13" i="33"/>
  <c r="B13" i="33"/>
  <c r="AF12" i="33"/>
  <c r="T12" i="33"/>
  <c r="S12" i="33"/>
  <c r="R12" i="33"/>
  <c r="Q12" i="33"/>
  <c r="E12" i="33"/>
  <c r="D12" i="33"/>
  <c r="C12" i="33"/>
  <c r="B12" i="33"/>
  <c r="AQ11" i="33"/>
  <c r="AO11" i="33"/>
  <c r="AI11" i="33"/>
  <c r="AG11" i="33"/>
  <c r="AB11" i="33"/>
  <c r="AA11" i="33"/>
  <c r="Z11" i="33"/>
  <c r="Y11" i="33"/>
  <c r="R11" i="33"/>
  <c r="Q11" i="33"/>
  <c r="M11" i="33"/>
  <c r="L11" i="33"/>
  <c r="K11" i="33"/>
  <c r="E11" i="33"/>
  <c r="D11" i="33"/>
  <c r="C11" i="33"/>
  <c r="AQ10" i="33"/>
  <c r="AO10" i="33"/>
  <c r="AN10" i="33"/>
  <c r="AI10" i="33"/>
  <c r="AG10" i="33"/>
  <c r="AF10" i="33"/>
  <c r="Z10" i="33"/>
  <c r="Y10" i="33"/>
  <c r="T10" i="33"/>
  <c r="Q10" i="33"/>
  <c r="M10" i="33"/>
  <c r="L10" i="33"/>
  <c r="K10" i="33"/>
  <c r="E10" i="33"/>
  <c r="D10" i="33"/>
  <c r="C10" i="33"/>
  <c r="B10" i="33"/>
  <c r="AO9" i="33"/>
  <c r="AG9" i="33"/>
  <c r="AA9" i="33"/>
  <c r="Y9" i="33"/>
  <c r="T9" i="33"/>
  <c r="S9" i="33"/>
  <c r="R9" i="33"/>
  <c r="M9" i="33"/>
  <c r="L9" i="33"/>
  <c r="K9" i="33"/>
  <c r="J9" i="33"/>
  <c r="E9" i="33"/>
  <c r="D9" i="33"/>
  <c r="C9" i="33"/>
  <c r="B9" i="33"/>
  <c r="AN8" i="33"/>
  <c r="AI8" i="33"/>
  <c r="AG8" i="33"/>
  <c r="AF8" i="33"/>
  <c r="AB8" i="33"/>
  <c r="AA8" i="33"/>
  <c r="Z8" i="33"/>
  <c r="T8" i="33"/>
  <c r="S8" i="33"/>
  <c r="R8" i="33"/>
  <c r="Q8" i="33"/>
  <c r="M8" i="33"/>
  <c r="L8" i="33"/>
  <c r="K8" i="33"/>
  <c r="E8" i="33"/>
  <c r="D8" i="33"/>
  <c r="C8" i="33"/>
  <c r="AI7" i="33"/>
  <c r="AG7" i="33"/>
  <c r="E7" i="33"/>
  <c r="D7" i="33"/>
  <c r="C7" i="33"/>
  <c r="D42" i="50" l="1"/>
  <c r="D48" i="50"/>
  <c r="AP15" i="33"/>
  <c r="AP11" i="33"/>
  <c r="AP21" i="33"/>
  <c r="AR21" i="33" s="1"/>
  <c r="AS21" i="33" s="1"/>
  <c r="D46" i="49"/>
  <c r="AH11" i="33"/>
  <c r="AH7" i="33"/>
  <c r="AP16" i="33"/>
  <c r="Z9" i="45"/>
  <c r="AF9" i="45"/>
  <c r="Z17" i="45"/>
  <c r="D45" i="45"/>
  <c r="AE10" i="45"/>
  <c r="Y10" i="45"/>
  <c r="AE14" i="45"/>
  <c r="U14" i="45"/>
  <c r="O15" i="45"/>
  <c r="U18" i="45"/>
  <c r="AH13" i="33"/>
  <c r="AP9" i="33"/>
  <c r="D29" i="45"/>
  <c r="X11" i="45"/>
  <c r="X15" i="45"/>
  <c r="M16" i="45"/>
  <c r="S7" i="45"/>
  <c r="M12" i="45"/>
  <c r="Q7" i="33"/>
  <c r="Y15" i="33"/>
  <c r="R10" i="33"/>
  <c r="R22" i="33"/>
  <c r="AO13" i="33"/>
  <c r="S11" i="33"/>
  <c r="AP14" i="33"/>
  <c r="AQ14" i="33"/>
  <c r="M12" i="41"/>
  <c r="S14" i="41"/>
  <c r="Y13" i="41"/>
  <c r="AE10" i="41"/>
  <c r="AE19" i="41"/>
  <c r="Z9" i="41"/>
  <c r="Z13" i="41"/>
  <c r="AF10" i="41"/>
  <c r="AF15" i="41"/>
  <c r="AF19" i="41"/>
  <c r="R14" i="33"/>
  <c r="S15" i="33"/>
  <c r="S23" i="33"/>
  <c r="AI13" i="33"/>
  <c r="AQ19" i="33"/>
  <c r="X9" i="41"/>
  <c r="AD10" i="41"/>
  <c r="AD19" i="41"/>
  <c r="T11" i="33"/>
  <c r="Q15" i="33"/>
  <c r="R18" i="33"/>
  <c r="Z14" i="33"/>
  <c r="AG12" i="33"/>
  <c r="D44" i="33" s="1"/>
  <c r="AO18" i="33"/>
  <c r="AA15" i="33"/>
  <c r="T7" i="33"/>
  <c r="T19" i="33"/>
  <c r="X13" i="41"/>
  <c r="S7" i="33"/>
  <c r="AH9" i="33"/>
  <c r="AQ9" i="33"/>
  <c r="Z9" i="33"/>
  <c r="D40" i="33" s="1"/>
  <c r="AI9" i="33"/>
  <c r="Q23" i="33"/>
  <c r="AD15" i="41"/>
  <c r="D33" i="45"/>
  <c r="D49" i="45"/>
  <c r="D40" i="49"/>
  <c r="D35" i="49"/>
  <c r="D41" i="45"/>
  <c r="D37" i="45"/>
  <c r="AA8" i="41"/>
  <c r="AG9" i="41"/>
  <c r="AA12" i="41"/>
  <c r="AG14" i="41"/>
  <c r="AG18" i="41"/>
  <c r="Z8" i="41"/>
  <c r="O15" i="41"/>
  <c r="AD18" i="41"/>
  <c r="AE18" i="41"/>
  <c r="Y12" i="41"/>
  <c r="V8" i="41"/>
  <c r="V14" i="41"/>
  <c r="D31" i="41"/>
  <c r="V17" i="41"/>
  <c r="P19" i="41"/>
  <c r="D35" i="41" s="1"/>
  <c r="D27" i="41"/>
  <c r="U14" i="41"/>
  <c r="D26" i="41"/>
  <c r="U18" i="41"/>
  <c r="U19" i="41"/>
  <c r="D30" i="41"/>
  <c r="U8" i="41"/>
  <c r="O16" i="41"/>
  <c r="D37" i="41"/>
  <c r="D29" i="41"/>
  <c r="AE8" i="41"/>
  <c r="AE11" i="41"/>
  <c r="Y14" i="41"/>
  <c r="AE20" i="41"/>
  <c r="D25" i="41"/>
  <c r="AE17" i="41"/>
  <c r="D33" i="41"/>
  <c r="M11" i="41"/>
  <c r="D28" i="41"/>
  <c r="D24" i="41"/>
  <c r="X7" i="41"/>
  <c r="M10" i="41"/>
  <c r="X11" i="41"/>
  <c r="AD13" i="41"/>
  <c r="S16" i="41"/>
  <c r="AD17" i="41"/>
  <c r="M18" i="41"/>
  <c r="AD8" i="41"/>
  <c r="S10" i="41"/>
  <c r="D36" i="41" s="1"/>
  <c r="M14" i="41"/>
  <c r="AB14" i="33"/>
  <c r="AQ18" i="33"/>
  <c r="AB9" i="33"/>
  <c r="AI12" i="33"/>
  <c r="T14" i="33"/>
  <c r="AQ8" i="33"/>
  <c r="AQ13" i="33"/>
  <c r="AH8" i="33"/>
  <c r="AJ8" i="33" s="1"/>
  <c r="AK8" i="33" s="1"/>
  <c r="AP8" i="33"/>
  <c r="AP13" i="33"/>
  <c r="S14" i="33"/>
  <c r="AA14" i="33"/>
  <c r="S22" i="33"/>
  <c r="S19" i="33"/>
  <c r="AP19" i="33"/>
  <c r="S10" i="33"/>
  <c r="AA10" i="33"/>
  <c r="AC10" i="33" s="1"/>
  <c r="AD10" i="33" s="1"/>
  <c r="AH12" i="33"/>
  <c r="S18" i="33"/>
  <c r="AP18" i="33"/>
  <c r="D34" i="33"/>
  <c r="D30" i="33"/>
  <c r="D29" i="33"/>
  <c r="D33" i="33"/>
  <c r="N15" i="33"/>
  <c r="O15" i="33" s="1"/>
  <c r="D32" i="33"/>
  <c r="F9" i="33"/>
  <c r="G9" i="33" s="1"/>
  <c r="N9" i="33"/>
  <c r="O9" i="33" s="1"/>
  <c r="D28" i="33"/>
  <c r="F20" i="33"/>
  <c r="G20" i="33" s="1"/>
  <c r="U20" i="33"/>
  <c r="V20" i="33" s="1"/>
  <c r="AR20" i="33"/>
  <c r="AS20" i="33" s="1"/>
  <c r="F21" i="33"/>
  <c r="G21" i="33" s="1"/>
  <c r="B8" i="33"/>
  <c r="F8" i="33" s="1"/>
  <c r="G8" i="33" s="1"/>
  <c r="J8" i="33"/>
  <c r="N8" i="33" s="1"/>
  <c r="O8" i="33" s="1"/>
  <c r="J11" i="33"/>
  <c r="N11" i="33" s="1"/>
  <c r="O11" i="33" s="1"/>
  <c r="B17" i="33"/>
  <c r="F17" i="33" s="1"/>
  <c r="G17" i="33" s="1"/>
  <c r="B24" i="33"/>
  <c r="F24" i="33" s="1"/>
  <c r="G24" i="33" s="1"/>
  <c r="J16" i="33"/>
  <c r="N16" i="33" s="1"/>
  <c r="O16" i="33" s="1"/>
  <c r="AJ10" i="33"/>
  <c r="AK10" i="33" s="1"/>
  <c r="AR10" i="33"/>
  <c r="AS10" i="33" s="1"/>
  <c r="U24" i="33"/>
  <c r="V24" i="33" s="1"/>
  <c r="F10" i="33"/>
  <c r="G10" i="33" s="1"/>
  <c r="F12" i="33"/>
  <c r="G12" i="33" s="1"/>
  <c r="U12" i="33"/>
  <c r="V12" i="33" s="1"/>
  <c r="F13" i="33"/>
  <c r="G13" i="33" s="1"/>
  <c r="N13" i="33"/>
  <c r="O13" i="33" s="1"/>
  <c r="AR15" i="33"/>
  <c r="AS15" i="33" s="1"/>
  <c r="F16" i="33"/>
  <c r="G16" i="33" s="1"/>
  <c r="U16" i="33"/>
  <c r="V16" i="33" s="1"/>
  <c r="AC16" i="33"/>
  <c r="AD16" i="33" s="1"/>
  <c r="F22" i="33"/>
  <c r="G22" i="33" s="1"/>
  <c r="H7" i="45"/>
  <c r="M7" i="45"/>
  <c r="B8" i="45"/>
  <c r="S10" i="45"/>
  <c r="X10" i="45"/>
  <c r="AD10" i="45"/>
  <c r="H11" i="45"/>
  <c r="M11" i="45"/>
  <c r="B12" i="45"/>
  <c r="S14" i="45"/>
  <c r="X14" i="45"/>
  <c r="AD14" i="45"/>
  <c r="H15" i="45"/>
  <c r="M15" i="45"/>
  <c r="B16" i="45"/>
  <c r="S18" i="45"/>
  <c r="X18" i="45"/>
  <c r="M19" i="45"/>
  <c r="B20" i="45"/>
  <c r="V7" i="49"/>
  <c r="D41" i="49" s="1"/>
  <c r="O18" i="49"/>
  <c r="D36" i="49" s="1"/>
  <c r="U8" i="33"/>
  <c r="V8" i="33" s="1"/>
  <c r="AC11" i="33"/>
  <c r="AD11" i="33" s="1"/>
  <c r="F14" i="33"/>
  <c r="G14" i="33" s="1"/>
  <c r="N14" i="33"/>
  <c r="O14" i="33" s="1"/>
  <c r="AJ14" i="33"/>
  <c r="AK14" i="33" s="1"/>
  <c r="F18" i="33"/>
  <c r="G18" i="33" s="1"/>
  <c r="T7" i="45"/>
  <c r="Y7" i="45"/>
  <c r="AE7" i="45"/>
  <c r="I8" i="45"/>
  <c r="N8" i="45"/>
  <c r="C9" i="45"/>
  <c r="T11" i="45"/>
  <c r="Y11" i="45"/>
  <c r="AE11" i="45"/>
  <c r="I12" i="45"/>
  <c r="N12" i="45"/>
  <c r="C13" i="45"/>
  <c r="T15" i="45"/>
  <c r="Y15" i="45"/>
  <c r="AE15" i="45"/>
  <c r="I16" i="45"/>
  <c r="N16" i="45"/>
  <c r="C17" i="45"/>
  <c r="C21" i="45"/>
  <c r="U8" i="45"/>
  <c r="Z8" i="45"/>
  <c r="AF8" i="45"/>
  <c r="J9" i="45"/>
  <c r="O9" i="45"/>
  <c r="D10" i="45"/>
  <c r="U12" i="45"/>
  <c r="Z12" i="45"/>
  <c r="AF12" i="45"/>
  <c r="J13" i="45"/>
  <c r="O13" i="45"/>
  <c r="D14" i="45"/>
  <c r="U16" i="45"/>
  <c r="Z16" i="45"/>
  <c r="J17" i="45"/>
  <c r="O17" i="45"/>
  <c r="D18" i="45"/>
  <c r="D22" i="45"/>
  <c r="F19" i="33"/>
  <c r="G19" i="33" s="1"/>
  <c r="AJ15" i="33"/>
  <c r="AK15" i="33" s="1"/>
  <c r="Q21" i="33"/>
  <c r="U21" i="33" s="1"/>
  <c r="V21" i="33" s="1"/>
  <c r="B7" i="33"/>
  <c r="AF7" i="33"/>
  <c r="AN11" i="33"/>
  <c r="Y13" i="33"/>
  <c r="AC13" i="33" s="1"/>
  <c r="AD13" i="33" s="1"/>
  <c r="AN16" i="33"/>
  <c r="B23" i="33"/>
  <c r="F23" i="33" s="1"/>
  <c r="G23" i="33" s="1"/>
  <c r="Y8" i="33"/>
  <c r="J10" i="33"/>
  <c r="N10" i="33" s="1"/>
  <c r="O10" i="33" s="1"/>
  <c r="B15" i="33"/>
  <c r="F15" i="33" s="1"/>
  <c r="G15" i="33" s="1"/>
  <c r="Q9" i="33"/>
  <c r="U9" i="33" s="1"/>
  <c r="V9" i="33" s="1"/>
  <c r="B11" i="33"/>
  <c r="F11" i="33" s="1"/>
  <c r="G11" i="33" s="1"/>
  <c r="AF11" i="33"/>
  <c r="Q13" i="33"/>
  <c r="U13" i="33" s="1"/>
  <c r="V13" i="33" s="1"/>
  <c r="Q17" i="33"/>
  <c r="U17" i="33" s="1"/>
  <c r="V17" i="33" s="1"/>
  <c r="AJ11" i="33" l="1"/>
  <c r="AK11" i="33" s="1"/>
  <c r="D44" i="45"/>
  <c r="AR11" i="33"/>
  <c r="AS11" i="33" s="1"/>
  <c r="AR16" i="33"/>
  <c r="AS16" i="33" s="1"/>
  <c r="U15" i="33"/>
  <c r="V15" i="33" s="1"/>
  <c r="D35" i="45"/>
  <c r="AJ9" i="33"/>
  <c r="AK9" i="33" s="1"/>
  <c r="AC15" i="33"/>
  <c r="AD15" i="33" s="1"/>
  <c r="U10" i="33"/>
  <c r="V10" i="33" s="1"/>
  <c r="U23" i="33"/>
  <c r="V23" i="33" s="1"/>
  <c r="AJ13" i="33"/>
  <c r="AK13" i="33" s="1"/>
  <c r="AR14" i="33"/>
  <c r="AS14" i="33" s="1"/>
  <c r="D36" i="45"/>
  <c r="AR9" i="33"/>
  <c r="AS9" i="33" s="1"/>
  <c r="D45" i="33"/>
  <c r="D28" i="45"/>
  <c r="D32" i="45"/>
  <c r="D27" i="45"/>
  <c r="D48" i="33"/>
  <c r="U11" i="33"/>
  <c r="V11" i="33" s="1"/>
  <c r="AC9" i="33"/>
  <c r="AD9" i="33" s="1"/>
  <c r="AR18" i="33"/>
  <c r="AS18" i="33" s="1"/>
  <c r="D47" i="41"/>
  <c r="D43" i="41"/>
  <c r="D46" i="41"/>
  <c r="D42" i="41"/>
  <c r="D34" i="41"/>
  <c r="U19" i="33"/>
  <c r="V19" i="33" s="1"/>
  <c r="AR13" i="33"/>
  <c r="AS13" i="33" s="1"/>
  <c r="D50" i="33"/>
  <c r="D38" i="33"/>
  <c r="D42" i="33"/>
  <c r="AR8" i="33"/>
  <c r="AS8" i="33" s="1"/>
  <c r="D40" i="45"/>
  <c r="D48" i="45"/>
  <c r="D31" i="45"/>
  <c r="D46" i="33"/>
  <c r="D39" i="41"/>
  <c r="D26" i="45"/>
  <c r="U22" i="33"/>
  <c r="V22" i="33" s="1"/>
  <c r="AC14" i="33"/>
  <c r="AD14" i="33" s="1"/>
  <c r="D38" i="45"/>
  <c r="U18" i="33"/>
  <c r="V18" i="33" s="1"/>
  <c r="U14" i="33"/>
  <c r="V14" i="33" s="1"/>
  <c r="D41" i="41"/>
  <c r="D38" i="41"/>
  <c r="D45" i="41"/>
  <c r="D32" i="41"/>
  <c r="D40" i="41"/>
  <c r="D44" i="41"/>
  <c r="AJ12" i="33"/>
  <c r="AK12" i="33" s="1"/>
  <c r="D41" i="33"/>
  <c r="D49" i="33"/>
  <c r="D37" i="33"/>
  <c r="AR19" i="33"/>
  <c r="AS19" i="33" s="1"/>
  <c r="D47" i="45"/>
  <c r="D43" i="45"/>
  <c r="D46" i="45"/>
  <c r="D34" i="45"/>
  <c r="D39" i="45"/>
  <c r="D42" i="45"/>
  <c r="D30" i="45"/>
  <c r="D31" i="33"/>
  <c r="D27" i="33"/>
  <c r="F7" i="33"/>
  <c r="G7" i="33" s="1"/>
  <c r="D43" i="33"/>
  <c r="AJ7" i="33"/>
  <c r="AK7" i="33" s="1"/>
  <c r="D35" i="33"/>
  <c r="D39" i="33"/>
  <c r="AC8" i="33"/>
  <c r="AD8" i="33" s="1"/>
  <c r="D47" i="33"/>
  <c r="R7" i="33" l="1"/>
  <c r="D36" i="33" s="1"/>
  <c r="U7" i="33" l="1"/>
  <c r="V7" i="33" s="1"/>
</calcChain>
</file>

<file path=xl/sharedStrings.xml><?xml version="1.0" encoding="utf-8"?>
<sst xmlns="http://schemas.openxmlformats.org/spreadsheetml/2006/main" count="1149" uniqueCount="548">
  <si>
    <t>HFWs</t>
    <phoneticPr fontId="1" type="noConversion"/>
  </si>
  <si>
    <t>Phonics</t>
    <phoneticPr fontId="1" type="noConversion"/>
  </si>
  <si>
    <t>High Frequency Words and Phonics Assessment</t>
  </si>
  <si>
    <t>my</t>
    <phoneticPr fontId="1" type="noConversion"/>
  </si>
  <si>
    <t>is</t>
    <phoneticPr fontId="1" type="noConversion"/>
  </si>
  <si>
    <t>am</t>
    <phoneticPr fontId="1" type="noConversion"/>
  </si>
  <si>
    <t>five</t>
    <phoneticPr fontId="1" type="noConversion"/>
  </si>
  <si>
    <t>in</t>
    <phoneticPr fontId="1" type="noConversion"/>
  </si>
  <si>
    <t>this</t>
    <phoneticPr fontId="1" type="noConversion"/>
  </si>
  <si>
    <t>the</t>
    <phoneticPr fontId="1" type="noConversion"/>
  </si>
  <si>
    <t>like</t>
    <phoneticPr fontId="1" type="noConversion"/>
  </si>
  <si>
    <t>red</t>
    <phoneticPr fontId="1" type="noConversion"/>
  </si>
  <si>
    <t>old</t>
    <phoneticPr fontId="1" type="noConversion"/>
  </si>
  <si>
    <t>six</t>
    <phoneticPr fontId="1" type="noConversion"/>
  </si>
  <si>
    <t>on</t>
    <phoneticPr fontId="1" type="noConversion"/>
  </si>
  <si>
    <t>it</t>
    <phoneticPr fontId="1" type="noConversion"/>
  </si>
  <si>
    <t>she</t>
    <phoneticPr fontId="1" type="noConversion"/>
  </si>
  <si>
    <t>blue</t>
    <phoneticPr fontId="1" type="noConversion"/>
  </si>
  <si>
    <t>no</t>
    <phoneticPr fontId="1" type="noConversion"/>
  </si>
  <si>
    <t>T</t>
    <phoneticPr fontId="1" type="noConversion"/>
  </si>
  <si>
    <t>B</t>
    <phoneticPr fontId="1" type="noConversion"/>
  </si>
  <si>
    <t>R</t>
    <phoneticPr fontId="1" type="noConversion"/>
  </si>
  <si>
    <t>A</t>
    <phoneticPr fontId="1" type="noConversion"/>
  </si>
  <si>
    <t>Unit 2: My Friend, Oscar</t>
    <phoneticPr fontId="1" type="noConversion"/>
  </si>
  <si>
    <t>our</t>
    <phoneticPr fontId="1" type="noConversion"/>
  </si>
  <si>
    <t>we</t>
    <phoneticPr fontId="1" type="noConversion"/>
  </si>
  <si>
    <t>they</t>
    <phoneticPr fontId="1" type="noConversion"/>
  </si>
  <si>
    <t>has</t>
    <phoneticPr fontId="1" type="noConversion"/>
  </si>
  <si>
    <t>are</t>
    <phoneticPr fontId="1" type="noConversion"/>
  </si>
  <si>
    <t>his</t>
    <phoneticPr fontId="1" type="noConversion"/>
  </si>
  <si>
    <t>he</t>
    <phoneticPr fontId="1" type="noConversion"/>
  </si>
  <si>
    <t>what</t>
    <phoneticPr fontId="1" type="noConversion"/>
  </si>
  <si>
    <t>have</t>
    <phoneticPr fontId="1" type="noConversion"/>
  </si>
  <si>
    <t>and</t>
    <phoneticPr fontId="1" type="noConversion"/>
  </si>
  <si>
    <t>one</t>
    <phoneticPr fontId="1" type="noConversion"/>
  </si>
  <si>
    <t>M</t>
    <phoneticPr fontId="1" type="noConversion"/>
  </si>
  <si>
    <t>O</t>
    <phoneticPr fontId="1" type="noConversion"/>
  </si>
  <si>
    <t>Sound</t>
    <phoneticPr fontId="1" type="noConversion"/>
  </si>
  <si>
    <t>Letter</t>
    <phoneticPr fontId="1" type="noConversion"/>
  </si>
  <si>
    <t>S</t>
    <phoneticPr fontId="1" type="noConversion"/>
  </si>
  <si>
    <t>H</t>
    <phoneticPr fontId="1" type="noConversion"/>
  </si>
  <si>
    <t>I</t>
    <phoneticPr fontId="1" type="noConversion"/>
  </si>
  <si>
    <t>a</t>
    <phoneticPr fontId="1" type="noConversion"/>
  </si>
  <si>
    <t>to</t>
    <phoneticPr fontId="1" type="noConversion"/>
  </si>
  <si>
    <t>can</t>
    <phoneticPr fontId="1" type="noConversion"/>
  </si>
  <si>
    <t>put</t>
    <phoneticPr fontId="1" type="noConversion"/>
  </si>
  <si>
    <t>her</t>
    <phoneticPr fontId="1" type="noConversion"/>
  </si>
  <si>
    <t>make</t>
    <phoneticPr fontId="1" type="noConversion"/>
  </si>
  <si>
    <t>Unit 3: Grandma and the Birthday Cake</t>
    <phoneticPr fontId="1" type="noConversion"/>
  </si>
  <si>
    <t>C</t>
    <phoneticPr fontId="1" type="noConversion"/>
  </si>
  <si>
    <t>N</t>
    <phoneticPr fontId="1" type="noConversion"/>
  </si>
  <si>
    <t>E</t>
    <phoneticPr fontId="1" type="noConversion"/>
  </si>
  <si>
    <t>out</t>
    <phoneticPr fontId="1" type="noConversion"/>
  </si>
  <si>
    <t>where</t>
    <phoneticPr fontId="1" type="noConversion"/>
  </si>
  <si>
    <t>see</t>
    <phoneticPr fontId="1" type="noConversion"/>
  </si>
  <si>
    <t>why</t>
    <phoneticPr fontId="1" type="noConversion"/>
  </si>
  <si>
    <t>at</t>
    <phoneticPr fontId="1" type="noConversion"/>
  </si>
  <si>
    <t>some</t>
    <phoneticPr fontId="1" type="noConversion"/>
  </si>
  <si>
    <t>here</t>
    <phoneticPr fontId="1" type="noConversion"/>
  </si>
  <si>
    <t>green</t>
    <phoneticPr fontId="1" type="noConversion"/>
  </si>
  <si>
    <t>Unit 13: Mouse to Mouse</t>
    <phoneticPr fontId="1" type="noConversion"/>
  </si>
  <si>
    <t>an</t>
    <phoneticPr fontId="1" type="noConversion"/>
  </si>
  <si>
    <t>or</t>
    <phoneticPr fontId="1" type="noConversion"/>
  </si>
  <si>
    <t>into</t>
    <phoneticPr fontId="1" type="noConversion"/>
  </si>
  <si>
    <t>know</t>
    <phoneticPr fontId="1" type="noConversion"/>
  </si>
  <si>
    <t>up</t>
    <phoneticPr fontId="1" type="noConversion"/>
  </si>
  <si>
    <t>from</t>
    <phoneticPr fontId="1" type="noConversion"/>
  </si>
  <si>
    <t>find</t>
    <phoneticPr fontId="1" type="noConversion"/>
  </si>
  <si>
    <t>light</t>
    <phoneticPr fontId="1" type="noConversion"/>
  </si>
  <si>
    <t>please</t>
    <phoneticPr fontId="1" type="noConversion"/>
  </si>
  <si>
    <t>off</t>
    <phoneticPr fontId="1" type="noConversion"/>
  </si>
  <si>
    <t>down</t>
    <phoneticPr fontId="1" type="noConversion"/>
  </si>
  <si>
    <t>let</t>
    <phoneticPr fontId="1" type="noConversion"/>
  </si>
  <si>
    <t>Mike</t>
    <phoneticPr fontId="1" type="noConversion"/>
  </si>
  <si>
    <t>bike</t>
    <phoneticPr fontId="1" type="noConversion"/>
  </si>
  <si>
    <t>kite</t>
    <phoneticPr fontId="1" type="noConversion"/>
  </si>
  <si>
    <t>ties</t>
    <phoneticPr fontId="1" type="noConversion"/>
  </si>
  <si>
    <t>flies</t>
    <phoneticPr fontId="1" type="noConversion"/>
  </si>
  <si>
    <t>cries</t>
    <phoneticPr fontId="1" type="noConversion"/>
  </si>
  <si>
    <t>pies</t>
    <phoneticPr fontId="1" type="noConversion"/>
  </si>
  <si>
    <t>die</t>
    <phoneticPr fontId="1" type="noConversion"/>
  </si>
  <si>
    <t>cry</t>
    <phoneticPr fontId="1" type="noConversion"/>
  </si>
  <si>
    <t>fly</t>
    <phoneticPr fontId="1" type="noConversion"/>
  </si>
  <si>
    <t>Unit 7: The Magic Science Museum</t>
    <phoneticPr fontId="1" type="noConversion"/>
  </si>
  <si>
    <t>Unit 8: At the Beach</t>
    <phoneticPr fontId="1" type="noConversion"/>
  </si>
  <si>
    <t>again</t>
    <phoneticPr fontId="1" type="noConversion"/>
  </si>
  <si>
    <t>by</t>
    <phoneticPr fontId="1" type="noConversion"/>
  </si>
  <si>
    <t>first</t>
    <phoneticPr fontId="1" type="noConversion"/>
  </si>
  <si>
    <t>go</t>
    <phoneticPr fontId="1" type="noConversion"/>
  </si>
  <si>
    <t>keep</t>
    <phoneticPr fontId="1" type="noConversion"/>
  </si>
  <si>
    <t>must</t>
    <phoneticPr fontId="1" type="noConversion"/>
  </si>
  <si>
    <t>sit</t>
    <phoneticPr fontId="1" type="noConversion"/>
  </si>
  <si>
    <t>today</t>
    <phoneticPr fontId="1" type="noConversion"/>
  </si>
  <si>
    <t>big</t>
    <phoneticPr fontId="1" type="noConversion"/>
  </si>
  <si>
    <t>funny</t>
    <phoneticPr fontId="1" type="noConversion"/>
  </si>
  <si>
    <t>jump</t>
    <phoneticPr fontId="1" type="noConversion"/>
  </si>
  <si>
    <t>look</t>
    <phoneticPr fontId="1" type="noConversion"/>
  </si>
  <si>
    <t>not</t>
    <phoneticPr fontId="1" type="noConversion"/>
  </si>
  <si>
    <t>them</t>
    <phoneticPr fontId="1" type="noConversion"/>
  </si>
  <si>
    <t>Qu</t>
    <phoneticPr fontId="1" type="noConversion"/>
  </si>
  <si>
    <t>X</t>
    <phoneticPr fontId="1" type="noConversion"/>
  </si>
  <si>
    <t>Z</t>
    <phoneticPr fontId="1" type="noConversion"/>
  </si>
  <si>
    <t>ip</t>
    <phoneticPr fontId="1" type="noConversion"/>
  </si>
  <si>
    <t>hot</t>
    <phoneticPr fontId="1" type="noConversion"/>
  </si>
  <si>
    <t>very</t>
    <phoneticPr fontId="1" type="noConversion"/>
  </si>
  <si>
    <t>V</t>
    <phoneticPr fontId="1" type="noConversion"/>
  </si>
  <si>
    <t>sh</t>
    <phoneticPr fontId="1" type="noConversion"/>
  </si>
  <si>
    <t>ot</t>
    <phoneticPr fontId="1" type="noConversion"/>
  </si>
  <si>
    <t>th</t>
    <phoneticPr fontId="1" type="noConversion"/>
  </si>
  <si>
    <t>ch</t>
    <phoneticPr fontId="1" type="noConversion"/>
  </si>
  <si>
    <t>wh</t>
    <phoneticPr fontId="1" type="noConversion"/>
  </si>
  <si>
    <t>et</t>
    <phoneticPr fontId="1" type="noConversion"/>
  </si>
  <si>
    <t>Unit 9: Our Cousins in Canada</t>
    <phoneticPr fontId="1" type="noConversion"/>
  </si>
  <si>
    <t>going</t>
    <phoneticPr fontId="1" type="noConversion"/>
  </si>
  <si>
    <t>Unit 10: A Tale of Two Turtles</t>
    <phoneticPr fontId="1" type="noConversion"/>
  </si>
  <si>
    <t>always</t>
    <phoneticPr fontId="1" type="noConversion"/>
  </si>
  <si>
    <t>cold</t>
    <phoneticPr fontId="1" type="noConversion"/>
  </si>
  <si>
    <t>every</t>
    <phoneticPr fontId="1" type="noConversion"/>
  </si>
  <si>
    <t>together</t>
    <phoneticPr fontId="1" type="noConversion"/>
  </si>
  <si>
    <t>thank</t>
    <phoneticPr fontId="1" type="noConversion"/>
  </si>
  <si>
    <t>want</t>
    <phoneticPr fontId="1" type="noConversion"/>
  </si>
  <si>
    <t>away</t>
    <phoneticPr fontId="1" type="noConversion"/>
  </si>
  <si>
    <t>get</t>
    <phoneticPr fontId="1" type="noConversion"/>
  </si>
  <si>
    <t>now</t>
    <phoneticPr fontId="1" type="noConversion"/>
  </si>
  <si>
    <t>too</t>
    <phoneticPr fontId="1" type="noConversion"/>
  </si>
  <si>
    <t>ad</t>
    <phoneticPr fontId="1" type="noConversion"/>
  </si>
  <si>
    <t>ag</t>
    <phoneticPr fontId="1" type="noConversion"/>
  </si>
  <si>
    <t>all</t>
    <phoneticPr fontId="1" type="noConversion"/>
  </si>
  <si>
    <t>eat</t>
    <phoneticPr fontId="1" type="noConversion"/>
  </si>
  <si>
    <t>kind</t>
    <phoneticPr fontId="1" type="noConversion"/>
  </si>
  <si>
    <t>little</t>
    <phoneticPr fontId="1" type="noConversion"/>
  </si>
  <si>
    <t>new</t>
    <phoneticPr fontId="1" type="noConversion"/>
  </si>
  <si>
    <t>id</t>
    <phoneticPr fontId="1" type="noConversion"/>
  </si>
  <si>
    <t>ig</t>
    <phoneticPr fontId="1" type="noConversion"/>
  </si>
  <si>
    <t>Unit 12: Henry Hamster's Week</t>
    <phoneticPr fontId="1" type="noConversion"/>
  </si>
  <si>
    <t>goes</t>
    <phoneticPr fontId="1" type="noConversion"/>
  </si>
  <si>
    <t>does</t>
    <phoneticPr fontId="1" type="noConversion"/>
  </si>
  <si>
    <t>ud</t>
    <phoneticPr fontId="1" type="noConversion"/>
  </si>
  <si>
    <t>ug</t>
    <phoneticPr fontId="1" type="noConversion"/>
  </si>
  <si>
    <t>um</t>
    <phoneticPr fontId="1" type="noConversion"/>
  </si>
  <si>
    <t>its</t>
    <phoneticPr fontId="1" type="noConversion"/>
  </si>
  <si>
    <t>white</t>
    <phoneticPr fontId="1" type="noConversion"/>
  </si>
  <si>
    <t>if</t>
    <phoneticPr fontId="1" type="noConversion"/>
  </si>
  <si>
    <t>bring</t>
    <phoneticPr fontId="1" type="noConversion"/>
  </si>
  <si>
    <t>yes</t>
    <phoneticPr fontId="1" type="noConversion"/>
  </si>
  <si>
    <t>may</t>
    <phoneticPr fontId="1" type="noConversion"/>
  </si>
  <si>
    <t>because</t>
    <phoneticPr fontId="1" type="noConversion"/>
  </si>
  <si>
    <t>as</t>
    <phoneticPr fontId="1" type="noConversion"/>
  </si>
  <si>
    <t>that</t>
    <phoneticPr fontId="1" type="noConversion"/>
  </si>
  <si>
    <t>about</t>
    <phoneticPr fontId="1" type="noConversion"/>
  </si>
  <si>
    <t>which</t>
    <phoneticPr fontId="1" type="noConversion"/>
  </si>
  <si>
    <t>only</t>
    <phoneticPr fontId="1" type="noConversion"/>
  </si>
  <si>
    <t>pretty</t>
    <phoneticPr fontId="1" type="noConversion"/>
  </si>
  <si>
    <t>Unit 18: Florence and Drago</t>
    <phoneticPr fontId="1" type="noConversion"/>
  </si>
  <si>
    <t>any</t>
    <phoneticPr fontId="1" type="noConversion"/>
  </si>
  <si>
    <t>done</t>
    <phoneticPr fontId="1" type="noConversion"/>
  </si>
  <si>
    <t>stop</t>
    <phoneticPr fontId="1" type="noConversion"/>
  </si>
  <si>
    <t>beach</t>
    <phoneticPr fontId="1" type="noConversion"/>
  </si>
  <si>
    <t>P.1 Results (2015-16)</t>
    <phoneticPr fontId="1" type="noConversion"/>
  </si>
  <si>
    <t>HFWs (Can Read)</t>
    <phoneticPr fontId="1" type="noConversion"/>
  </si>
  <si>
    <t>Phonics (Can Read)</t>
    <phoneticPr fontId="1" type="noConversion"/>
  </si>
  <si>
    <t>Class
(No. of students)</t>
    <phoneticPr fontId="1" type="noConversion"/>
  </si>
  <si>
    <t>1A
(25)</t>
    <phoneticPr fontId="1" type="noConversion"/>
  </si>
  <si>
    <t>1B
(25)</t>
    <phoneticPr fontId="1" type="noConversion"/>
  </si>
  <si>
    <t>1C
(25)</t>
    <phoneticPr fontId="1" type="noConversion"/>
  </si>
  <si>
    <t>1D
(24)</t>
    <phoneticPr fontId="1" type="noConversion"/>
  </si>
  <si>
    <t>TOTAL
(99)</t>
    <phoneticPr fontId="1" type="noConversion"/>
  </si>
  <si>
    <t>P.2 Results (2015-16)</t>
    <phoneticPr fontId="1" type="noConversion"/>
  </si>
  <si>
    <t>P.3 Results (2015-16)</t>
    <phoneticPr fontId="1" type="noConversion"/>
  </si>
  <si>
    <t>3A
(26)</t>
    <phoneticPr fontId="1" type="noConversion"/>
  </si>
  <si>
    <t>3B
(26)</t>
    <phoneticPr fontId="1" type="noConversion"/>
  </si>
  <si>
    <t>3C
(25)</t>
    <phoneticPr fontId="1" type="noConversion"/>
  </si>
  <si>
    <t>Long Vowel Sounds 'I' (Can Read)</t>
    <phoneticPr fontId="1" type="noConversion"/>
  </si>
  <si>
    <t>Sound</t>
    <phoneticPr fontId="1" type="noConversion"/>
  </si>
  <si>
    <t>play</t>
    <phoneticPr fontId="1" type="noConversion"/>
  </si>
  <si>
    <t>2A
(25)</t>
    <phoneticPr fontId="1" type="noConversion"/>
  </si>
  <si>
    <t>2B
(25)</t>
    <phoneticPr fontId="1" type="noConversion"/>
  </si>
  <si>
    <t>2C
(25)</t>
    <phoneticPr fontId="1" type="noConversion"/>
  </si>
  <si>
    <t>2D
(25)</t>
    <phoneticPr fontId="1" type="noConversion"/>
  </si>
  <si>
    <t>TOTAL
(100)</t>
    <phoneticPr fontId="1" type="noConversion"/>
  </si>
  <si>
    <t>Unit 11: Souperman</t>
    <phoneticPr fontId="1" type="noConversion"/>
  </si>
  <si>
    <t>Unit 14: Cool Kids</t>
    <phoneticPr fontId="1" type="noConversion"/>
  </si>
  <si>
    <t>Unit 15: The Pirate, the Parrot and Fun at the Bun Festival</t>
    <phoneticPr fontId="1" type="noConversion"/>
  </si>
  <si>
    <t>bake</t>
    <phoneticPr fontId="1" type="noConversion"/>
  </si>
  <si>
    <t>cake</t>
    <phoneticPr fontId="1" type="noConversion"/>
  </si>
  <si>
    <t>plate</t>
    <phoneticPr fontId="1" type="noConversion"/>
  </si>
  <si>
    <t>save</t>
    <phoneticPr fontId="1" type="noConversion"/>
  </si>
  <si>
    <t>train</t>
    <phoneticPr fontId="1" type="noConversion"/>
  </si>
  <si>
    <t>rain</t>
    <phoneticPr fontId="1" type="noConversion"/>
  </si>
  <si>
    <t>snail</t>
    <phoneticPr fontId="1" type="noConversion"/>
  </si>
  <si>
    <t>day</t>
    <phoneticPr fontId="1" type="noConversion"/>
  </si>
  <si>
    <t>May</t>
    <phoneticPr fontId="1" type="noConversion"/>
  </si>
  <si>
    <t>mail</t>
    <phoneticPr fontId="1" type="noConversion"/>
  </si>
  <si>
    <t>nine</t>
    <phoneticPr fontId="1" type="noConversion"/>
  </si>
  <si>
    <t>1B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</si>
  <si>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</si>
  <si>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</si>
  <si>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</si>
  <si>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</si>
  <si>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</si>
  <si>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</si>
  <si>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</si>
  <si>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</si>
  <si>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Sound</t>
    <phoneticPr fontId="1" type="noConversion"/>
  </si>
  <si>
    <t>Class</t>
    <phoneticPr fontId="1" type="noConversion"/>
  </si>
  <si>
    <t>Unit 1: My Sister</t>
  </si>
  <si>
    <t>Words</t>
    <phoneticPr fontId="1" type="noConversion"/>
  </si>
  <si>
    <t>shark</t>
    <phoneticPr fontId="1" type="noConversion"/>
  </si>
  <si>
    <t>shout</t>
    <phoneticPr fontId="1" type="noConversion"/>
  </si>
  <si>
    <t>dot</t>
    <phoneticPr fontId="1" type="noConversion"/>
  </si>
  <si>
    <t>van</t>
    <phoneticPr fontId="1" type="noConversion"/>
  </si>
  <si>
    <t>vegetables</t>
    <phoneticPr fontId="1" type="noConversion"/>
  </si>
  <si>
    <t>come</t>
    <phoneticPr fontId="1" type="noConversion"/>
  </si>
  <si>
    <t>be</t>
    <phoneticPr fontId="1" type="noConversion"/>
  </si>
  <si>
    <t>good</t>
    <phoneticPr fontId="1" type="noConversion"/>
  </si>
  <si>
    <t>well</t>
    <phoneticPr fontId="1" type="noConversion"/>
  </si>
  <si>
    <t>help</t>
    <phoneticPr fontId="1" type="noConversion"/>
  </si>
  <si>
    <t>Chinese</t>
    <phoneticPr fontId="1" type="noConversion"/>
  </si>
  <si>
    <t>Japanese</t>
    <phoneticPr fontId="1" type="noConversion"/>
  </si>
  <si>
    <t>Cantonese</t>
    <phoneticPr fontId="1" type="noConversion"/>
  </si>
  <si>
    <t>cheese</t>
    <phoneticPr fontId="1" type="noConversion"/>
  </si>
  <si>
    <t>sleep</t>
    <phoneticPr fontId="1" type="noConversion"/>
  </si>
  <si>
    <t>sheep</t>
    <phoneticPr fontId="1" type="noConversion"/>
  </si>
  <si>
    <t>heat</t>
    <phoneticPr fontId="1" type="noConversion"/>
  </si>
  <si>
    <t>3C
(24)</t>
    <phoneticPr fontId="1" type="noConversion"/>
  </si>
  <si>
    <t>3D
(25)</t>
    <phoneticPr fontId="1" type="noConversion"/>
  </si>
  <si>
    <t>thunder</t>
    <phoneticPr fontId="1" type="noConversion"/>
  </si>
  <si>
    <t>thirty</t>
    <phoneticPr fontId="1" type="noConversion"/>
  </si>
  <si>
    <t>chips</t>
    <phoneticPr fontId="1" type="noConversion"/>
  </si>
  <si>
    <t>pet</t>
    <phoneticPr fontId="1" type="noConversion"/>
  </si>
  <si>
    <t>net</t>
    <phoneticPr fontId="1" type="noConversion"/>
  </si>
  <si>
    <t>four</t>
    <phoneticPr fontId="1" type="noConversion"/>
  </si>
  <si>
    <t>two</t>
    <phoneticPr fontId="1" type="noConversion"/>
  </si>
  <si>
    <t>ten</t>
    <phoneticPr fontId="1" type="noConversion"/>
  </si>
  <si>
    <t>best</t>
    <phoneticPr fontId="1" type="noConversion"/>
  </si>
  <si>
    <t>black</t>
    <phoneticPr fontId="1" type="noConversion"/>
  </si>
  <si>
    <t>we</t>
    <phoneticPr fontId="1" type="noConversion"/>
  </si>
  <si>
    <t>for</t>
    <phoneticPr fontId="1" type="noConversion"/>
  </si>
  <si>
    <t>who</t>
    <phoneticPr fontId="1" type="noConversion"/>
  </si>
  <si>
    <t>E</t>
    <phoneticPr fontId="1" type="noConversion"/>
  </si>
  <si>
    <t>L</t>
    <phoneticPr fontId="1" type="noConversion"/>
  </si>
  <si>
    <t>live</t>
    <phoneticPr fontId="1" type="noConversion"/>
  </si>
  <si>
    <t>soon</t>
    <phoneticPr fontId="1" type="noConversion"/>
  </si>
  <si>
    <t>these</t>
    <phoneticPr fontId="1" type="noConversion"/>
  </si>
  <si>
    <t>your</t>
    <phoneticPr fontId="1" type="noConversion"/>
  </si>
  <si>
    <t>lemon</t>
    <phoneticPr fontId="1" type="noConversion"/>
  </si>
  <si>
    <t>cup</t>
    <phoneticPr fontId="1" type="noConversion"/>
  </si>
  <si>
    <t>nose</t>
    <phoneticPr fontId="1" type="noConversion"/>
  </si>
  <si>
    <t>egg</t>
    <phoneticPr fontId="1" type="noConversion"/>
  </si>
  <si>
    <t>Long Vowel Sounds 'A' (Can Read)</t>
    <phoneticPr fontId="1" type="noConversion"/>
  </si>
  <si>
    <t>Long Vowel Sounds 'E' (Can Read)</t>
    <phoneticPr fontId="1" type="noConversion"/>
  </si>
  <si>
    <t>Unit 16: Green Earth Project Week</t>
    <phoneticPr fontId="1" type="noConversion"/>
  </si>
  <si>
    <t>long</t>
    <phoneticPr fontId="1" type="noConversion"/>
  </si>
  <si>
    <t>ed</t>
    <phoneticPr fontId="1" type="noConversion"/>
  </si>
  <si>
    <t>when</t>
    <phoneticPr fontId="1" type="noConversion"/>
  </si>
  <si>
    <t>sad</t>
    <phoneticPr fontId="1" type="noConversion"/>
  </si>
  <si>
    <t>man</t>
    <phoneticPr fontId="1" type="noConversion"/>
  </si>
  <si>
    <t>bag</t>
    <phoneticPr fontId="1" type="noConversion"/>
  </si>
  <si>
    <t>tap</t>
    <phoneticPr fontId="1" type="noConversion"/>
  </si>
  <si>
    <t>dog</t>
    <phoneticPr fontId="1" type="noConversion"/>
  </si>
  <si>
    <t>top</t>
    <phoneticPr fontId="1" type="noConversion"/>
  </si>
  <si>
    <t>og</t>
    <phoneticPr fontId="1" type="noConversion"/>
  </si>
  <si>
    <t>op</t>
    <phoneticPr fontId="1" type="noConversion"/>
  </si>
  <si>
    <t>don't</t>
    <phoneticPr fontId="1" type="noConversion"/>
  </si>
  <si>
    <t>buy</t>
    <phoneticPr fontId="1" type="noConversion"/>
  </si>
  <si>
    <t>much</t>
    <phoneticPr fontId="1" type="noConversion"/>
  </si>
  <si>
    <t>then</t>
    <phoneticPr fontId="1" type="noConversion"/>
  </si>
  <si>
    <t>rib</t>
    <phoneticPr fontId="1" type="noConversion"/>
  </si>
  <si>
    <t>kid</t>
    <phoneticPr fontId="1" type="noConversion"/>
  </si>
  <si>
    <t>pig</t>
    <phoneticPr fontId="1" type="noConversion"/>
  </si>
  <si>
    <t>him</t>
    <phoneticPr fontId="1" type="noConversion"/>
  </si>
  <si>
    <t>pin</t>
    <phoneticPr fontId="1" type="noConversion"/>
  </si>
  <si>
    <t>eg</t>
    <phoneticPr fontId="1" type="noConversion"/>
  </si>
  <si>
    <t>em</t>
    <phoneticPr fontId="1" type="noConversion"/>
  </si>
  <si>
    <t>en</t>
    <phoneticPr fontId="1" type="noConversion"/>
  </si>
  <si>
    <t>im</t>
    <phoneticPr fontId="1" type="noConversion"/>
  </si>
  <si>
    <t>ix</t>
    <phoneticPr fontId="1" type="noConversion"/>
  </si>
  <si>
    <t>fast</t>
    <phoneticPr fontId="1" type="noConversion"/>
  </si>
  <si>
    <t>but</t>
    <phoneticPr fontId="1" type="noConversion"/>
  </si>
  <si>
    <t>so</t>
    <phoneticPr fontId="1" type="noConversion"/>
  </si>
  <si>
    <t>mud</t>
    <phoneticPr fontId="1" type="noConversion"/>
  </si>
  <si>
    <t>pup</t>
    <phoneticPr fontId="1" type="noConversion"/>
  </si>
  <si>
    <t>mum</t>
    <phoneticPr fontId="1" type="noConversion"/>
  </si>
  <si>
    <t>hut</t>
    <phoneticPr fontId="1" type="noConversion"/>
  </si>
  <si>
    <t>around</t>
    <phoneticPr fontId="1" type="noConversion"/>
  </si>
  <si>
    <t>clean</t>
    <phoneticPr fontId="1" type="noConversion"/>
  </si>
  <si>
    <t>found</t>
    <phoneticPr fontId="1" type="noConversion"/>
  </si>
  <si>
    <t>after</t>
    <phoneticPr fontId="1" type="noConversion"/>
  </si>
  <si>
    <t>came</t>
    <phoneticPr fontId="1" type="noConversion"/>
  </si>
  <si>
    <t>over</t>
    <phoneticPr fontId="1" type="noConversion"/>
  </si>
  <si>
    <t>could</t>
    <phoneticPr fontId="1" type="noConversion"/>
  </si>
  <si>
    <t>went</t>
    <phoneticPr fontId="1" type="noConversion"/>
  </si>
  <si>
    <t>were</t>
    <phoneticPr fontId="1" type="noConversion"/>
  </si>
  <si>
    <t>gave</t>
    <phoneticPr fontId="1" type="noConversion"/>
  </si>
  <si>
    <t>had</t>
    <phoneticPr fontId="1" type="noConversion"/>
  </si>
  <si>
    <t>got</t>
    <phoneticPr fontId="1" type="noConversion"/>
  </si>
  <si>
    <t>ran</t>
    <phoneticPr fontId="1" type="noConversion"/>
  </si>
  <si>
    <t>was</t>
    <phoneticPr fontId="1" type="noConversion"/>
  </si>
  <si>
    <t>us</t>
    <phoneticPr fontId="1" type="noConversion"/>
  </si>
  <si>
    <t>bone</t>
    <phoneticPr fontId="1" type="noConversion"/>
  </si>
  <si>
    <t>slow</t>
    <phoneticPr fontId="1" type="noConversion"/>
  </si>
  <si>
    <t>rescue</t>
    <phoneticPr fontId="1" type="noConversion"/>
  </si>
  <si>
    <t>friend</t>
    <phoneticPr fontId="1" type="noConversion"/>
  </si>
  <si>
    <t>sky</t>
    <phoneticPr fontId="1" type="noConversion"/>
  </si>
  <si>
    <t>fr</t>
    <phoneticPr fontId="1" type="noConversion"/>
  </si>
  <si>
    <t>cr</t>
    <phoneticPr fontId="1" type="noConversion"/>
  </si>
  <si>
    <t>gr</t>
    <phoneticPr fontId="1" type="noConversion"/>
  </si>
  <si>
    <t>sk</t>
    <phoneticPr fontId="1" type="noConversion"/>
  </si>
  <si>
    <t>sm</t>
    <phoneticPr fontId="1" type="noConversion"/>
  </si>
  <si>
    <t>ride</t>
    <phoneticPr fontId="1" type="noConversion"/>
  </si>
  <si>
    <t>ate</t>
    <phoneticPr fontId="1" type="noConversion"/>
  </si>
  <si>
    <t>myself</t>
    <phoneticPr fontId="1" type="noConversion"/>
  </si>
  <si>
    <t>never</t>
    <phoneticPr fontId="1" type="noConversion"/>
  </si>
  <si>
    <t>their</t>
    <phoneticPr fontId="1" type="noConversion"/>
  </si>
  <si>
    <t>show</t>
    <phoneticPr fontId="1" type="noConversion"/>
  </si>
  <si>
    <t>both</t>
    <phoneticPr fontId="1" type="noConversion"/>
  </si>
  <si>
    <t>made</t>
    <phoneticPr fontId="1" type="noConversion"/>
  </si>
  <si>
    <t>wish</t>
    <phoneticPr fontId="1" type="noConversion"/>
  </si>
  <si>
    <t>said</t>
    <phoneticPr fontId="1" type="noConversion"/>
  </si>
  <si>
    <t>walk</t>
    <phoneticPr fontId="1" type="noConversion"/>
  </si>
  <si>
    <t>just</t>
    <phoneticPr fontId="1" type="noConversion"/>
  </si>
  <si>
    <t>few</t>
    <phoneticPr fontId="1" type="noConversion"/>
  </si>
  <si>
    <t>toe</t>
    <phoneticPr fontId="1" type="noConversion"/>
  </si>
  <si>
    <t>boat</t>
    <phoneticPr fontId="1" type="noConversion"/>
  </si>
  <si>
    <t>coat</t>
    <phoneticPr fontId="1" type="noConversion"/>
  </si>
  <si>
    <t>cute</t>
    <phoneticPr fontId="1" type="noConversion"/>
  </si>
  <si>
    <t>tissue</t>
    <phoneticPr fontId="1" type="noConversion"/>
  </si>
  <si>
    <t>run</t>
    <phoneticPr fontId="1" type="noConversion"/>
  </si>
  <si>
    <t>ham</t>
    <phoneticPr fontId="1" type="noConversion"/>
  </si>
  <si>
    <t>ap</t>
    <phoneticPr fontId="1" type="noConversion"/>
  </si>
  <si>
    <t>leg</t>
    <phoneticPr fontId="1" type="noConversion"/>
  </si>
  <si>
    <t>ib</t>
    <phoneticPr fontId="1" type="noConversion"/>
  </si>
  <si>
    <t>mug</t>
    <phoneticPr fontId="1" type="noConversion"/>
  </si>
  <si>
    <t>ut</t>
    <phoneticPr fontId="1" type="noConversion"/>
  </si>
  <si>
    <t>Long Vowel Sounds 'O' (Can Read)</t>
    <phoneticPr fontId="1" type="noConversion"/>
  </si>
  <si>
    <t>home</t>
    <phoneticPr fontId="1" type="noConversion"/>
  </si>
  <si>
    <t>small</t>
    <phoneticPr fontId="1" type="noConversion"/>
  </si>
  <si>
    <t>sp</t>
    <phoneticPr fontId="1" type="noConversion"/>
  </si>
  <si>
    <t>spider</t>
    <phoneticPr fontId="1" type="noConversion"/>
  </si>
  <si>
    <t>bl</t>
    <phoneticPr fontId="1" type="noConversion"/>
  </si>
  <si>
    <t>black</t>
    <phoneticPr fontId="1" type="noConversion"/>
  </si>
  <si>
    <t>sl</t>
    <phoneticPr fontId="1" type="noConversion"/>
  </si>
  <si>
    <t>fl</t>
    <phoneticPr fontId="1" type="noConversion"/>
  </si>
  <si>
    <t>sleep</t>
    <phoneticPr fontId="1" type="noConversion"/>
  </si>
  <si>
    <t>fly</t>
    <phoneticPr fontId="1" type="noConversion"/>
  </si>
  <si>
    <t>saw</t>
    <phoneticPr fontId="1" type="noConversion"/>
  </si>
  <si>
    <t>huge</t>
    <phoneticPr fontId="1" type="noConversion"/>
  </si>
  <si>
    <t>Unit 17: Amy's Diary</t>
    <phoneticPr fontId="1" type="noConversion"/>
  </si>
  <si>
    <t>1A</t>
    <phoneticPr fontId="1" type="noConversion"/>
  </si>
  <si>
    <t>1C</t>
    <phoneticPr fontId="1" type="noConversion"/>
  </si>
  <si>
    <t>1D</t>
    <phoneticPr fontId="1" type="noConversion"/>
  </si>
  <si>
    <t>Unit 1</t>
    <phoneticPr fontId="1" type="noConversion"/>
  </si>
  <si>
    <t>High Frequency Words and Phonics Assessment</t>
    <phoneticPr fontId="1" type="noConversion"/>
  </si>
  <si>
    <t>Unit 2</t>
    <phoneticPr fontId="1" type="noConversion"/>
  </si>
  <si>
    <t>Unit 3</t>
    <phoneticPr fontId="1" type="noConversion"/>
  </si>
  <si>
    <t>2015-2016</t>
    <phoneticPr fontId="1" type="noConversion"/>
  </si>
  <si>
    <t>2014-2015</t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</si>
  <si>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</si>
  <si>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</si>
  <si>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</si>
  <si>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2C</t>
    <phoneticPr fontId="1" type="noConversion"/>
  </si>
  <si>
    <t>2B
(25)</t>
    <phoneticPr fontId="1" type="noConversion"/>
  </si>
  <si>
    <t>3B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</si>
  <si>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</si>
  <si>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</si>
  <si>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</si>
  <si>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</si>
  <si>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</si>
  <si>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</si>
  <si>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16</t>
    <phoneticPr fontId="1" type="noConversion"/>
  </si>
  <si>
    <t>Unit 18</t>
    <phoneticPr fontId="1" type="noConversion"/>
  </si>
  <si>
    <t>Unit 17</t>
    <phoneticPr fontId="1" type="noConversion"/>
  </si>
  <si>
    <t>3D</t>
    <phoneticPr fontId="1" type="noConversion"/>
  </si>
  <si>
    <t>Unit 1</t>
  </si>
  <si>
    <t>Unit 2</t>
    <phoneticPr fontId="1" type="noConversion"/>
  </si>
  <si>
    <t>Unit 3</t>
    <phoneticPr fontId="1" type="noConversion"/>
  </si>
  <si>
    <t>put</t>
    <phoneticPr fontId="1" type="noConversion"/>
  </si>
  <si>
    <t>N</t>
    <phoneticPr fontId="1" type="noConversion"/>
  </si>
  <si>
    <t>Unit 7</t>
    <phoneticPr fontId="1" type="noConversion"/>
  </si>
  <si>
    <t>Unit 9</t>
    <phoneticPr fontId="1" type="noConversion"/>
  </si>
  <si>
    <t>down</t>
    <phoneticPr fontId="1" type="noConversion"/>
  </si>
  <si>
    <t>them</t>
    <phoneticPr fontId="1" type="noConversion"/>
  </si>
  <si>
    <t>ip</t>
    <phoneticPr fontId="1" type="noConversion"/>
  </si>
  <si>
    <t>where</t>
    <phoneticPr fontId="1" type="noConversion"/>
  </si>
  <si>
    <t>his</t>
    <phoneticPr fontId="1" type="noConversion"/>
  </si>
  <si>
    <t>ot</t>
    <phoneticPr fontId="1" type="noConversion"/>
  </si>
  <si>
    <t>best</t>
    <phoneticPr fontId="1" type="noConversion"/>
  </si>
  <si>
    <t>find</t>
    <phoneticPr fontId="1" type="noConversion"/>
  </si>
  <si>
    <t>bike</t>
    <phoneticPr fontId="1" type="noConversion"/>
  </si>
  <si>
    <t>night</t>
    <phoneticPr fontId="1" type="noConversion"/>
  </si>
  <si>
    <t>Unit 15</t>
    <phoneticPr fontId="1" type="noConversion"/>
  </si>
  <si>
    <t>white</t>
    <phoneticPr fontId="1" type="noConversion"/>
  </si>
  <si>
    <t>that</t>
    <phoneticPr fontId="1" type="noConversion"/>
  </si>
  <si>
    <t>bring</t>
    <phoneticPr fontId="1" type="noConversion"/>
  </si>
  <si>
    <t>only</t>
    <phoneticPr fontId="1" type="noConversion"/>
  </si>
  <si>
    <t>snail</t>
    <phoneticPr fontId="1" type="noConversion"/>
  </si>
  <si>
    <t>done</t>
    <phoneticPr fontId="1" type="noConversion"/>
  </si>
  <si>
    <t>beach</t>
    <phoneticPr fontId="1" type="noConversion"/>
  </si>
  <si>
    <t>Unit 12</t>
    <phoneticPr fontId="1" type="noConversion"/>
  </si>
  <si>
    <t>Unit 16</t>
    <phoneticPr fontId="1" type="noConversion"/>
  </si>
  <si>
    <t>Unit 17</t>
    <phoneticPr fontId="1" type="noConversion"/>
  </si>
  <si>
    <t>want</t>
    <phoneticPr fontId="1" type="noConversion"/>
  </si>
  <si>
    <t>ob</t>
    <phoneticPr fontId="1" type="noConversion"/>
  </si>
  <si>
    <t>ib</t>
    <phoneticPr fontId="1" type="noConversion"/>
  </si>
  <si>
    <t>away</t>
    <phoneticPr fontId="1" type="noConversion"/>
  </si>
  <si>
    <t>um</t>
    <phoneticPr fontId="1" type="noConversion"/>
  </si>
  <si>
    <t>found</t>
    <phoneticPr fontId="1" type="noConversion"/>
  </si>
  <si>
    <t>were</t>
    <phoneticPr fontId="1" type="noConversion"/>
  </si>
  <si>
    <t>roast</t>
    <phoneticPr fontId="1" type="noConversion"/>
  </si>
  <si>
    <t>worried</t>
    <phoneticPr fontId="1" type="noConversion"/>
  </si>
  <si>
    <t>finally</t>
    <phoneticPr fontId="1" type="noConversion"/>
  </si>
  <si>
    <t>tune</t>
    <phoneticPr fontId="1" type="noConversion"/>
  </si>
  <si>
    <t>few</t>
    <phoneticPr fontId="1" type="noConversion"/>
  </si>
  <si>
    <t>1A</t>
  </si>
  <si>
    <t>1B</t>
  </si>
  <si>
    <t>1C</t>
  </si>
  <si>
    <t>1D</t>
  </si>
  <si>
    <t>Total</t>
  </si>
  <si>
    <t>my</t>
  </si>
  <si>
    <t>red</t>
  </si>
  <si>
    <t>like</t>
  </si>
  <si>
    <t>ten</t>
  </si>
  <si>
    <t>tiger</t>
  </si>
  <si>
    <t>ball</t>
  </si>
  <si>
    <t>apple</t>
  </si>
  <si>
    <t>Pass</t>
  </si>
  <si>
    <t>Student</t>
  </si>
  <si>
    <t>1A.1</t>
  </si>
  <si>
    <t>1A.3</t>
  </si>
  <si>
    <t>1A.5</t>
  </si>
  <si>
    <t>1A.6</t>
  </si>
  <si>
    <t>1A.7</t>
  </si>
  <si>
    <t>1A.8</t>
  </si>
  <si>
    <t>1A.9</t>
  </si>
  <si>
    <t>1A.10</t>
  </si>
  <si>
    <t>1A.11</t>
  </si>
  <si>
    <t>1A.12</t>
  </si>
  <si>
    <t>1A.13</t>
  </si>
  <si>
    <t>1A.14</t>
  </si>
  <si>
    <t>1A.15</t>
  </si>
  <si>
    <t>1A.16</t>
  </si>
  <si>
    <t>1A.17</t>
  </si>
  <si>
    <t>1A.18</t>
  </si>
  <si>
    <t>1A.19</t>
  </si>
  <si>
    <t>1A.20</t>
  </si>
  <si>
    <t>1A.21</t>
  </si>
  <si>
    <t>1A.22</t>
  </si>
  <si>
    <t>1B.1</t>
  </si>
  <si>
    <t>1B.7</t>
  </si>
  <si>
    <t>1B.4</t>
  </si>
  <si>
    <t>1B.2</t>
  </si>
  <si>
    <t>1B.3</t>
  </si>
  <si>
    <t>1B.5</t>
  </si>
  <si>
    <t>1B.6</t>
  </si>
  <si>
    <t>1B.8</t>
  </si>
  <si>
    <t>1B.9</t>
  </si>
  <si>
    <t>1B.10</t>
  </si>
  <si>
    <t>1B.12</t>
  </si>
  <si>
    <t>1B.13</t>
  </si>
  <si>
    <t>1B.14</t>
  </si>
  <si>
    <t>1B.15</t>
  </si>
  <si>
    <t>1B.16</t>
  </si>
  <si>
    <t>1B.17</t>
  </si>
  <si>
    <t>1B.18</t>
  </si>
  <si>
    <t>1B.19</t>
  </si>
  <si>
    <t>1B.20</t>
  </si>
  <si>
    <t>1B.21</t>
  </si>
  <si>
    <t>1B.22</t>
  </si>
  <si>
    <t>1C.1</t>
  </si>
  <si>
    <t>1C.2</t>
  </si>
  <si>
    <t>1C.3</t>
  </si>
  <si>
    <t>1C.4</t>
  </si>
  <si>
    <t>1C.5</t>
  </si>
  <si>
    <t>1C.6</t>
  </si>
  <si>
    <t>1C.7</t>
  </si>
  <si>
    <t>1C.8</t>
  </si>
  <si>
    <t>1C.9</t>
  </si>
  <si>
    <t>1C.10</t>
  </si>
  <si>
    <t>1C.11</t>
  </si>
  <si>
    <t>1C.12</t>
  </si>
  <si>
    <t>1C.13</t>
  </si>
  <si>
    <t>1C.14</t>
  </si>
  <si>
    <t>1C.15</t>
  </si>
  <si>
    <t>1C.16</t>
  </si>
  <si>
    <t>1C.17</t>
  </si>
  <si>
    <t>1C.18</t>
  </si>
  <si>
    <t>1C.19</t>
  </si>
  <si>
    <t>1C.20</t>
  </si>
  <si>
    <t>1C.21</t>
  </si>
  <si>
    <t>1C.22</t>
  </si>
  <si>
    <t>1C.23</t>
  </si>
  <si>
    <t>1D.1</t>
  </si>
  <si>
    <t>1D.2</t>
  </si>
  <si>
    <t>1D.3</t>
  </si>
  <si>
    <t>1D.4</t>
  </si>
  <si>
    <t>1D.5</t>
  </si>
  <si>
    <t>1D.6</t>
  </si>
  <si>
    <t>1D.7</t>
  </si>
  <si>
    <t>1D.8</t>
  </si>
  <si>
    <t>1D.9</t>
  </si>
  <si>
    <t>1D.10</t>
  </si>
  <si>
    <t>1D.11</t>
  </si>
  <si>
    <t>1D.12</t>
  </si>
  <si>
    <t>1D.13</t>
  </si>
  <si>
    <t>Class</t>
  </si>
  <si>
    <t>1D.14</t>
  </si>
  <si>
    <t>1D.15</t>
  </si>
  <si>
    <t>1D.16</t>
  </si>
  <si>
    <t>1D.17</t>
  </si>
  <si>
    <t>1D.18</t>
  </si>
  <si>
    <t>1D.20</t>
  </si>
  <si>
    <t>1D.21</t>
  </si>
  <si>
    <t>T.letter</t>
  </si>
  <si>
    <t>T.sound</t>
  </si>
  <si>
    <t>B.letter</t>
  </si>
  <si>
    <t>B.sound</t>
  </si>
  <si>
    <t>R.letter</t>
  </si>
  <si>
    <t>R.sound</t>
  </si>
  <si>
    <t>A.letter</t>
  </si>
  <si>
    <t>A.sound</t>
  </si>
  <si>
    <t>Total.Phonics</t>
  </si>
  <si>
    <t>Pass.Phonics</t>
  </si>
  <si>
    <t>Grade.Phonics</t>
  </si>
  <si>
    <t>blue</t>
  </si>
  <si>
    <t>Total P1</t>
  </si>
  <si>
    <t>% P1</t>
  </si>
  <si>
    <t>% 1A</t>
  </si>
  <si>
    <t>Total 1B</t>
  </si>
  <si>
    <t>% 1B</t>
  </si>
  <si>
    <t>Total 1C</t>
  </si>
  <si>
    <t>% 1C</t>
  </si>
  <si>
    <t>Total 1D</t>
  </si>
  <si>
    <t>% 1D</t>
  </si>
  <si>
    <t>1A.23</t>
  </si>
  <si>
    <t>1D.22</t>
  </si>
  <si>
    <t>Phonics</t>
  </si>
  <si>
    <t>Total  1A</t>
  </si>
  <si>
    <t>Total.Pass.Phonics</t>
  </si>
  <si>
    <t>%.Pass.Phonics</t>
  </si>
  <si>
    <t>Total.Pass</t>
  </si>
  <si>
    <t>%.Pass</t>
  </si>
  <si>
    <t>Final.Grade</t>
  </si>
  <si>
    <t>Total.Pass.Sightwords</t>
  </si>
  <si>
    <t>%.Pass.Sightwords</t>
  </si>
  <si>
    <t>Sight Words</t>
  </si>
  <si>
    <t>Total.Sightwords</t>
  </si>
  <si>
    <t>Grade.Sightwords</t>
  </si>
  <si>
    <t>Pass.Sightwords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</si>
</sst>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omic Sans MS"/>
      <family val="4"/>
    </font>
    <font>
      <b/>
      <sz val="12"/>
      <color theme="1"/>
      <name val="Comic Sans MS"/>
      <family val="4"/>
    </font>
    <font>
      <b/>
      <sz val="10.5"/>
      <color theme="1"/>
      <name val="Comic Sans MS"/>
      <family val="4"/>
    </font>
    <font>
      <b/>
      <sz val="16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omic Sans MS"/>
      <family val="4"/>
    </font>
    <font>
      <b/>
      <u val="double"/>
      <sz val="12"/>
      <color theme="1"/>
      <name val="Comic Sans MS"/>
      <family val="4"/>
    </font>
    <font>
      <sz val="16"/>
      <color theme="1"/>
      <name val="Comic Sans MS"/>
      <family val="4"/>
    </font>
    <font>
      <sz val="14"/>
      <color rgb="FFFF0000"/>
      <name val="Comic Sans MS"/>
      <family val="4"/>
    </font>
    <font>
      <b/>
      <sz val="14"/>
      <color rgb="FFFF0000"/>
      <name val="Comic Sans MS"/>
      <family val="4"/>
    </font>
    <font>
      <b/>
      <sz val="14"/>
      <name val="Comic Sans MS"/>
      <family val="4"/>
    </font>
    <font>
      <sz val="12"/>
      <color theme="1"/>
      <name val="Calibri"/>
      <family val="2"/>
      <charset val="136"/>
      <scheme val="minor"/>
    </font>
    <font>
      <sz val="14"/>
      <name val="Comic Sans MS"/>
      <family val="4"/>
    </font>
    <font>
      <b/>
      <sz val="12"/>
      <color rgb="FFFF0000"/>
      <name val="Comic Sans MS"/>
      <family val="4"/>
    </font>
    <font>
      <b/>
      <sz val="11"/>
      <color theme="1"/>
      <name val="Comic Sans MS"/>
      <family val="4"/>
    </font>
    <font>
      <sz val="12"/>
      <color theme="1"/>
      <name val="Calibri"/>
      <family val="2"/>
      <scheme val="minor"/>
    </font>
    <font>
      <sz val="12"/>
      <name val="Comic Sans MS"/>
      <family val="4"/>
    </font>
    <font>
      <b/>
      <sz val="12"/>
      <color rgb="FF00B050"/>
      <name val="Comic Sans MS"/>
      <family val="4"/>
    </font>
    <font>
      <b/>
      <sz val="12"/>
      <name val="Comic Sans MS"/>
      <family val="4"/>
    </font>
    <font>
      <b/>
      <sz val="22"/>
      <name val="Comic Sans MS"/>
      <family val="4"/>
    </font>
    <font>
      <b/>
      <sz val="11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/>
  </cellStyleXfs>
  <cellXfs count="1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9" fontId="12" fillId="0" borderId="1" xfId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9" fontId="12" fillId="0" borderId="3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9" fontId="12" fillId="0" borderId="0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9" fontId="11" fillId="0" borderId="0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0" applyFont="1" applyFill="1">
      <alignment vertical="center"/>
    </xf>
    <xf numFmtId="0" fontId="12" fillId="0" borderId="2" xfId="0" applyFont="1" applyBorder="1">
      <alignment vertical="center"/>
    </xf>
    <xf numFmtId="0" fontId="12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9" fontId="11" fillId="0" borderId="4" xfId="1" applyFont="1" applyBorder="1" applyAlignment="1">
      <alignment horizontal="center" vertical="center"/>
    </xf>
    <xf numFmtId="9" fontId="12" fillId="0" borderId="4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6" fillId="0" borderId="4" xfId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3" fillId="0" borderId="0" xfId="0" applyFont="1" applyBorder="1" applyAlignment="1">
      <alignment vertical="top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" fontId="6" fillId="6" borderId="0" xfId="0" applyNumberFormat="1" applyFont="1" applyFill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49" fontId="18" fillId="0" borderId="0" xfId="2" applyNumberFormat="1" applyFont="1" applyBorder="1" applyAlignment="1">
      <alignment horizontal="center"/>
    </xf>
    <xf numFmtId="49" fontId="18" fillId="0" borderId="1" xfId="2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0" xfId="0" applyNumberFormat="1">
      <alignment vertical="center"/>
    </xf>
    <xf numFmtId="0" fontId="16" fillId="0" borderId="0" xfId="0" applyFont="1" applyBorder="1" applyAlignment="1">
      <alignment horizontal="center" vertical="center"/>
    </xf>
    <xf numFmtId="1" fontId="19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/>
    </xf>
    <xf numFmtId="0" fontId="18" fillId="0" borderId="1" xfId="0" applyNumberFormat="1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18" fillId="0" borderId="6" xfId="2" applyNumberFormat="1" applyFont="1" applyFill="1" applyBorder="1" applyAlignment="1">
      <alignment horizontal="center"/>
    </xf>
    <xf numFmtId="49" fontId="18" fillId="0" borderId="1" xfId="2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/>
    </xf>
    <xf numFmtId="1" fontId="20" fillId="0" borderId="1" xfId="0" applyNumberFormat="1" applyFont="1" applyFill="1" applyBorder="1" applyAlignment="1">
      <alignment horizontal="center" vertical="center"/>
    </xf>
    <xf numFmtId="49" fontId="18" fillId="0" borderId="0" xfId="2" applyNumberFormat="1" applyFont="1" applyFill="1" applyBorder="1" applyAlignment="1">
      <alignment horizontal="center"/>
    </xf>
    <xf numFmtId="1" fontId="18" fillId="0" borderId="1" xfId="0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49" fontId="18" fillId="7" borderId="1" xfId="0" applyNumberFormat="1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49" fontId="18" fillId="7" borderId="1" xfId="2" applyNumberFormat="1" applyFont="1" applyFill="1" applyBorder="1" applyAlignment="1">
      <alignment horizontal="center"/>
    </xf>
    <xf numFmtId="1" fontId="18" fillId="7" borderId="1" xfId="0" applyNumberFormat="1" applyFont="1" applyFill="1" applyBorder="1" applyAlignment="1">
      <alignment horizontal="center"/>
    </xf>
    <xf numFmtId="0" fontId="18" fillId="7" borderId="1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0" fillId="0" borderId="1" xfId="0" quotePrefix="1" applyNumberFormat="1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1" fontId="20" fillId="0" borderId="7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FFFF99"/>
      <color rgb="FF99FF66"/>
      <color rgb="FF66FFFF"/>
      <color rgb="FF00F2B3"/>
      <color rgb="FFFFB9B9"/>
      <color rgb="FFC1FFC1"/>
      <color rgb="FFFF9966"/>
      <color rgb="FF33CCFF"/>
      <color rgb="FF8BE1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3" Type="http://schemas.openxmlformats.org/officeDocument/2006/relationships/chartsheet" Target="chart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1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0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9.xml"/><Relationship Id="rId20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7.xml"/><Relationship Id="rId23" Type="http://schemas.openxmlformats.org/officeDocument/2006/relationships/calcChain" Target="calcChain.xml"/><Relationship Id="rId10" Type="http://schemas.openxmlformats.org/officeDocument/2006/relationships/worksheet" Target="worksheets/sheet4.xml"/><Relationship Id="rId19" Type="http://schemas.openxmlformats.org/officeDocument/2006/relationships/chartsheet" Target="chartsheets/sheet12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6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/>
              <a:t>PLP-RW High Frequency Words and Phonics Assessment</a:t>
            </a:r>
          </a:p>
          <a:p>
            <a:pPr>
              <a:defRPr sz="1600"/>
            </a:pPr>
            <a:r>
              <a:rPr lang="en-US" sz="1600"/>
              <a:t>P.1 Results (selected words)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'P.1 Cal (1st)'!$J$26:$J$31</c:f>
              <c:strCache>
                <c:ptCount val="6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09B-4D2C-8701-0478F58BEC84}"/>
              </c:ext>
            </c:extLst>
          </c:dPt>
          <c:dPt>
            <c:idx val="10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09B-4D2C-8701-0478F58BEC84}"/>
              </c:ext>
            </c:extLst>
          </c:dPt>
          <c:cat>
            <c:multiLvlStrRef>
              <c:f>'P.1 Cal (1st)'!$H$32:$I$42</c:f>
              <c:multiLvlStrCache>
                <c:ptCount val="11"/>
                <c:lvl>
                  <c:pt idx="0">
                    <c:v>his</c:v>
                  </c:pt>
                  <c:pt idx="1">
                    <c:v>has</c:v>
                  </c:pt>
                  <c:pt idx="2">
                    <c:v>they</c:v>
                  </c:pt>
                  <c:pt idx="3">
                    <c:v>this</c:v>
                  </c:pt>
                  <c:pt idx="4">
                    <c:v>and</c:v>
                  </c:pt>
                  <c:pt idx="5">
                    <c:v>put</c:v>
                  </c:pt>
                  <c:pt idx="6">
                    <c:v>make</c:v>
                  </c:pt>
                  <c:pt idx="7">
                    <c:v>who</c:v>
                  </c:pt>
                  <c:pt idx="8">
                    <c:v>our</c:v>
                  </c:pt>
                  <c:pt idx="9">
                    <c:v>N</c:v>
                  </c:pt>
                  <c:pt idx="10">
                    <c:v>E</c:v>
                  </c:pt>
                </c:lvl>
                <c:lvl>
                  <c:pt idx="0">
                    <c:v>Unit 2</c:v>
                  </c:pt>
                  <c:pt idx="5">
                    <c:v>Unit 3</c:v>
                  </c:pt>
                </c:lvl>
              </c:multiLvlStrCache>
            </c:multiLvlStrRef>
          </c:cat>
          <c:val>
            <c:numRef>
              <c:f>'P.1 Cal (1st)'!$J$32:$J$42</c:f>
              <c:numCache>
                <c:formatCode>General</c:formatCode>
                <c:ptCount val="11"/>
                <c:pt idx="0">
                  <c:v>68</c:v>
                </c:pt>
                <c:pt idx="1">
                  <c:v>26</c:v>
                </c:pt>
                <c:pt idx="2">
                  <c:v>49</c:v>
                </c:pt>
                <c:pt idx="4" formatCode="0">
                  <c:v>48</c:v>
                </c:pt>
                <c:pt idx="5" formatCode="0">
                  <c:v>33</c:v>
                </c:pt>
                <c:pt idx="6" formatCode="0">
                  <c:v>31</c:v>
                </c:pt>
                <c:pt idx="7" formatCode="0">
                  <c:v>22</c:v>
                </c:pt>
                <c:pt idx="8" formatCode="0">
                  <c:v>84</c:v>
                </c:pt>
                <c:pt idx="9" formatCode="0">
                  <c:v>44</c:v>
                </c:pt>
                <c:pt idx="10" formatCode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9B-4D2C-8701-0478F58BE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2875152"/>
        <c:axId val="22888752"/>
      </c:barChart>
      <c:lineChart>
        <c:grouping val="standard"/>
        <c:varyColors val="0"/>
        <c:ser>
          <c:idx val="1"/>
          <c:order val="1"/>
          <c:tx>
            <c:strRef>
              <c:f>'P.1 Cal (1st)'!$K$26:$K$31</c:f>
              <c:strCache>
                <c:ptCount val="6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miter lim="800000"/>
              <a:tailEnd type="oval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'P.1 Cal (1st)'!$H$32:$I$42</c:f>
              <c:multiLvlStrCache>
                <c:ptCount val="11"/>
                <c:lvl>
                  <c:pt idx="0">
                    <c:v>his</c:v>
                  </c:pt>
                  <c:pt idx="1">
                    <c:v>has</c:v>
                  </c:pt>
                  <c:pt idx="2">
                    <c:v>they</c:v>
                  </c:pt>
                  <c:pt idx="3">
                    <c:v>this</c:v>
                  </c:pt>
                  <c:pt idx="4">
                    <c:v>and</c:v>
                  </c:pt>
                  <c:pt idx="5">
                    <c:v>put</c:v>
                  </c:pt>
                  <c:pt idx="6">
                    <c:v>make</c:v>
                  </c:pt>
                  <c:pt idx="7">
                    <c:v>who</c:v>
                  </c:pt>
                  <c:pt idx="8">
                    <c:v>our</c:v>
                  </c:pt>
                  <c:pt idx="9">
                    <c:v>N</c:v>
                  </c:pt>
                  <c:pt idx="10">
                    <c:v>E</c:v>
                  </c:pt>
                </c:lvl>
                <c:lvl>
                  <c:pt idx="0">
                    <c:v>Unit 2</c:v>
                  </c:pt>
                  <c:pt idx="5">
                    <c:v>Unit 3</c:v>
                  </c:pt>
                </c:lvl>
              </c:multiLvlStrCache>
            </c:multiLvlStrRef>
          </c:cat>
          <c:val>
            <c:numRef>
              <c:f>'P.1 Cal (1st)'!$K$32:$K$42</c:f>
              <c:numCache>
                <c:formatCode>0</c:formatCode>
                <c:ptCount val="11"/>
                <c:pt idx="0">
                  <c:v>49</c:v>
                </c:pt>
                <c:pt idx="1">
                  <c:v>46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32</c:v>
                </c:pt>
                <c:pt idx="6">
                  <c:v>30</c:v>
                </c:pt>
                <c:pt idx="7">
                  <c:v>32</c:v>
                </c:pt>
                <c:pt idx="8">
                  <c:v>31</c:v>
                </c:pt>
                <c:pt idx="9">
                  <c:v>32</c:v>
                </c:pt>
                <c:pt idx="1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9B-4D2C-8701-0478F58BE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75152"/>
        <c:axId val="22888752"/>
      </c:lineChart>
      <c:catAx>
        <c:axId val="228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88752"/>
        <c:crosses val="autoZero"/>
        <c:auto val="1"/>
        <c:lblAlgn val="ctr"/>
        <c:lblOffset val="100"/>
        <c:noMultiLvlLbl val="0"/>
      </c:catAx>
      <c:valAx>
        <c:axId val="2288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75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/>
              <a:t>PLP-RW High Frequency Words and Phonics Assessment</a:t>
            </a:r>
          </a:p>
          <a:p>
            <a:pPr>
              <a:defRPr sz="1600"/>
            </a:pPr>
            <a:r>
              <a:rPr lang="en-US" sz="1600"/>
              <a:t>P.2 Results (selected words)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'P.2 Cal (1st)'!$J$23</c:f>
              <c:strCache>
                <c:ptCount val="1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A8-4FCF-852A-6AC344C0B7DC}"/>
              </c:ext>
            </c:extLst>
          </c:dPt>
          <c:dPt>
            <c:idx val="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A8-4FCF-852A-6AC344C0B7DC}"/>
              </c:ext>
            </c:extLst>
          </c:dPt>
          <c:dPt>
            <c:idx val="9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A8-4FCF-852A-6AC344C0B7DC}"/>
              </c:ext>
            </c:extLst>
          </c:dPt>
          <c:dPt>
            <c:idx val="1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A8-4FCF-852A-6AC344C0B7DC}"/>
              </c:ext>
            </c:extLst>
          </c:dPt>
          <c:dPt>
            <c:idx val="1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A8-4FCF-852A-6AC344C0B7DC}"/>
              </c:ext>
            </c:extLst>
          </c:dPt>
          <c:cat>
            <c:multiLvlStrRef>
              <c:f>'P.2 Cal (1st)'!$H$24:$I$38</c:f>
              <c:multiLvlStrCache>
                <c:ptCount val="15"/>
                <c:lvl>
                  <c:pt idx="0">
                    <c:v>down</c:v>
                  </c:pt>
                  <c:pt idx="1">
                    <c:v>them</c:v>
                  </c:pt>
                  <c:pt idx="2">
                    <c:v>must</c:v>
                  </c:pt>
                  <c:pt idx="3">
                    <c:v>ip</c:v>
                  </c:pt>
                  <c:pt idx="4">
                    <c:v>Qu</c:v>
                  </c:pt>
                  <c:pt idx="5">
                    <c:v>here</c:v>
                  </c:pt>
                  <c:pt idx="6">
                    <c:v>where</c:v>
                  </c:pt>
                  <c:pt idx="7">
                    <c:v>his</c:v>
                  </c:pt>
                  <c:pt idx="8">
                    <c:v>what</c:v>
                  </c:pt>
                  <c:pt idx="9">
                    <c:v>ot</c:v>
                  </c:pt>
                  <c:pt idx="10">
                    <c:v>best</c:v>
                  </c:pt>
                  <c:pt idx="11">
                    <c:v>these</c:v>
                  </c:pt>
                  <c:pt idx="12">
                    <c:v>soon</c:v>
                  </c:pt>
                  <c:pt idx="13">
                    <c:v>th</c:v>
                  </c:pt>
                  <c:pt idx="14">
                    <c:v>et</c:v>
                  </c:pt>
                </c:lvl>
                <c:lvl>
                  <c:pt idx="0">
                    <c:v>Unit 7</c:v>
                  </c:pt>
                  <c:pt idx="5">
                    <c:v>Unit 8</c:v>
                  </c:pt>
                  <c:pt idx="10">
                    <c:v>Unit 9</c:v>
                  </c:pt>
                </c:lvl>
              </c:multiLvlStrCache>
            </c:multiLvlStrRef>
          </c:cat>
          <c:val>
            <c:numRef>
              <c:f>'P.2 Cal (1st)'!$J$24:$J$38</c:f>
              <c:numCache>
                <c:formatCode>0</c:formatCode>
                <c:ptCount val="15"/>
                <c:pt idx="0">
                  <c:v>55</c:v>
                </c:pt>
                <c:pt idx="1">
                  <c:v>36</c:v>
                </c:pt>
                <c:pt idx="2">
                  <c:v>58</c:v>
                </c:pt>
                <c:pt idx="3">
                  <c:v>36</c:v>
                </c:pt>
                <c:pt idx="4">
                  <c:v>53</c:v>
                </c:pt>
                <c:pt idx="5">
                  <c:v>52</c:v>
                </c:pt>
                <c:pt idx="6">
                  <c:v>82</c:v>
                </c:pt>
                <c:pt idx="7">
                  <c:v>61</c:v>
                </c:pt>
                <c:pt idx="8">
                  <c:v>84</c:v>
                </c:pt>
                <c:pt idx="9">
                  <c:v>60</c:v>
                </c:pt>
                <c:pt idx="10">
                  <c:v>63</c:v>
                </c:pt>
                <c:pt idx="11">
                  <c:v>62</c:v>
                </c:pt>
                <c:pt idx="12">
                  <c:v>78</c:v>
                </c:pt>
                <c:pt idx="13">
                  <c:v>29</c:v>
                </c:pt>
                <c:pt idx="1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BA8-4FCF-852A-6AC344C0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36902400"/>
        <c:axId val="336900224"/>
      </c:barChart>
      <c:lineChart>
        <c:grouping val="standard"/>
        <c:varyColors val="0"/>
        <c:ser>
          <c:idx val="1"/>
          <c:order val="1"/>
          <c:tx>
            <c:strRef>
              <c:f>'P.2 Cal (1st)'!$K$23</c:f>
              <c:strCache>
                <c:ptCount val="1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miter lim="800000"/>
              <a:tailEnd type="oval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'P.2 Cal (1st)'!$H$24:$I$38</c:f>
              <c:multiLvlStrCache>
                <c:ptCount val="15"/>
                <c:lvl>
                  <c:pt idx="0">
                    <c:v>down</c:v>
                  </c:pt>
                  <c:pt idx="1">
                    <c:v>them</c:v>
                  </c:pt>
                  <c:pt idx="2">
                    <c:v>must</c:v>
                  </c:pt>
                  <c:pt idx="3">
                    <c:v>ip</c:v>
                  </c:pt>
                  <c:pt idx="4">
                    <c:v>Qu</c:v>
                  </c:pt>
                  <c:pt idx="5">
                    <c:v>here</c:v>
                  </c:pt>
                  <c:pt idx="6">
                    <c:v>where</c:v>
                  </c:pt>
                  <c:pt idx="7">
                    <c:v>his</c:v>
                  </c:pt>
                  <c:pt idx="8">
                    <c:v>what</c:v>
                  </c:pt>
                  <c:pt idx="9">
                    <c:v>ot</c:v>
                  </c:pt>
                  <c:pt idx="10">
                    <c:v>best</c:v>
                  </c:pt>
                  <c:pt idx="11">
                    <c:v>these</c:v>
                  </c:pt>
                  <c:pt idx="12">
                    <c:v>soon</c:v>
                  </c:pt>
                  <c:pt idx="13">
                    <c:v>th</c:v>
                  </c:pt>
                  <c:pt idx="14">
                    <c:v>et</c:v>
                  </c:pt>
                </c:lvl>
                <c:lvl>
                  <c:pt idx="0">
                    <c:v>Unit 7</c:v>
                  </c:pt>
                  <c:pt idx="5">
                    <c:v>Unit 8</c:v>
                  </c:pt>
                  <c:pt idx="10">
                    <c:v>Unit 9</c:v>
                  </c:pt>
                </c:lvl>
              </c:multiLvlStrCache>
            </c:multiLvlStrRef>
          </c:cat>
          <c:val>
            <c:numRef>
              <c:f>'P.2 Cal (1st)'!$K$24:$K$38</c:f>
              <c:numCache>
                <c:formatCode>0</c:formatCode>
                <c:ptCount val="15"/>
                <c:pt idx="0">
                  <c:v>57.692307692307686</c:v>
                </c:pt>
                <c:pt idx="1">
                  <c:v>44.230769230769226</c:v>
                </c:pt>
                <c:pt idx="2">
                  <c:v>65.384615384615387</c:v>
                </c:pt>
                <c:pt idx="3">
                  <c:v>59.615384615384613</c:v>
                </c:pt>
                <c:pt idx="4">
                  <c:v>59.615384615384613</c:v>
                </c:pt>
                <c:pt idx="5">
                  <c:v>38.461538461538467</c:v>
                </c:pt>
                <c:pt idx="6">
                  <c:v>71.794871794871796</c:v>
                </c:pt>
                <c:pt idx="7">
                  <c:v>73.076923076923066</c:v>
                </c:pt>
                <c:pt idx="8">
                  <c:v>73.076923076923066</c:v>
                </c:pt>
                <c:pt idx="9">
                  <c:v>46.153846153846153</c:v>
                </c:pt>
                <c:pt idx="10">
                  <c:v>47.572815533980581</c:v>
                </c:pt>
                <c:pt idx="11">
                  <c:v>57.28155339805825</c:v>
                </c:pt>
                <c:pt idx="12">
                  <c:v>61.165048543689316</c:v>
                </c:pt>
                <c:pt idx="13">
                  <c:v>43.689320388349515</c:v>
                </c:pt>
                <c:pt idx="14">
                  <c:v>29.126213592233007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A8-4FCF-852A-6AC344C0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902400"/>
        <c:axId val="336900224"/>
      </c:lineChart>
      <c:catAx>
        <c:axId val="3369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0224"/>
        <c:crosses val="autoZero"/>
        <c:auto val="1"/>
        <c:lblAlgn val="ctr"/>
        <c:lblOffset val="100"/>
        <c:noMultiLvlLbl val="0"/>
      </c:catAx>
      <c:valAx>
        <c:axId val="3369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2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/>
              <a:t>PLP-RW High Frequency Words and Phonics Assessment</a:t>
            </a:r>
          </a:p>
          <a:p>
            <a:pPr>
              <a:defRPr sz="1600"/>
            </a:pPr>
            <a:r>
              <a:rPr lang="en-US" sz="1600"/>
              <a:t>P.3 Results (selected words)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'P.3 Cal (1st)'!$J$25</c:f>
              <c:strCache>
                <c:ptCount val="1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D02-48D3-9211-A5F86EA70389}"/>
              </c:ext>
            </c:extLst>
          </c:dPt>
          <c:dPt>
            <c:idx val="10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D02-48D3-9211-A5F86EA70389}"/>
              </c:ext>
            </c:extLst>
          </c:dPt>
          <c:cat>
            <c:multiLvlStrRef>
              <c:f>'P.3 Cal (1st)'!$H$26:$I$40</c:f>
              <c:multiLvlStrCache>
                <c:ptCount val="15"/>
                <c:lvl>
                  <c:pt idx="0">
                    <c:v>know</c:v>
                  </c:pt>
                  <c:pt idx="1">
                    <c:v>find</c:v>
                  </c:pt>
                  <c:pt idx="2">
                    <c:v>let</c:v>
                  </c:pt>
                  <c:pt idx="3">
                    <c:v>bike</c:v>
                  </c:pt>
                  <c:pt idx="4">
                    <c:v>night</c:v>
                  </c:pt>
                  <c:pt idx="5">
                    <c:v>white</c:v>
                  </c:pt>
                  <c:pt idx="6">
                    <c:v>that</c:v>
                  </c:pt>
                  <c:pt idx="7">
                    <c:v>pretty</c:v>
                  </c:pt>
                  <c:pt idx="8">
                    <c:v>bring</c:v>
                  </c:pt>
                  <c:pt idx="9">
                    <c:v>only</c:v>
                  </c:pt>
                  <c:pt idx="10">
                    <c:v>snail</c:v>
                  </c:pt>
                  <c:pt idx="11">
                    <c:v>done</c:v>
                  </c:pt>
                  <c:pt idx="12">
                    <c:v>well</c:v>
                  </c:pt>
                  <c:pt idx="13">
                    <c:v>green</c:v>
                  </c:pt>
                  <c:pt idx="14">
                    <c:v>beach</c:v>
                  </c:pt>
                </c:lvl>
                <c:lvl>
                  <c:pt idx="0">
                    <c:v>Unit 13</c:v>
                  </c:pt>
                  <c:pt idx="5">
                    <c:v>Unit 14</c:v>
                  </c:pt>
                  <c:pt idx="11">
                    <c:v>Unit 15</c:v>
                  </c:pt>
                </c:lvl>
              </c:multiLvlStrCache>
            </c:multiLvlStrRef>
          </c:cat>
          <c:val>
            <c:numRef>
              <c:f>'P.3 Cal (1st)'!$J$26:$J$40</c:f>
              <c:numCache>
                <c:formatCode>0</c:formatCode>
                <c:ptCount val="15"/>
                <c:pt idx="0">
                  <c:v>51</c:v>
                </c:pt>
                <c:pt idx="1">
                  <c:v>42</c:v>
                </c:pt>
                <c:pt idx="2">
                  <c:v>53</c:v>
                </c:pt>
                <c:pt idx="3">
                  <c:v>71</c:v>
                </c:pt>
                <c:pt idx="5" formatCode="General">
                  <c:v>74</c:v>
                </c:pt>
                <c:pt idx="6" formatCode="General">
                  <c:v>54</c:v>
                </c:pt>
                <c:pt idx="7" formatCode="General">
                  <c:v>67</c:v>
                </c:pt>
                <c:pt idx="8">
                  <c:v>66</c:v>
                </c:pt>
                <c:pt idx="9">
                  <c:v>77</c:v>
                </c:pt>
                <c:pt idx="10">
                  <c:v>50</c:v>
                </c:pt>
                <c:pt idx="11">
                  <c:v>75</c:v>
                </c:pt>
                <c:pt idx="1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02-48D3-9211-A5F86EA70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336909472"/>
        <c:axId val="336903488"/>
      </c:barChart>
      <c:lineChart>
        <c:grouping val="standard"/>
        <c:varyColors val="0"/>
        <c:ser>
          <c:idx val="1"/>
          <c:order val="1"/>
          <c:tx>
            <c:strRef>
              <c:f>'P.3 Cal (1st)'!$K$25</c:f>
              <c:strCache>
                <c:ptCount val="1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miter lim="800000"/>
              <a:tailEnd type="oval"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'P.3 Cal (1st)'!$H$26:$I$40</c:f>
              <c:multiLvlStrCache>
                <c:ptCount val="15"/>
                <c:lvl>
                  <c:pt idx="0">
                    <c:v>know</c:v>
                  </c:pt>
                  <c:pt idx="1">
                    <c:v>find</c:v>
                  </c:pt>
                  <c:pt idx="2">
                    <c:v>let</c:v>
                  </c:pt>
                  <c:pt idx="3">
                    <c:v>bike</c:v>
                  </c:pt>
                  <c:pt idx="4">
                    <c:v>night</c:v>
                  </c:pt>
                  <c:pt idx="5">
                    <c:v>white</c:v>
                  </c:pt>
                  <c:pt idx="6">
                    <c:v>that</c:v>
                  </c:pt>
                  <c:pt idx="7">
                    <c:v>pretty</c:v>
                  </c:pt>
                  <c:pt idx="8">
                    <c:v>bring</c:v>
                  </c:pt>
                  <c:pt idx="9">
                    <c:v>only</c:v>
                  </c:pt>
                  <c:pt idx="10">
                    <c:v>snail</c:v>
                  </c:pt>
                  <c:pt idx="11">
                    <c:v>done</c:v>
                  </c:pt>
                  <c:pt idx="12">
                    <c:v>well</c:v>
                  </c:pt>
                  <c:pt idx="13">
                    <c:v>green</c:v>
                  </c:pt>
                  <c:pt idx="14">
                    <c:v>beach</c:v>
                  </c:pt>
                </c:lvl>
                <c:lvl>
                  <c:pt idx="0">
                    <c:v>Unit 13</c:v>
                  </c:pt>
                  <c:pt idx="5">
                    <c:v>Unit 14</c:v>
                  </c:pt>
                  <c:pt idx="11">
                    <c:v>Unit 15</c:v>
                  </c:pt>
                </c:lvl>
              </c:multiLvlStrCache>
            </c:multiLvlStrRef>
          </c:cat>
          <c:val>
            <c:numRef>
              <c:f>'P.3 Cal (1st)'!$K$26:$K$40</c:f>
              <c:numCache>
                <c:formatCode>General</c:formatCode>
                <c:ptCount val="15"/>
                <c:pt idx="0">
                  <c:v>30.76923076923077</c:v>
                </c:pt>
                <c:pt idx="1">
                  <c:v>46.153846153846153</c:v>
                </c:pt>
                <c:pt idx="2">
                  <c:v>46.153846153846153</c:v>
                </c:pt>
                <c:pt idx="3">
                  <c:v>26.923076923076923</c:v>
                </c:pt>
                <c:pt idx="4">
                  <c:v>30.76923076923077</c:v>
                </c:pt>
                <c:pt idx="5" formatCode="0">
                  <c:v>54.901960784313729</c:v>
                </c:pt>
                <c:pt idx="6" formatCode="0">
                  <c:v>50.980392156862742</c:v>
                </c:pt>
                <c:pt idx="7" formatCode="0">
                  <c:v>50.980392156862742</c:v>
                </c:pt>
                <c:pt idx="8" formatCode="0">
                  <c:v>60.784313725490193</c:v>
                </c:pt>
                <c:pt idx="9" formatCode="0">
                  <c:v>60.784313725490193</c:v>
                </c:pt>
                <c:pt idx="10" formatCode="0">
                  <c:v>25.490196078431371</c:v>
                </c:pt>
                <c:pt idx="11" formatCode="0">
                  <c:v>17.647058823529413</c:v>
                </c:pt>
                <c:pt idx="12" formatCode="0">
                  <c:v>45.098039215686278</c:v>
                </c:pt>
                <c:pt idx="13" formatCode="0">
                  <c:v>68.627450980392155</c:v>
                </c:pt>
                <c:pt idx="14" formatCode="0">
                  <c:v>64.705882352941174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02-48D3-9211-A5F86EA70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909472"/>
        <c:axId val="336903488"/>
      </c:lineChart>
      <c:catAx>
        <c:axId val="33690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3488"/>
        <c:crosses val="autoZero"/>
        <c:auto val="1"/>
        <c:lblAlgn val="ctr"/>
        <c:lblOffset val="100"/>
        <c:noMultiLvlLbl val="0"/>
      </c:catAx>
      <c:valAx>
        <c:axId val="3369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94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PLP-RW High Frequency Words and Phonics Assessment</a:t>
            </a:r>
          </a:p>
          <a:p>
            <a:pPr>
              <a:defRPr/>
            </a:pPr>
            <a:r>
              <a:rPr lang="en-US"/>
              <a:t>P.1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'P.1 Cal (1st)'!$D$26</c:f>
              <c:strCache>
                <c:ptCount val="1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ABB-4547-B6F0-DE481BED97CD}"/>
              </c:ext>
            </c:extLst>
          </c:dPt>
          <c:dPt>
            <c:idx val="5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ABB-4547-B6F0-DE481BED97CD}"/>
              </c:ext>
            </c:extLst>
          </c:dPt>
          <c:dPt>
            <c:idx val="6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ABB-4547-B6F0-DE481BED97CD}"/>
              </c:ext>
            </c:extLst>
          </c:dPt>
          <c:dPt>
            <c:idx val="7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ABB-4547-B6F0-DE481BED97CD}"/>
              </c:ext>
            </c:extLst>
          </c:dPt>
          <c:dPt>
            <c:idx val="1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ABB-4547-B6F0-DE481BED97CD}"/>
              </c:ext>
            </c:extLst>
          </c:dPt>
          <c:dPt>
            <c:idx val="1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ABB-4547-B6F0-DE481BED97CD}"/>
              </c:ext>
            </c:extLst>
          </c:dPt>
          <c:dPt>
            <c:idx val="1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ABB-4547-B6F0-DE481BED97CD}"/>
              </c:ext>
            </c:extLst>
          </c:dPt>
          <c:dPt>
            <c:idx val="15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BB-4547-B6F0-DE481BED97CD}"/>
              </c:ext>
            </c:extLst>
          </c:dPt>
          <c:dPt>
            <c:idx val="20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ABB-4547-B6F0-DE481BED97CD}"/>
              </c:ext>
            </c:extLst>
          </c:dPt>
          <c:dPt>
            <c:idx val="21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ABB-4547-B6F0-DE481BED97CD}"/>
              </c:ext>
            </c:extLst>
          </c:dPt>
          <c:dPt>
            <c:idx val="2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ABB-4547-B6F0-DE481BED97CD}"/>
              </c:ext>
            </c:extLst>
          </c:dPt>
          <c:dPt>
            <c:idx val="2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ABB-4547-B6F0-DE481BED97CD}"/>
              </c:ext>
            </c:extLst>
          </c:dPt>
          <c:cat>
            <c:multiLvlStrRef>
              <c:f>'P.1 Cal (1st)'!$A$27:$C$50</c:f>
              <c:multiLvlStrCache>
                <c:ptCount val="24"/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1D</c:v>
                  </c:pt>
                  <c:pt idx="4">
                    <c:v>1A</c:v>
                  </c:pt>
                  <c:pt idx="5">
                    <c:v>1B</c:v>
                  </c:pt>
                  <c:pt idx="6">
                    <c:v>1C</c:v>
                  </c:pt>
                  <c:pt idx="7">
                    <c:v>1D</c:v>
                  </c:pt>
                  <c:pt idx="8">
                    <c:v>1A</c:v>
                  </c:pt>
                  <c:pt idx="9">
                    <c:v>1B</c:v>
                  </c:pt>
                  <c:pt idx="10">
                    <c:v>1C</c:v>
                  </c:pt>
                  <c:pt idx="11">
                    <c:v>1D</c:v>
                  </c:pt>
                  <c:pt idx="12">
                    <c:v>1A</c:v>
                  </c:pt>
                  <c:pt idx="13">
                    <c:v>1B</c:v>
                  </c:pt>
                  <c:pt idx="14">
                    <c:v>1C</c:v>
                  </c:pt>
                  <c:pt idx="15">
                    <c:v>1D</c:v>
                  </c:pt>
                  <c:pt idx="16">
                    <c:v>1A</c:v>
                  </c:pt>
                  <c:pt idx="17">
                    <c:v>1B</c:v>
                  </c:pt>
                  <c:pt idx="18">
                    <c:v>1C</c:v>
                  </c:pt>
                  <c:pt idx="19">
                    <c:v>1D</c:v>
                  </c:pt>
                  <c:pt idx="20">
                    <c:v>1A</c:v>
                  </c:pt>
                  <c:pt idx="21">
                    <c:v>1B</c:v>
                  </c:pt>
                  <c:pt idx="22">
                    <c:v>1C</c:v>
                  </c:pt>
                  <c:pt idx="23">
                    <c:v>1D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2</c:v>
                  </c:pt>
                  <c:pt idx="16">
                    <c:v>Unit 3</c:v>
                  </c:pt>
                </c:lvl>
              </c:multiLvlStrCache>
            </c:multiLvlStrRef>
          </c:cat>
          <c:val>
            <c:numRef>
              <c:f>'P.1 Cal (1st)'!$D$27:$D$50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ABB-4547-B6F0-DE481BED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36911104"/>
        <c:axId val="336910016"/>
      </c:barChart>
      <c:lineChart>
        <c:grouping val="standard"/>
        <c:varyColors val="0"/>
        <c:ser>
          <c:idx val="1"/>
          <c:order val="1"/>
          <c:tx>
            <c:strRef>
              <c:f>'P.1 Cal (1st)'!$E$26</c:f>
              <c:strCache>
                <c:ptCount val="1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'P.1 Cal (1st)'!$A$27:$C$50</c:f>
              <c:multiLvlStrCache>
                <c:ptCount val="24"/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1D</c:v>
                  </c:pt>
                  <c:pt idx="4">
                    <c:v>1A</c:v>
                  </c:pt>
                  <c:pt idx="5">
                    <c:v>1B</c:v>
                  </c:pt>
                  <c:pt idx="6">
                    <c:v>1C</c:v>
                  </c:pt>
                  <c:pt idx="7">
                    <c:v>1D</c:v>
                  </c:pt>
                  <c:pt idx="8">
                    <c:v>1A</c:v>
                  </c:pt>
                  <c:pt idx="9">
                    <c:v>1B</c:v>
                  </c:pt>
                  <c:pt idx="10">
                    <c:v>1C</c:v>
                  </c:pt>
                  <c:pt idx="11">
                    <c:v>1D</c:v>
                  </c:pt>
                  <c:pt idx="12">
                    <c:v>1A</c:v>
                  </c:pt>
                  <c:pt idx="13">
                    <c:v>1B</c:v>
                  </c:pt>
                  <c:pt idx="14">
                    <c:v>1C</c:v>
                  </c:pt>
                  <c:pt idx="15">
                    <c:v>1D</c:v>
                  </c:pt>
                  <c:pt idx="16">
                    <c:v>1A</c:v>
                  </c:pt>
                  <c:pt idx="17">
                    <c:v>1B</c:v>
                  </c:pt>
                  <c:pt idx="18">
                    <c:v>1C</c:v>
                  </c:pt>
                  <c:pt idx="19">
                    <c:v>1D</c:v>
                  </c:pt>
                  <c:pt idx="20">
                    <c:v>1A</c:v>
                  </c:pt>
                  <c:pt idx="21">
                    <c:v>1B</c:v>
                  </c:pt>
                  <c:pt idx="22">
                    <c:v>1C</c:v>
                  </c:pt>
                  <c:pt idx="23">
                    <c:v>1D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2</c:v>
                  </c:pt>
                  <c:pt idx="16">
                    <c:v>Unit 3</c:v>
                  </c:pt>
                </c:lvl>
              </c:multiLvlStrCache>
            </c:multiLvlStrRef>
          </c:cat>
          <c:val>
            <c:numRef>
              <c:f>'P.1 Cal (1st)'!$E$27:$E$50</c:f>
              <c:numCache>
                <c:formatCode>0</c:formatCode>
                <c:ptCount val="24"/>
                <c:pt idx="8">
                  <c:v>66.857142857142861</c:v>
                </c:pt>
                <c:pt idx="9">
                  <c:v>64.38095238095238</c:v>
                </c:pt>
                <c:pt idx="10">
                  <c:v>62.095238095238095</c:v>
                </c:pt>
                <c:pt idx="11">
                  <c:v>74.095238095238102</c:v>
                </c:pt>
                <c:pt idx="12">
                  <c:v>70</c:v>
                </c:pt>
                <c:pt idx="13">
                  <c:v>90</c:v>
                </c:pt>
                <c:pt idx="14">
                  <c:v>90</c:v>
                </c:pt>
                <c:pt idx="15">
                  <c:v>70</c:v>
                </c:pt>
                <c:pt idx="16">
                  <c:v>42.222222222222221</c:v>
                </c:pt>
                <c:pt idx="17">
                  <c:v>40.444444444444443</c:v>
                </c:pt>
                <c:pt idx="18">
                  <c:v>65.333333333333329</c:v>
                </c:pt>
                <c:pt idx="19">
                  <c:v>49.777777777777786</c:v>
                </c:pt>
                <c:pt idx="20">
                  <c:v>38</c:v>
                </c:pt>
                <c:pt idx="21">
                  <c:v>39</c:v>
                </c:pt>
                <c:pt idx="22">
                  <c:v>53</c:v>
                </c:pt>
                <c:pt idx="2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ABB-4547-B6F0-DE481BED9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911104"/>
        <c:axId val="336910016"/>
      </c:lineChart>
      <c:catAx>
        <c:axId val="3369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10016"/>
        <c:crosses val="autoZero"/>
        <c:auto val="1"/>
        <c:lblAlgn val="ctr"/>
        <c:lblOffset val="100"/>
        <c:noMultiLvlLbl val="0"/>
      </c:catAx>
      <c:valAx>
        <c:axId val="3369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11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PLP-RW High Frequency Words and Phonics Assessment</a:t>
            </a:r>
          </a:p>
          <a:p>
            <a:pPr>
              <a:defRPr/>
            </a:pPr>
            <a:r>
              <a:rPr lang="en-US"/>
              <a:t>P.2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'P.2 Cal (1st)'!$D$23</c:f>
              <c:strCache>
                <c:ptCount val="1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E3-4F34-92E0-E84F6F872DF4}"/>
              </c:ext>
            </c:extLst>
          </c:dPt>
          <c:dPt>
            <c:idx val="5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E3-4F34-92E0-E84F6F872DF4}"/>
              </c:ext>
            </c:extLst>
          </c:dPt>
          <c:dPt>
            <c:idx val="6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E3-4F34-92E0-E84F6F872DF4}"/>
              </c:ext>
            </c:extLst>
          </c:dPt>
          <c:dPt>
            <c:idx val="7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2E3-4F34-92E0-E84F6F872DF4}"/>
              </c:ext>
            </c:extLst>
          </c:dPt>
          <c:dPt>
            <c:idx val="1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2E3-4F34-92E0-E84F6F872DF4}"/>
              </c:ext>
            </c:extLst>
          </c:dPt>
          <c:dPt>
            <c:idx val="1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2E3-4F34-92E0-E84F6F872DF4}"/>
              </c:ext>
            </c:extLst>
          </c:dPt>
          <c:dPt>
            <c:idx val="1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2E3-4F34-92E0-E84F6F872DF4}"/>
              </c:ext>
            </c:extLst>
          </c:dPt>
          <c:dPt>
            <c:idx val="15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2E3-4F34-92E0-E84F6F872DF4}"/>
              </c:ext>
            </c:extLst>
          </c:dPt>
          <c:dPt>
            <c:idx val="20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2E3-4F34-92E0-E84F6F872DF4}"/>
              </c:ext>
            </c:extLst>
          </c:dPt>
          <c:dPt>
            <c:idx val="21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2E3-4F34-92E0-E84F6F872DF4}"/>
              </c:ext>
            </c:extLst>
          </c:dPt>
          <c:dPt>
            <c:idx val="2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2E3-4F34-92E0-E84F6F872DF4}"/>
              </c:ext>
            </c:extLst>
          </c:dPt>
          <c:dPt>
            <c:idx val="2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2E3-4F34-92E0-E84F6F872DF4}"/>
              </c:ext>
            </c:extLst>
          </c:dPt>
          <c:cat>
            <c:multiLvlStrRef>
              <c:f>'P.2 Cal (1st)'!$A$24:$C$47</c:f>
              <c:multiLvlStrCache>
                <c:ptCount val="24"/>
                <c:lvl>
                  <c:pt idx="0">
                    <c:v>2A</c:v>
                  </c:pt>
                  <c:pt idx="1">
                    <c:v>2B</c:v>
                  </c:pt>
                  <c:pt idx="2">
                    <c:v>2C</c:v>
                  </c:pt>
                  <c:pt idx="3">
                    <c:v>2D</c:v>
                  </c:pt>
                  <c:pt idx="4">
                    <c:v>2A</c:v>
                  </c:pt>
                  <c:pt idx="5">
                    <c:v>2B</c:v>
                  </c:pt>
                  <c:pt idx="6">
                    <c:v>2C</c:v>
                  </c:pt>
                  <c:pt idx="7">
                    <c:v>2D</c:v>
                  </c:pt>
                  <c:pt idx="8">
                    <c:v>2A</c:v>
                  </c:pt>
                  <c:pt idx="9">
                    <c:v>2B</c:v>
                  </c:pt>
                  <c:pt idx="10">
                    <c:v>2C</c:v>
                  </c:pt>
                  <c:pt idx="11">
                    <c:v>2D</c:v>
                  </c:pt>
                  <c:pt idx="12">
                    <c:v>2A</c:v>
                  </c:pt>
                  <c:pt idx="13">
                    <c:v>2B</c:v>
                  </c:pt>
                  <c:pt idx="14">
                    <c:v>2C</c:v>
                  </c:pt>
                  <c:pt idx="15">
                    <c:v>2D</c:v>
                  </c:pt>
                  <c:pt idx="16">
                    <c:v>2A</c:v>
                  </c:pt>
                  <c:pt idx="17">
                    <c:v>2B</c:v>
                  </c:pt>
                  <c:pt idx="18">
                    <c:v>2C</c:v>
                  </c:pt>
                  <c:pt idx="19">
                    <c:v>2D</c:v>
                  </c:pt>
                  <c:pt idx="20">
                    <c:v>2A</c:v>
                  </c:pt>
                  <c:pt idx="21">
                    <c:v>2B</c:v>
                  </c:pt>
                  <c:pt idx="22">
                    <c:v>2C</c:v>
                  </c:pt>
                  <c:pt idx="23">
                    <c:v>2D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8</c:v>
                  </c:pt>
                  <c:pt idx="16">
                    <c:v>Unit 9</c:v>
                  </c:pt>
                </c:lvl>
              </c:multiLvlStrCache>
            </c:multiLvlStrRef>
          </c:cat>
          <c:val>
            <c:numRef>
              <c:f>'P.2 Cal (1st)'!$D$24:$D$47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2E3-4F34-92E0-E84F6F872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36904576"/>
        <c:axId val="336905120"/>
      </c:barChart>
      <c:lineChart>
        <c:grouping val="standard"/>
        <c:varyColors val="0"/>
        <c:ser>
          <c:idx val="1"/>
          <c:order val="1"/>
          <c:tx>
            <c:strRef>
              <c:f>'P.2 Cal (1st)'!$E$23</c:f>
              <c:strCache>
                <c:ptCount val="1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'P.2 Cal (1st)'!$A$24:$C$47</c:f>
              <c:multiLvlStrCache>
                <c:ptCount val="24"/>
                <c:lvl>
                  <c:pt idx="0">
                    <c:v>2A</c:v>
                  </c:pt>
                  <c:pt idx="1">
                    <c:v>2B</c:v>
                  </c:pt>
                  <c:pt idx="2">
                    <c:v>2C</c:v>
                  </c:pt>
                  <c:pt idx="3">
                    <c:v>2D</c:v>
                  </c:pt>
                  <c:pt idx="4">
                    <c:v>2A</c:v>
                  </c:pt>
                  <c:pt idx="5">
                    <c:v>2B</c:v>
                  </c:pt>
                  <c:pt idx="6">
                    <c:v>2C</c:v>
                  </c:pt>
                  <c:pt idx="7">
                    <c:v>2D</c:v>
                  </c:pt>
                  <c:pt idx="8">
                    <c:v>2A</c:v>
                  </c:pt>
                  <c:pt idx="9">
                    <c:v>2B</c:v>
                  </c:pt>
                  <c:pt idx="10">
                    <c:v>2C</c:v>
                  </c:pt>
                  <c:pt idx="11">
                    <c:v>2D</c:v>
                  </c:pt>
                  <c:pt idx="12">
                    <c:v>2A</c:v>
                  </c:pt>
                  <c:pt idx="13">
                    <c:v>2B</c:v>
                  </c:pt>
                  <c:pt idx="14">
                    <c:v>2C</c:v>
                  </c:pt>
                  <c:pt idx="15">
                    <c:v>2D</c:v>
                  </c:pt>
                  <c:pt idx="16">
                    <c:v>2A</c:v>
                  </c:pt>
                  <c:pt idx="17">
                    <c:v>2B</c:v>
                  </c:pt>
                  <c:pt idx="18">
                    <c:v>2C</c:v>
                  </c:pt>
                  <c:pt idx="19">
                    <c:v>2D</c:v>
                  </c:pt>
                  <c:pt idx="20">
                    <c:v>2A</c:v>
                  </c:pt>
                  <c:pt idx="21">
                    <c:v>2B</c:v>
                  </c:pt>
                  <c:pt idx="22">
                    <c:v>2C</c:v>
                  </c:pt>
                  <c:pt idx="23">
                    <c:v>2D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8</c:v>
                  </c:pt>
                  <c:pt idx="16">
                    <c:v>Unit 9</c:v>
                  </c:pt>
                </c:lvl>
              </c:multiLvlStrCache>
            </c:multiLvlStrRef>
          </c:cat>
          <c:val>
            <c:numRef>
              <c:f>'P.2 Cal (1st)'!$E$24:$E$47</c:f>
              <c:numCache>
                <c:formatCode>0</c:formatCode>
                <c:ptCount val="24"/>
                <c:pt idx="1">
                  <c:v>79.743589743589752</c:v>
                </c:pt>
                <c:pt idx="3">
                  <c:v>77.692307692307679</c:v>
                </c:pt>
                <c:pt idx="5">
                  <c:v>65.384615384615387</c:v>
                </c:pt>
                <c:pt idx="7">
                  <c:v>58.653846153846153</c:v>
                </c:pt>
                <c:pt idx="8">
                  <c:v>77.810650887573971</c:v>
                </c:pt>
                <c:pt idx="9">
                  <c:v>80.769230769230774</c:v>
                </c:pt>
                <c:pt idx="11">
                  <c:v>86.68639053254438</c:v>
                </c:pt>
                <c:pt idx="12">
                  <c:v>64.102564102564102</c:v>
                </c:pt>
                <c:pt idx="13">
                  <c:v>66.666666666666671</c:v>
                </c:pt>
                <c:pt idx="15">
                  <c:v>67.948717948717942</c:v>
                </c:pt>
                <c:pt idx="16">
                  <c:v>62.980769230769226</c:v>
                </c:pt>
                <c:pt idx="17">
                  <c:v>63.942307692307686</c:v>
                </c:pt>
                <c:pt idx="18">
                  <c:v>63</c:v>
                </c:pt>
                <c:pt idx="19">
                  <c:v>74.038461538461547</c:v>
                </c:pt>
                <c:pt idx="20">
                  <c:v>47.115384615384613</c:v>
                </c:pt>
                <c:pt idx="21">
                  <c:v>47.115384615384613</c:v>
                </c:pt>
                <c:pt idx="22">
                  <c:v>54</c:v>
                </c:pt>
                <c:pt idx="23">
                  <c:v>55.769230769230774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2E3-4F34-92E0-E84F6F872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904576"/>
        <c:axId val="336905120"/>
      </c:lineChart>
      <c:catAx>
        <c:axId val="3369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5120"/>
        <c:crosses val="autoZero"/>
        <c:auto val="1"/>
        <c:lblAlgn val="ctr"/>
        <c:lblOffset val="100"/>
        <c:noMultiLvlLbl val="0"/>
      </c:catAx>
      <c:valAx>
        <c:axId val="3369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4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PLP-RW High Frequency Words and Phonics Assessment</a:t>
            </a:r>
          </a:p>
          <a:p>
            <a:pPr>
              <a:defRPr/>
            </a:pPr>
            <a:r>
              <a:rPr lang="en-US"/>
              <a:t>P.3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'P.3 Cal (1st)'!$D$25</c:f>
              <c:strCache>
                <c:ptCount val="1"/>
                <c:pt idx="0">
                  <c:v>2015-2016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90B-410D-930F-D4300EA433E7}"/>
              </c:ext>
            </c:extLst>
          </c:dPt>
          <c:dPt>
            <c:idx val="5"/>
            <c:invertIfNegative val="0"/>
            <c:bubble3D val="0"/>
            <c:spPr>
              <a:solidFill>
                <a:srgbClr val="E684E8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90B-410D-930F-D4300EA433E7}"/>
              </c:ext>
            </c:extLst>
          </c:dPt>
          <c:dPt>
            <c:idx val="6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90B-410D-930F-D4300EA433E7}"/>
              </c:ext>
            </c:extLst>
          </c:dPt>
          <c:dPt>
            <c:idx val="7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90B-410D-930F-D4300EA433E7}"/>
              </c:ext>
            </c:extLst>
          </c:dPt>
          <c:dPt>
            <c:idx val="1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90B-410D-930F-D4300EA433E7}"/>
              </c:ext>
            </c:extLst>
          </c:dPt>
          <c:dPt>
            <c:idx val="1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90B-410D-930F-D4300EA433E7}"/>
              </c:ext>
            </c:extLst>
          </c:dPt>
          <c:dPt>
            <c:idx val="14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90B-410D-930F-D4300EA433E7}"/>
              </c:ext>
            </c:extLst>
          </c:dPt>
          <c:dPt>
            <c:idx val="15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90B-410D-930F-D4300EA433E7}"/>
              </c:ext>
            </c:extLst>
          </c:dPt>
          <c:dPt>
            <c:idx val="20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90B-410D-930F-D4300EA433E7}"/>
              </c:ext>
            </c:extLst>
          </c:dPt>
          <c:dPt>
            <c:idx val="21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90B-410D-930F-D4300EA433E7}"/>
              </c:ext>
            </c:extLst>
          </c:dPt>
          <c:dPt>
            <c:idx val="22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90B-410D-930F-D4300EA433E7}"/>
              </c:ext>
            </c:extLst>
          </c:dPt>
          <c:dPt>
            <c:idx val="23"/>
            <c:invertIfNegative val="0"/>
            <c:bubble3D val="0"/>
            <c:spPr>
              <a:solidFill>
                <a:srgbClr val="E684E8"/>
              </a:solidFill>
              <a:ln>
                <a:solidFill>
                  <a:srgbClr val="E684E8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90B-410D-930F-D4300EA433E7}"/>
              </c:ext>
            </c:extLst>
          </c:dPt>
          <c:cat>
            <c:multiLvlStrRef>
              <c:f>'P.3 Cal (1st)'!$A$26:$C$49</c:f>
              <c:multiLvlStrCache>
                <c:ptCount val="24"/>
                <c:lvl>
                  <c:pt idx="0">
                    <c:v>3A</c:v>
                  </c:pt>
                  <c:pt idx="1">
                    <c:v>3B</c:v>
                  </c:pt>
                  <c:pt idx="2">
                    <c:v>3C</c:v>
                  </c:pt>
                  <c:pt idx="3">
                    <c:v>3D</c:v>
                  </c:pt>
                  <c:pt idx="4">
                    <c:v>3A</c:v>
                  </c:pt>
                  <c:pt idx="5">
                    <c:v>3B</c:v>
                  </c:pt>
                  <c:pt idx="6">
                    <c:v>3C</c:v>
                  </c:pt>
                  <c:pt idx="7">
                    <c:v>3D</c:v>
                  </c:pt>
                  <c:pt idx="8">
                    <c:v>3A</c:v>
                  </c:pt>
                  <c:pt idx="9">
                    <c:v>3B</c:v>
                  </c:pt>
                  <c:pt idx="10">
                    <c:v>3C</c:v>
                  </c:pt>
                  <c:pt idx="11">
                    <c:v>3D</c:v>
                  </c:pt>
                  <c:pt idx="12">
                    <c:v>3A</c:v>
                  </c:pt>
                  <c:pt idx="13">
                    <c:v>3B</c:v>
                  </c:pt>
                  <c:pt idx="14">
                    <c:v>3C</c:v>
                  </c:pt>
                  <c:pt idx="15">
                    <c:v>3D</c:v>
                  </c:pt>
                  <c:pt idx="16">
                    <c:v>3A</c:v>
                  </c:pt>
                  <c:pt idx="17">
                    <c:v>3B</c:v>
                  </c:pt>
                  <c:pt idx="18">
                    <c:v>3C</c:v>
                  </c:pt>
                  <c:pt idx="19">
                    <c:v>3D</c:v>
                  </c:pt>
                  <c:pt idx="20">
                    <c:v>3A</c:v>
                  </c:pt>
                  <c:pt idx="21">
                    <c:v>3B</c:v>
                  </c:pt>
                  <c:pt idx="22">
                    <c:v>3C</c:v>
                  </c:pt>
                  <c:pt idx="23">
                    <c:v>3D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14</c:v>
                  </c:pt>
                  <c:pt idx="16">
                    <c:v>Unit 15</c:v>
                  </c:pt>
                </c:lvl>
              </c:multiLvlStrCache>
            </c:multiLvlStrRef>
          </c:cat>
          <c:val>
            <c:numRef>
              <c:f>'P.3 Cal (1st)'!$D$26:$D$49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90B-410D-930F-D4300EA43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36912192"/>
        <c:axId val="336907296"/>
      </c:barChart>
      <c:lineChart>
        <c:grouping val="standard"/>
        <c:varyColors val="0"/>
        <c:ser>
          <c:idx val="1"/>
          <c:order val="1"/>
          <c:tx>
            <c:strRef>
              <c:f>'P.3 Cal (1st)'!$E$25</c:f>
              <c:strCache>
                <c:ptCount val="1"/>
                <c:pt idx="0">
                  <c:v>2014-2015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'P.3 Cal (1st)'!$A$26:$C$49</c:f>
              <c:multiLvlStrCache>
                <c:ptCount val="24"/>
                <c:lvl>
                  <c:pt idx="0">
                    <c:v>3A</c:v>
                  </c:pt>
                  <c:pt idx="1">
                    <c:v>3B</c:v>
                  </c:pt>
                  <c:pt idx="2">
                    <c:v>3C</c:v>
                  </c:pt>
                  <c:pt idx="3">
                    <c:v>3D</c:v>
                  </c:pt>
                  <c:pt idx="4">
                    <c:v>3A</c:v>
                  </c:pt>
                  <c:pt idx="5">
                    <c:v>3B</c:v>
                  </c:pt>
                  <c:pt idx="6">
                    <c:v>3C</c:v>
                  </c:pt>
                  <c:pt idx="7">
                    <c:v>3D</c:v>
                  </c:pt>
                  <c:pt idx="8">
                    <c:v>3A</c:v>
                  </c:pt>
                  <c:pt idx="9">
                    <c:v>3B</c:v>
                  </c:pt>
                  <c:pt idx="10">
                    <c:v>3C</c:v>
                  </c:pt>
                  <c:pt idx="11">
                    <c:v>3D</c:v>
                  </c:pt>
                  <c:pt idx="12">
                    <c:v>3A</c:v>
                  </c:pt>
                  <c:pt idx="13">
                    <c:v>3B</c:v>
                  </c:pt>
                  <c:pt idx="14">
                    <c:v>3C</c:v>
                  </c:pt>
                  <c:pt idx="15">
                    <c:v>3D</c:v>
                  </c:pt>
                  <c:pt idx="16">
                    <c:v>3A</c:v>
                  </c:pt>
                  <c:pt idx="17">
                    <c:v>3B</c:v>
                  </c:pt>
                  <c:pt idx="18">
                    <c:v>3C</c:v>
                  </c:pt>
                  <c:pt idx="19">
                    <c:v>3D</c:v>
                  </c:pt>
                  <c:pt idx="20">
                    <c:v>3A</c:v>
                  </c:pt>
                  <c:pt idx="21">
                    <c:v>3B</c:v>
                  </c:pt>
                  <c:pt idx="22">
                    <c:v>3C</c:v>
                  </c:pt>
                  <c:pt idx="23">
                    <c:v>3D</c:v>
                  </c:pt>
                </c:lvl>
                <c:lvl>
                  <c:pt idx="0">
                    <c:v>HFWs</c:v>
                  </c:pt>
                  <c:pt idx="4">
                    <c:v>Phonics</c:v>
                  </c:pt>
                  <c:pt idx="8">
                    <c:v>HFWs</c:v>
                  </c:pt>
                  <c:pt idx="12">
                    <c:v>Phonics</c:v>
                  </c:pt>
                  <c:pt idx="16">
                    <c:v>HFWs</c:v>
                  </c:pt>
                  <c:pt idx="20">
                    <c:v>Phonics</c:v>
                  </c:pt>
                </c:lvl>
                <c:lvl>
                  <c:pt idx="8">
                    <c:v>Unit 14</c:v>
                  </c:pt>
                  <c:pt idx="16">
                    <c:v>Unit 15</c:v>
                  </c:pt>
                </c:lvl>
              </c:multiLvlStrCache>
            </c:multiLvlStrRef>
          </c:cat>
          <c:val>
            <c:numRef>
              <c:f>'P.3 Cal (1st)'!$E$26:$E$49</c:f>
              <c:numCache>
                <c:formatCode>0</c:formatCode>
                <c:ptCount val="24"/>
                <c:pt idx="9">
                  <c:v>73.964497041420117</c:v>
                </c:pt>
                <c:pt idx="10">
                  <c:v>66.15384615384616</c:v>
                </c:pt>
                <c:pt idx="13">
                  <c:v>61.53846153846154</c:v>
                </c:pt>
                <c:pt idx="14">
                  <c:v>80</c:v>
                </c:pt>
                <c:pt idx="16">
                  <c:v>56.666666666666664</c:v>
                </c:pt>
                <c:pt idx="19">
                  <c:v>77.564102564102569</c:v>
                </c:pt>
                <c:pt idx="20">
                  <c:v>64.102564102564102</c:v>
                </c:pt>
                <c:pt idx="23">
                  <c:v>77.333333333333329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90B-410D-930F-D4300EA43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912192"/>
        <c:axId val="336907296"/>
      </c:lineChart>
      <c:catAx>
        <c:axId val="3369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07296"/>
        <c:crosses val="autoZero"/>
        <c:auto val="1"/>
        <c:lblAlgn val="ctr"/>
        <c:lblOffset val="100"/>
        <c:noMultiLvlLbl val="0"/>
      </c:catAx>
      <c:valAx>
        <c:axId val="33690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 (Can Read)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12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cap="none" spc="2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P.3 Assessment Results 2015-16 (per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cap="none" spc="2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C00F-49F2-B5FD-9C0FA57849EE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C00F-49F2-B5FD-9C0FA57849EE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C00F-49F2-B5FD-9C0FA57849EE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43-C00F-49F2-B5FD-9C0FA57849EE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54-C00F-49F2-B5FD-9C0FA57849EE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65-C00F-49F2-B5FD-9C0FA57849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6913280"/>
        <c:axId val="336914368"/>
      </c:barChart>
      <c:catAx>
        <c:axId val="336913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1231118378020632E-2"/>
              <c:y val="3.71540764104638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36914368"/>
        <c:crosses val="autoZero"/>
        <c:auto val="1"/>
        <c:lblAlgn val="ctr"/>
        <c:lblOffset val="100"/>
        <c:noMultiLvlLbl val="0"/>
      </c:catAx>
      <c:valAx>
        <c:axId val="3369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3691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P.3 Assessment Results 2015-16 (per unit)</a:t>
            </a:r>
          </a:p>
        </c:rich>
      </c:tx>
      <c:layout>
        <c:manualLayout>
          <c:xMode val="edge"/>
          <c:yMode val="edge"/>
          <c:x val="0.14867810763910738"/>
          <c:y val="2.7227137820935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45594436102986E-2"/>
          <c:y val="0.15607960878676305"/>
          <c:w val="0.92862982722158927"/>
          <c:h val="0.6939016653410409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BB8-4C6C-8FA5-C2B81AD9D6EF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BB8-4C6C-8FA5-C2B81AD9D6EF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BB8-4C6C-8FA5-C2B81AD9D6EF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BB8-4C6C-8FA5-C2B81AD9D6EF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BB8-4C6C-8FA5-C2B81AD9D6EF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BB8-4C6C-8FA5-C2B81AD9D6EF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BB8-4C6C-8FA5-C2B81AD9D6EF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BB8-4C6C-8FA5-C2B81AD9D6E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38086720"/>
        <c:axId val="338077472"/>
        <c:extLst/>
      </c:barChart>
      <c:catAx>
        <c:axId val="33808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4209088434179977E-2"/>
              <c:y val="8.56144238195073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38077472"/>
        <c:crosses val="autoZero"/>
        <c:auto val="1"/>
        <c:lblAlgn val="ctr"/>
        <c:lblOffset val="100"/>
        <c:noMultiLvlLbl val="0"/>
      </c:catAx>
      <c:valAx>
        <c:axId val="3380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3808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>
                  <a:lumMod val="8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cap="none" spc="2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P.1 Assessment Results 2015-16</a:t>
            </a:r>
            <a:r>
              <a:rPr lang="en-US" altLang="zh-TW" baseline="0"/>
              <a:t> </a:t>
            </a:r>
            <a:r>
              <a:rPr lang="en-US" altLang="zh-TW"/>
              <a:t>(per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cap="none" spc="2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814B-4FB4-893B-95E6ECB94C4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814B-4FB4-893B-95E6ECB94C4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814B-4FB4-893B-95E6ECB94C4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43-814B-4FB4-893B-95E6ECB94C4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54-814B-4FB4-893B-95E6ECB94C4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65-814B-4FB4-893B-95E6ECB94C4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1545872"/>
        <c:axId val="341546960"/>
      </c:barChart>
      <c:catAx>
        <c:axId val="341545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1231118378020632E-2"/>
              <c:y val="3.71540764104638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546960"/>
        <c:crosses val="autoZero"/>
        <c:auto val="1"/>
        <c:lblAlgn val="ctr"/>
        <c:lblOffset val="100"/>
        <c:noMultiLvlLbl val="0"/>
      </c:catAx>
      <c:valAx>
        <c:axId val="34154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54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P.1 Assessment Results 2015-16 (per unit)</a:t>
            </a:r>
          </a:p>
        </c:rich>
      </c:tx>
      <c:layout>
        <c:manualLayout>
          <c:xMode val="edge"/>
          <c:yMode val="edge"/>
          <c:x val="0.14867810763910738"/>
          <c:y val="2.7227137820935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45594436102986E-2"/>
          <c:y val="0.15607960878676305"/>
          <c:w val="0.92862982722158927"/>
          <c:h val="0.6939016653410409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74D-46E4-84F8-4035701737E5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74D-46E4-84F8-4035701737E5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F74D-46E4-84F8-4035701737E5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F74D-46E4-84F8-4035701737E5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F74D-46E4-84F8-4035701737E5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F74D-46E4-84F8-4035701737E5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F74D-46E4-84F8-4035701737E5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F74D-46E4-84F8-4035701737E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1549136"/>
        <c:axId val="341550768"/>
        <c:extLst/>
      </c:barChart>
      <c:catAx>
        <c:axId val="34154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4209088434179977E-2"/>
              <c:y val="8.56144238195073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550768"/>
        <c:crosses val="autoZero"/>
        <c:auto val="1"/>
        <c:lblAlgn val="ctr"/>
        <c:lblOffset val="100"/>
        <c:noMultiLvlLbl val="0"/>
      </c:catAx>
      <c:valAx>
        <c:axId val="34155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5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>
                  <a:lumMod val="8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P.2 Assessment Results 2015-16 (per unit)</a:t>
            </a:r>
          </a:p>
        </c:rich>
      </c:tx>
      <c:layout>
        <c:manualLayout>
          <c:xMode val="edge"/>
          <c:yMode val="edge"/>
          <c:x val="0.14867810763910738"/>
          <c:y val="2.7227137820935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45594436102986E-2"/>
          <c:y val="0.15607960878676305"/>
          <c:w val="0.92862982722158927"/>
          <c:h val="0.6939016653410409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141-47B8-9938-9D32FD3B923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141-47B8-9938-9D32FD3B923A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141-47B8-9938-9D32FD3B923A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141-47B8-9938-9D32FD3B923A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141-47B8-9938-9D32FD3B923A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141-47B8-9938-9D32FD3B923A}"/>
            </c:ext>
          </c:extLst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141-47B8-9938-9D32FD3B923A}"/>
            </c:ext>
          </c:extLst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B141-47B8-9938-9D32FD3B923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1452176"/>
        <c:axId val="341461424"/>
        <c:extLst/>
      </c:barChart>
      <c:catAx>
        <c:axId val="34145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4209088434179977E-2"/>
              <c:y val="8.56144238195073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461424"/>
        <c:crosses val="autoZero"/>
        <c:auto val="1"/>
        <c:lblAlgn val="ctr"/>
        <c:lblOffset val="100"/>
        <c:noMultiLvlLbl val="0"/>
      </c:catAx>
      <c:valAx>
        <c:axId val="34146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45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>
                  <a:lumMod val="85000"/>
                </a:schemeClr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sng" strike="noStrike" kern="1200" cap="none" spc="2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altLang="zh-TW"/>
              <a:t>PLP-RW P.2 Assessment Results 2015-16 (per class)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sng" strike="noStrike" kern="1200" cap="none" spc="2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10-AAFF-4D7A-8921-EC507C3134FD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21-AAFF-4D7A-8921-EC507C3134FD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32-AAFF-4D7A-8921-EC507C3134FD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43-AAFF-4D7A-8921-EC507C3134FD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54-AAFF-4D7A-8921-EC507C3134FD}"/>
            </c:ext>
          </c:extLst>
        </c:ser>
        <c:ser>
          <c:idx val="5"/>
          <c:order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(#REF!,#REF!)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(#REF!,#REF!)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65-AAFF-4D7A-8921-EC507C3134F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1461968"/>
        <c:axId val="341454352"/>
      </c:barChart>
      <c:catAx>
        <c:axId val="34146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ysClr val="windowText" lastClr="000000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US" altLang="zh-TW"/>
                  <a:t>%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1231118378020632E-2"/>
              <c:y val="3.71540764104638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ysClr val="windowText" lastClr="000000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454352"/>
        <c:crosses val="autoZero"/>
        <c:auto val="1"/>
        <c:lblAlgn val="ctr"/>
        <c:lblOffset val="100"/>
        <c:noMultiLvlLbl val="0"/>
      </c:catAx>
      <c:valAx>
        <c:axId val="3414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34146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圖表4"/>
  <sheetViews>
    <sheetView workbookViewId="0"/>
  </sheetViews>
  <pageMargins left="0.7" right="0.7" top="0.75" bottom="0.75" header="0.3" footer="0.3"/>
  <pageSetup paperSize="9" orientation="portrait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圖表5"/>
  <sheetViews>
    <sheetView zoomScale="47" workbookViewId="0" zoomToFit="1"/>
  </sheetViews>
  <pageMargins left="0.7" right="0.7" top="0.75" bottom="0.75" header="0.3" footer="0.3"/>
  <pageSetup paperSize="9" orientation="portrait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圖表6"/>
  <sheetViews>
    <sheetView zoomScale="47" workbookViewId="0" zoomToFit="1"/>
  </sheetViews>
  <pageMargins left="0.7" right="0.7" top="0.75" bottom="0.75" header="0.3" footer="0.3"/>
  <pageSetup paperSize="9" orientation="portrait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圖表7"/>
  <sheetViews>
    <sheetView zoomScale="85" workbookViewId="0"/>
  </sheetViews>
  <pageMargins left="0.7" right="0.7" top="0.75" bottom="0.75" header="0.3" footer="0.3"/>
  <pageSetup paperSize="9" orientation="portrait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圖表8"/>
  <sheetViews>
    <sheetView zoomScale="47" workbookViewId="0" zoomToFit="1"/>
  </sheetViews>
  <pageMargins left="0.7" right="0.7" top="0.75" bottom="0.75" header="0.3" footer="0.3"/>
  <pageSetup paperSize="9" orientation="portrait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圖表9"/>
  <sheetViews>
    <sheetView zoomScale="85" workbookViewId="0"/>
  </sheetViews>
  <pageMargins left="0.7" right="0.7" top="0.75" bottom="0.75" header="0.3" footer="0.3"/>
  <pageSetup paperSize="9" orientation="portrait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8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201383" cy="922101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6201383" cy="922101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6201383" cy="922101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85647" cy="922244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0.23801</cdr:x>
      <cdr:y>0.82651</cdr:y>
    </cdr:from>
    <cdr:to>
      <cdr:x>0.33639</cdr:x>
      <cdr:y>0.97718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2211943" y="50159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>
              <a:solidFill>
                <a:schemeClr val="bg1"/>
              </a:solidFill>
            </a:rPr>
            <a:t>Unit</a:t>
          </a:r>
          <a:r>
            <a:rPr lang="en-US" altLang="zh-TW" sz="1100" baseline="0">
              <a:solidFill>
                <a:schemeClr val="bg1"/>
              </a:solidFill>
            </a:rPr>
            <a:t> 1</a:t>
          </a:r>
          <a:endParaRPr lang="zh-TW" altLang="en-US" sz="1100">
            <a:solidFill>
              <a:schemeClr val="bg1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6201383" cy="922101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0.23801</cdr:x>
      <cdr:y>0.82651</cdr:y>
    </cdr:from>
    <cdr:to>
      <cdr:x>0.33639</cdr:x>
      <cdr:y>0.97718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2211943" y="50159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>
              <a:solidFill>
                <a:schemeClr val="bg1"/>
              </a:solidFill>
            </a:rPr>
            <a:t>Unit</a:t>
          </a:r>
          <a:r>
            <a:rPr lang="en-US" altLang="zh-TW" sz="1100" baseline="0">
              <a:solidFill>
                <a:schemeClr val="bg1"/>
              </a:solidFill>
            </a:rPr>
            <a:t> 7</a:t>
          </a:r>
          <a:endParaRPr lang="zh-TW" altLang="en-US" sz="1100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6185647" cy="922244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0.23801</cdr:x>
      <cdr:y>0.82651</cdr:y>
    </cdr:from>
    <cdr:to>
      <cdr:x>0.33639</cdr:x>
      <cdr:y>0.97718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2211943" y="50159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100">
              <a:solidFill>
                <a:schemeClr val="bg1"/>
              </a:solidFill>
            </a:rPr>
            <a:t>Unit</a:t>
          </a:r>
          <a:r>
            <a:rPr lang="en-US" altLang="zh-TW" sz="1100" baseline="0">
              <a:solidFill>
                <a:schemeClr val="bg1"/>
              </a:solidFill>
            </a:rPr>
            <a:t> 13</a:t>
          </a:r>
          <a:endParaRPr lang="zh-TW" altLang="en-US" sz="1100">
            <a:solidFill>
              <a:schemeClr val="bg1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2"/>
  <dimension ref="A1:AS54"/>
  <sheetViews>
    <sheetView topLeftCell="A25" zoomScale="70" zoomScaleNormal="70" workbookViewId="0">
      <selection activeCell="H45" sqref="H45"/>
    </sheetView>
  </sheetViews>
  <sheetFormatPr defaultRowHeight="19.5"/>
  <cols>
    <col min="1" max="1" width="7.75" style="5" customWidth="1"/>
    <col min="2" max="3" width="5.875" style="5" customWidth="1"/>
    <col min="4" max="4" width="6.125" style="5" bestFit="1" customWidth="1"/>
    <col min="5" max="5" width="5.875" style="5" customWidth="1"/>
    <col min="6" max="6" width="7" style="5" customWidth="1"/>
    <col min="7" max="7" width="7.5" style="5" customWidth="1"/>
    <col min="8" max="8" width="7.75" style="1" customWidth="1"/>
    <col min="9" max="9" width="5.625" style="1" bestFit="1" customWidth="1"/>
    <col min="10" max="13" width="5.75" style="1" customWidth="1"/>
    <col min="14" max="14" width="7" style="5" customWidth="1"/>
    <col min="15" max="15" width="7.5" style="5" customWidth="1"/>
    <col min="16" max="16" width="10.75" style="5" customWidth="1"/>
    <col min="17" max="20" width="5.625" style="5" customWidth="1"/>
    <col min="21" max="21" width="7" style="5" customWidth="1"/>
    <col min="22" max="22" width="7.5" style="5" customWidth="1"/>
    <col min="23" max="23" width="5.125" style="1" customWidth="1"/>
    <col min="24" max="24" width="4.5" style="1" customWidth="1"/>
    <col min="25" max="28" width="5.625" style="1" customWidth="1"/>
    <col min="29" max="29" width="7" style="5" customWidth="1"/>
    <col min="30" max="30" width="7.5" style="5" customWidth="1"/>
    <col min="31" max="31" width="7.75" style="5" customWidth="1"/>
    <col min="32" max="35" width="5.125" style="5" customWidth="1"/>
    <col min="36" max="37" width="6.875" style="5" customWidth="1"/>
    <col min="38" max="38" width="4.5" style="1" customWidth="1"/>
    <col min="39" max="39" width="10" style="1" customWidth="1"/>
    <col min="40" max="43" width="5.25" style="1" customWidth="1"/>
    <col min="44" max="45" width="6.875" style="5" customWidth="1"/>
    <col min="46" max="16384" width="9" style="1"/>
  </cols>
  <sheetData>
    <row r="1" spans="1:45">
      <c r="A1" s="102" t="s">
        <v>352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 t="s">
        <v>2</v>
      </c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 t="s">
        <v>2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</row>
    <row r="2" spans="1:45">
      <c r="A2" s="102" t="s">
        <v>205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 t="s">
        <v>23</v>
      </c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 t="s">
        <v>48</v>
      </c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</row>
    <row r="3" spans="1:45">
      <c r="A3" s="101" t="s">
        <v>158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 t="s">
        <v>158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158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</row>
    <row r="4" spans="1:45" ht="21" customHeight="1"/>
    <row r="5" spans="1:45">
      <c r="A5" s="104" t="s">
        <v>159</v>
      </c>
      <c r="B5" s="104"/>
      <c r="C5" s="104"/>
      <c r="D5" s="104"/>
      <c r="E5" s="104"/>
      <c r="F5" s="104"/>
      <c r="G5" s="104"/>
      <c r="H5" s="2"/>
      <c r="I5" s="104" t="s">
        <v>160</v>
      </c>
      <c r="J5" s="104"/>
      <c r="K5" s="104"/>
      <c r="L5" s="104"/>
      <c r="M5" s="104"/>
      <c r="N5" s="104"/>
      <c r="O5" s="104"/>
      <c r="P5" s="104" t="s">
        <v>159</v>
      </c>
      <c r="Q5" s="104"/>
      <c r="R5" s="104"/>
      <c r="S5" s="104"/>
      <c r="T5" s="104"/>
      <c r="U5" s="104"/>
      <c r="V5" s="104"/>
      <c r="W5" s="2"/>
      <c r="X5" s="104" t="s">
        <v>160</v>
      </c>
      <c r="Y5" s="104"/>
      <c r="Z5" s="104"/>
      <c r="AA5" s="104"/>
      <c r="AB5" s="104"/>
      <c r="AC5" s="104"/>
      <c r="AD5" s="104"/>
      <c r="AE5" s="104" t="s">
        <v>159</v>
      </c>
      <c r="AF5" s="104"/>
      <c r="AG5" s="104"/>
      <c r="AH5" s="104"/>
      <c r="AI5" s="104"/>
      <c r="AJ5" s="104"/>
      <c r="AK5" s="104"/>
      <c r="AL5" s="2"/>
      <c r="AM5" s="104" t="s">
        <v>160</v>
      </c>
      <c r="AN5" s="104"/>
      <c r="AO5" s="104"/>
      <c r="AP5" s="104"/>
      <c r="AQ5" s="104"/>
      <c r="AR5" s="104"/>
      <c r="AS5" s="104"/>
    </row>
    <row r="6" spans="1:45" ht="58.5">
      <c r="A6" s="41" t="s">
        <v>204</v>
      </c>
      <c r="B6" s="41" t="s">
        <v>162</v>
      </c>
      <c r="C6" s="41" t="s">
        <v>163</v>
      </c>
      <c r="D6" s="41" t="s">
        <v>164</v>
      </c>
      <c r="E6" s="41" t="s">
        <v>165</v>
      </c>
      <c r="F6" s="103" t="s">
        <v>166</v>
      </c>
      <c r="G6" s="103"/>
      <c r="H6" s="2"/>
      <c r="I6" s="40"/>
      <c r="J6" s="41" t="s">
        <v>162</v>
      </c>
      <c r="K6" s="41" t="s">
        <v>163</v>
      </c>
      <c r="L6" s="41" t="s">
        <v>164</v>
      </c>
      <c r="M6" s="41" t="s">
        <v>165</v>
      </c>
      <c r="N6" s="103" t="s">
        <v>166</v>
      </c>
      <c r="O6" s="103"/>
      <c r="P6" s="41" t="s">
        <v>161</v>
      </c>
      <c r="Q6" s="41" t="s">
        <v>162</v>
      </c>
      <c r="R6" s="41" t="s">
        <v>163</v>
      </c>
      <c r="S6" s="41" t="s">
        <v>164</v>
      </c>
      <c r="T6" s="41" t="s">
        <v>165</v>
      </c>
      <c r="U6" s="103" t="s">
        <v>166</v>
      </c>
      <c r="V6" s="103"/>
      <c r="W6" s="2"/>
      <c r="X6" s="40"/>
      <c r="Y6" s="41" t="s">
        <v>162</v>
      </c>
      <c r="Z6" s="41" t="s">
        <v>163</v>
      </c>
      <c r="AA6" s="41" t="s">
        <v>164</v>
      </c>
      <c r="AB6" s="41" t="s">
        <v>165</v>
      </c>
      <c r="AC6" s="103" t="s">
        <v>166</v>
      </c>
      <c r="AD6" s="103"/>
      <c r="AE6" s="41" t="s">
        <v>204</v>
      </c>
      <c r="AF6" s="41" t="s">
        <v>162</v>
      </c>
      <c r="AG6" s="41" t="s">
        <v>163</v>
      </c>
      <c r="AH6" s="41" t="s">
        <v>164</v>
      </c>
      <c r="AI6" s="41" t="s">
        <v>165</v>
      </c>
      <c r="AJ6" s="103" t="s">
        <v>166</v>
      </c>
      <c r="AK6" s="103"/>
      <c r="AL6" s="2"/>
      <c r="AM6" s="40"/>
      <c r="AN6" s="41" t="s">
        <v>162</v>
      </c>
      <c r="AO6" s="41" t="s">
        <v>163</v>
      </c>
      <c r="AP6" s="41" t="s">
        <v>164</v>
      </c>
      <c r="AQ6" s="41" t="s">
        <v>165</v>
      </c>
      <c r="AR6" s="103" t="s">
        <v>166</v>
      </c>
      <c r="AS6" s="103"/>
    </row>
    <row r="7" spans="1:45" s="3" customFormat="1" ht="30" customHeight="1">
      <c r="A7" s="43" t="s">
        <v>3</v>
      </c>
      <c r="B7" s="9" t="e">
        <f>#REF!</f>
        <v>#REF!</v>
      </c>
      <c r="C7" s="9" t="e">
        <f>#REF!</f>
        <v>#REF!</v>
      </c>
      <c r="D7" s="9" t="e">
        <f>#REF!</f>
        <v>#REF!</v>
      </c>
      <c r="E7" s="9" t="e">
        <f>#REF!</f>
        <v>#REF!</v>
      </c>
      <c r="F7" s="43" t="e">
        <f t="shared" ref="F7:F24" si="0">SUM(B7:E7)</f>
        <v>#REF!</v>
      </c>
      <c r="G7" s="18" t="e">
        <f>(F7/99)</f>
        <v>#REF!</v>
      </c>
      <c r="H7" s="10"/>
      <c r="I7" s="107" t="s">
        <v>203</v>
      </c>
      <c r="J7" s="107"/>
      <c r="K7" s="107"/>
      <c r="L7" s="107"/>
      <c r="M7" s="107"/>
      <c r="N7" s="107"/>
      <c r="O7" s="107"/>
      <c r="P7" s="44" t="s">
        <v>30</v>
      </c>
      <c r="Q7" s="22" t="e">
        <f>#REF!</f>
        <v>#REF!</v>
      </c>
      <c r="R7" s="22" t="e">
        <f>#REF!</f>
        <v>#REF!</v>
      </c>
      <c r="S7" s="22" t="e">
        <f>#REF!</f>
        <v>#REF!</v>
      </c>
      <c r="T7" s="22" t="e">
        <f>#REF!</f>
        <v>#REF!</v>
      </c>
      <c r="U7" s="44" t="e">
        <f t="shared" ref="U7:U24" si="1">SUM(Q7:T7)</f>
        <v>#REF!</v>
      </c>
      <c r="V7" s="20" t="e">
        <f>(U7/99)</f>
        <v>#REF!</v>
      </c>
      <c r="W7" s="34"/>
      <c r="X7" s="107" t="s">
        <v>173</v>
      </c>
      <c r="Y7" s="107"/>
      <c r="Z7" s="107"/>
      <c r="AA7" s="107"/>
      <c r="AB7" s="107"/>
      <c r="AC7" s="107"/>
      <c r="AD7" s="107"/>
      <c r="AE7" s="44" t="s">
        <v>43</v>
      </c>
      <c r="AF7" s="22" t="e">
        <f>#REF!</f>
        <v>#REF!</v>
      </c>
      <c r="AG7" s="22" t="e">
        <f>#REF!</f>
        <v>#REF!</v>
      </c>
      <c r="AH7" s="22" t="e">
        <f>#REF!</f>
        <v>#REF!</v>
      </c>
      <c r="AI7" s="22" t="e">
        <f>#REF!</f>
        <v>#REF!</v>
      </c>
      <c r="AJ7" s="44" t="e">
        <f t="shared" ref="AJ7:AJ15" si="2">SUM(AF7:AI7)</f>
        <v>#REF!</v>
      </c>
      <c r="AK7" s="20" t="e">
        <f>(AJ7/99)</f>
        <v>#REF!</v>
      </c>
      <c r="AL7" s="10"/>
      <c r="AM7" s="107" t="s">
        <v>203</v>
      </c>
      <c r="AN7" s="107"/>
      <c r="AO7" s="107"/>
      <c r="AP7" s="107"/>
      <c r="AQ7" s="107"/>
      <c r="AR7" s="107"/>
      <c r="AS7" s="107"/>
    </row>
    <row r="8" spans="1:45" s="3" customFormat="1" ht="30" customHeight="1">
      <c r="A8" s="43" t="s">
        <v>4</v>
      </c>
      <c r="B8" s="9" t="e">
        <f>#REF!</f>
        <v>#REF!</v>
      </c>
      <c r="C8" s="9" t="e">
        <f>#REF!</f>
        <v>#REF!</v>
      </c>
      <c r="D8" s="9" t="e">
        <f>#REF!</f>
        <v>#REF!</v>
      </c>
      <c r="E8" s="9" t="e">
        <f>#REF!</f>
        <v>#REF!</v>
      </c>
      <c r="F8" s="43" t="e">
        <f t="shared" si="0"/>
        <v>#REF!</v>
      </c>
      <c r="G8" s="18" t="e">
        <f t="shared" ref="G8:G24" si="3">(F8/99)</f>
        <v>#REF!</v>
      </c>
      <c r="H8" s="10"/>
      <c r="I8" s="43" t="s">
        <v>19</v>
      </c>
      <c r="J8" s="9" t="e">
        <f>#REF!</f>
        <v>#REF!</v>
      </c>
      <c r="K8" s="9" t="e">
        <f>#REF!</f>
        <v>#REF!</v>
      </c>
      <c r="L8" s="9" t="e">
        <f>#REF!</f>
        <v>#REF!</v>
      </c>
      <c r="M8" s="9" t="e">
        <f>#REF!</f>
        <v>#REF!</v>
      </c>
      <c r="N8" s="43" t="e">
        <f>SUM(J8:M8)</f>
        <v>#REF!</v>
      </c>
      <c r="O8" s="18" t="e">
        <f t="shared" ref="O8:O16" si="4">(N8/99)</f>
        <v>#REF!</v>
      </c>
      <c r="P8" s="42" t="s">
        <v>29</v>
      </c>
      <c r="Q8" s="22" t="e">
        <f>#REF!</f>
        <v>#REF!</v>
      </c>
      <c r="R8" s="15" t="e">
        <f>#REF!</f>
        <v>#REF!</v>
      </c>
      <c r="S8" s="22" t="e">
        <f>#REF!</f>
        <v>#REF!</v>
      </c>
      <c r="T8" s="22" t="e">
        <f>#REF!</f>
        <v>#REF!</v>
      </c>
      <c r="U8" s="44" t="e">
        <f t="shared" si="1"/>
        <v>#REF!</v>
      </c>
      <c r="V8" s="20" t="e">
        <f t="shared" ref="V8:V24" si="5">(U8/99)</f>
        <v>#REF!</v>
      </c>
      <c r="W8" s="34"/>
      <c r="X8" s="44" t="s">
        <v>35</v>
      </c>
      <c r="Y8" s="22" t="e">
        <f>#REF!</f>
        <v>#REF!</v>
      </c>
      <c r="Z8" s="22" t="e">
        <f>#REF!</f>
        <v>#REF!</v>
      </c>
      <c r="AA8" s="22" t="e">
        <f>#REF!</f>
        <v>#REF!</v>
      </c>
      <c r="AB8" s="22" t="e">
        <f>#REF!</f>
        <v>#REF!</v>
      </c>
      <c r="AC8" s="44" t="e">
        <f>SUM(Y8:AB8)</f>
        <v>#REF!</v>
      </c>
      <c r="AD8" s="20" t="e">
        <f>(AC8/99)</f>
        <v>#REF!</v>
      </c>
      <c r="AE8" s="44" t="s">
        <v>24</v>
      </c>
      <c r="AF8" s="22" t="e">
        <f>#REF!</f>
        <v>#REF!</v>
      </c>
      <c r="AG8" s="22" t="e">
        <f>#REF!</f>
        <v>#REF!</v>
      </c>
      <c r="AH8" s="22" t="e">
        <f>#REF!</f>
        <v>#REF!</v>
      </c>
      <c r="AI8" s="22" t="e">
        <f>#REF!</f>
        <v>#REF!</v>
      </c>
      <c r="AJ8" s="44" t="e">
        <f t="shared" si="2"/>
        <v>#REF!</v>
      </c>
      <c r="AK8" s="20" t="e">
        <f t="shared" ref="AK8:AK15" si="6">(AJ8/99)</f>
        <v>#REF!</v>
      </c>
      <c r="AL8" s="10"/>
      <c r="AM8" s="44" t="s">
        <v>49</v>
      </c>
      <c r="AN8" s="22" t="e">
        <f>#REF!</f>
        <v>#REF!</v>
      </c>
      <c r="AO8" s="22" t="e">
        <f>#REF!</f>
        <v>#REF!</v>
      </c>
      <c r="AP8" s="22" t="e">
        <f>#REF!</f>
        <v>#REF!</v>
      </c>
      <c r="AQ8" s="22" t="e">
        <f>#REF!</f>
        <v>#REF!</v>
      </c>
      <c r="AR8" s="44" t="e">
        <f>SUM(AN8:AQ8)</f>
        <v>#REF!</v>
      </c>
      <c r="AS8" s="20" t="e">
        <f t="shared" ref="AS8:AS16" si="7">(AR8/99)</f>
        <v>#REF!</v>
      </c>
    </row>
    <row r="9" spans="1:45" s="3" customFormat="1" ht="30" customHeight="1">
      <c r="A9" s="42" t="s">
        <v>5</v>
      </c>
      <c r="B9" s="9" t="e">
        <f>#REF!</f>
        <v>#REF!</v>
      </c>
      <c r="C9" s="9" t="e">
        <f>#REF!</f>
        <v>#REF!</v>
      </c>
      <c r="D9" s="9" t="e">
        <f>#REF!</f>
        <v>#REF!</v>
      </c>
      <c r="E9" s="15" t="e">
        <f>#REF!</f>
        <v>#REF!</v>
      </c>
      <c r="F9" s="43" t="e">
        <f t="shared" si="0"/>
        <v>#REF!</v>
      </c>
      <c r="G9" s="18" t="e">
        <f t="shared" si="3"/>
        <v>#REF!</v>
      </c>
      <c r="H9" s="10"/>
      <c r="I9" s="43" t="s">
        <v>20</v>
      </c>
      <c r="J9" s="9" t="e">
        <f>#REF!</f>
        <v>#REF!</v>
      </c>
      <c r="K9" s="9" t="e">
        <f>#REF!</f>
        <v>#REF!</v>
      </c>
      <c r="L9" s="9" t="e">
        <f>#REF!</f>
        <v>#REF!</v>
      </c>
      <c r="M9" s="9" t="e">
        <f>#REF!</f>
        <v>#REF!</v>
      </c>
      <c r="N9" s="43" t="e">
        <f>SUM(J9:M9)</f>
        <v>#REF!</v>
      </c>
      <c r="O9" s="18" t="e">
        <f t="shared" si="4"/>
        <v>#REF!</v>
      </c>
      <c r="P9" s="44" t="s">
        <v>24</v>
      </c>
      <c r="Q9" s="22" t="e">
        <f>#REF!</f>
        <v>#REF!</v>
      </c>
      <c r="R9" s="22" t="e">
        <f>#REF!</f>
        <v>#REF!</v>
      </c>
      <c r="S9" s="22" t="e">
        <f>#REF!</f>
        <v>#REF!</v>
      </c>
      <c r="T9" s="22" t="e">
        <f>#REF!</f>
        <v>#REF!</v>
      </c>
      <c r="U9" s="44" t="e">
        <f t="shared" si="1"/>
        <v>#REF!</v>
      </c>
      <c r="V9" s="20" t="e">
        <f t="shared" si="5"/>
        <v>#REF!</v>
      </c>
      <c r="W9" s="34"/>
      <c r="X9" s="44" t="s">
        <v>39</v>
      </c>
      <c r="Y9" s="22" t="e">
        <f>#REF!</f>
        <v>#REF!</v>
      </c>
      <c r="Z9" s="22" t="e">
        <f>#REF!</f>
        <v>#REF!</v>
      </c>
      <c r="AA9" s="22" t="e">
        <f>#REF!</f>
        <v>#REF!</v>
      </c>
      <c r="AB9" s="22" t="e">
        <f>#REF!</f>
        <v>#REF!</v>
      </c>
      <c r="AC9" s="44" t="e">
        <f>SUM(Y9:AB9)</f>
        <v>#REF!</v>
      </c>
      <c r="AD9" s="20" t="e">
        <f>(AC9/99)</f>
        <v>#REF!</v>
      </c>
      <c r="AE9" s="44" t="s">
        <v>236</v>
      </c>
      <c r="AF9" s="22" t="e">
        <f>#REF!</f>
        <v>#REF!</v>
      </c>
      <c r="AG9" s="22" t="e">
        <f>#REF!</f>
        <v>#REF!</v>
      </c>
      <c r="AH9" s="22" t="e">
        <f>#REF!</f>
        <v>#REF!</v>
      </c>
      <c r="AI9" s="22" t="e">
        <f>#REF!</f>
        <v>#REF!</v>
      </c>
      <c r="AJ9" s="44" t="e">
        <f t="shared" si="2"/>
        <v>#REF!</v>
      </c>
      <c r="AK9" s="20" t="e">
        <f t="shared" si="6"/>
        <v>#REF!</v>
      </c>
      <c r="AL9" s="10"/>
      <c r="AM9" s="42" t="s">
        <v>240</v>
      </c>
      <c r="AN9" s="15" t="e">
        <f>#REF!</f>
        <v>#REF!</v>
      </c>
      <c r="AO9" s="22" t="e">
        <f>#REF!</f>
        <v>#REF!</v>
      </c>
      <c r="AP9" s="15" t="e">
        <f>#REF!</f>
        <v>#REF!</v>
      </c>
      <c r="AQ9" s="15" t="e">
        <f>#REF!</f>
        <v>#REF!</v>
      </c>
      <c r="AR9" s="42" t="e">
        <f>SUM(AN9:AQ9)</f>
        <v>#REF!</v>
      </c>
      <c r="AS9" s="19" t="e">
        <f t="shared" si="7"/>
        <v>#REF!</v>
      </c>
    </row>
    <row r="10" spans="1:45" s="3" customFormat="1" ht="30" customHeight="1">
      <c r="A10" s="43" t="s">
        <v>6</v>
      </c>
      <c r="B10" s="9" t="e">
        <f>#REF!</f>
        <v>#REF!</v>
      </c>
      <c r="C10" s="9" t="e">
        <f>#REF!</f>
        <v>#REF!</v>
      </c>
      <c r="D10" s="9" t="e">
        <f>#REF!</f>
        <v>#REF!</v>
      </c>
      <c r="E10" s="9" t="e">
        <f>#REF!</f>
        <v>#REF!</v>
      </c>
      <c r="F10" s="43" t="e">
        <f t="shared" si="0"/>
        <v>#REF!</v>
      </c>
      <c r="G10" s="18" t="e">
        <f t="shared" si="3"/>
        <v>#REF!</v>
      </c>
      <c r="H10" s="10"/>
      <c r="I10" s="42" t="s">
        <v>21</v>
      </c>
      <c r="J10" s="15" t="e">
        <f>#REF!</f>
        <v>#REF!</v>
      </c>
      <c r="K10" s="15" t="e">
        <f>#REF!</f>
        <v>#REF!</v>
      </c>
      <c r="L10" s="15" t="e">
        <f>#REF!</f>
        <v>#REF!</v>
      </c>
      <c r="M10" s="15" t="e">
        <f>#REF!</f>
        <v>#REF!</v>
      </c>
      <c r="N10" s="42" t="e">
        <f>SUM(J10:M10)</f>
        <v>#REF!</v>
      </c>
      <c r="O10" s="19" t="e">
        <f t="shared" si="4"/>
        <v>#REF!</v>
      </c>
      <c r="P10" s="44" t="s">
        <v>25</v>
      </c>
      <c r="Q10" s="22" t="e">
        <f>#REF!</f>
        <v>#REF!</v>
      </c>
      <c r="R10" s="22" t="e">
        <f>#REF!</f>
        <v>#REF!</v>
      </c>
      <c r="S10" s="22" t="e">
        <f>#REF!</f>
        <v>#REF!</v>
      </c>
      <c r="T10" s="22" t="e">
        <f>#REF!</f>
        <v>#REF!</v>
      </c>
      <c r="U10" s="44" t="e">
        <f t="shared" si="1"/>
        <v>#REF!</v>
      </c>
      <c r="V10" s="20" t="e">
        <f t="shared" si="5"/>
        <v>#REF!</v>
      </c>
      <c r="W10" s="34"/>
      <c r="X10" s="42" t="s">
        <v>40</v>
      </c>
      <c r="Y10" s="22" t="e">
        <f>#REF!</f>
        <v>#REF!</v>
      </c>
      <c r="Z10" s="22" t="e">
        <f>#REF!</f>
        <v>#REF!</v>
      </c>
      <c r="AA10" s="22" t="e">
        <f>#REF!</f>
        <v>#REF!</v>
      </c>
      <c r="AB10" s="15" t="e">
        <f>#REF!</f>
        <v>#REF!</v>
      </c>
      <c r="AC10" s="44" t="e">
        <f>SUM(Y10:AB10)</f>
        <v>#REF!</v>
      </c>
      <c r="AD10" s="20" t="e">
        <f>(AC10/99)</f>
        <v>#REF!</v>
      </c>
      <c r="AE10" s="42" t="s">
        <v>237</v>
      </c>
      <c r="AF10" s="22" t="e">
        <f>#REF!</f>
        <v>#REF!</v>
      </c>
      <c r="AG10" s="15" t="e">
        <f>#REF!</f>
        <v>#REF!</v>
      </c>
      <c r="AH10" s="22" t="e">
        <f>#REF!</f>
        <v>#REF!</v>
      </c>
      <c r="AI10" s="15" t="e">
        <f>#REF!</f>
        <v>#REF!</v>
      </c>
      <c r="AJ10" s="44" t="e">
        <f t="shared" si="2"/>
        <v>#REF!</v>
      </c>
      <c r="AK10" s="20" t="e">
        <f t="shared" si="6"/>
        <v>#REF!</v>
      </c>
      <c r="AL10" s="10"/>
      <c r="AM10" s="42" t="s">
        <v>50</v>
      </c>
      <c r="AN10" s="15" t="e">
        <f>#REF!</f>
        <v>#REF!</v>
      </c>
      <c r="AO10" s="22" t="e">
        <f>#REF!</f>
        <v>#REF!</v>
      </c>
      <c r="AP10" s="22" t="e">
        <f>#REF!</f>
        <v>#REF!</v>
      </c>
      <c r="AQ10" s="15" t="e">
        <f>#REF!</f>
        <v>#REF!</v>
      </c>
      <c r="AR10" s="42" t="e">
        <f>SUM(AN10:AQ10)</f>
        <v>#REF!</v>
      </c>
      <c r="AS10" s="19" t="e">
        <f t="shared" si="7"/>
        <v>#REF!</v>
      </c>
    </row>
    <row r="11" spans="1:45" s="3" customFormat="1" ht="30" customHeight="1">
      <c r="A11" s="42" t="s">
        <v>7</v>
      </c>
      <c r="B11" s="15" t="e">
        <f>#REF!</f>
        <v>#REF!</v>
      </c>
      <c r="C11" s="9" t="e">
        <f>#REF!</f>
        <v>#REF!</v>
      </c>
      <c r="D11" s="15" t="e">
        <f>#REF!</f>
        <v>#REF!</v>
      </c>
      <c r="E11" s="15" t="e">
        <f>#REF!</f>
        <v>#REF!</v>
      </c>
      <c r="F11" s="42" t="e">
        <f t="shared" si="0"/>
        <v>#REF!</v>
      </c>
      <c r="G11" s="19" t="e">
        <f t="shared" si="3"/>
        <v>#REF!</v>
      </c>
      <c r="H11" s="10"/>
      <c r="I11" s="42" t="s">
        <v>22</v>
      </c>
      <c r="J11" s="15" t="e">
        <f>#REF!</f>
        <v>#REF!</v>
      </c>
      <c r="K11" s="15" t="e">
        <f>#REF!</f>
        <v>#REF!</v>
      </c>
      <c r="L11" s="9" t="e">
        <f>#REF!</f>
        <v>#REF!</v>
      </c>
      <c r="M11" s="9" t="e">
        <f>#REF!</f>
        <v>#REF!</v>
      </c>
      <c r="N11" s="44" t="e">
        <f>SUM(J11:M11)</f>
        <v>#REF!</v>
      </c>
      <c r="O11" s="20" t="e">
        <f t="shared" si="4"/>
        <v>#REF!</v>
      </c>
      <c r="P11" s="42" t="s">
        <v>31</v>
      </c>
      <c r="Q11" s="22" t="e">
        <f>#REF!</f>
        <v>#REF!</v>
      </c>
      <c r="R11" s="22" t="e">
        <f>#REF!</f>
        <v>#REF!</v>
      </c>
      <c r="S11" s="22" t="e">
        <f>#REF!</f>
        <v>#REF!</v>
      </c>
      <c r="T11" s="15" t="e">
        <f>#REF!</f>
        <v>#REF!</v>
      </c>
      <c r="U11" s="44" t="e">
        <f t="shared" si="1"/>
        <v>#REF!</v>
      </c>
      <c r="V11" s="20" t="e">
        <f t="shared" si="5"/>
        <v>#REF!</v>
      </c>
      <c r="W11" s="34"/>
      <c r="X11" s="44" t="s">
        <v>36</v>
      </c>
      <c r="Y11" s="22" t="e">
        <f>#REF!</f>
        <v>#REF!</v>
      </c>
      <c r="Z11" s="22" t="e">
        <f>#REF!</f>
        <v>#REF!</v>
      </c>
      <c r="AA11" s="22" t="e">
        <f>#REF!</f>
        <v>#REF!</v>
      </c>
      <c r="AB11" s="22" t="e">
        <f>#REF!</f>
        <v>#REF!</v>
      </c>
      <c r="AC11" s="44" t="e">
        <f>SUM(Y11:AB11)</f>
        <v>#REF!</v>
      </c>
      <c r="AD11" s="20" t="e">
        <f>(AC11/99)</f>
        <v>#REF!</v>
      </c>
      <c r="AE11" s="42" t="s">
        <v>44</v>
      </c>
      <c r="AF11" s="22" t="e">
        <f>#REF!</f>
        <v>#REF!</v>
      </c>
      <c r="AG11" s="15" t="e">
        <f>#REF!</f>
        <v>#REF!</v>
      </c>
      <c r="AH11" s="22" t="e">
        <f>#REF!</f>
        <v>#REF!</v>
      </c>
      <c r="AI11" s="15" t="e">
        <f>#REF!</f>
        <v>#REF!</v>
      </c>
      <c r="AJ11" s="44" t="e">
        <f t="shared" si="2"/>
        <v>#REF!</v>
      </c>
      <c r="AK11" s="20" t="e">
        <f t="shared" si="6"/>
        <v>#REF!</v>
      </c>
      <c r="AL11" s="10"/>
      <c r="AM11" s="42" t="s">
        <v>239</v>
      </c>
      <c r="AN11" s="15" t="e">
        <f>#REF!</f>
        <v>#REF!</v>
      </c>
      <c r="AO11" s="15" t="e">
        <f>#REF!</f>
        <v>#REF!</v>
      </c>
      <c r="AP11" s="15" t="e">
        <f>#REF!</f>
        <v>#REF!</v>
      </c>
      <c r="AQ11" s="15" t="e">
        <f>#REF!</f>
        <v>#REF!</v>
      </c>
      <c r="AR11" s="42" t="e">
        <f>SUM(AN11:AQ11)</f>
        <v>#REF!</v>
      </c>
      <c r="AS11" s="19" t="e">
        <f t="shared" si="7"/>
        <v>#REF!</v>
      </c>
    </row>
    <row r="12" spans="1:45" s="3" customFormat="1" ht="30" customHeight="1">
      <c r="A12" s="42" t="s">
        <v>8</v>
      </c>
      <c r="B12" s="15" t="e">
        <f>#REF!</f>
        <v>#REF!</v>
      </c>
      <c r="C12" s="15" t="e">
        <f>#REF!</f>
        <v>#REF!</v>
      </c>
      <c r="D12" s="15" t="e">
        <f>#REF!</f>
        <v>#REF!</v>
      </c>
      <c r="E12" s="15" t="e">
        <f>#REF!</f>
        <v>#REF!</v>
      </c>
      <c r="F12" s="42" t="e">
        <f t="shared" si="0"/>
        <v>#REF!</v>
      </c>
      <c r="G12" s="19" t="e">
        <f t="shared" si="3"/>
        <v>#REF!</v>
      </c>
      <c r="H12" s="10"/>
      <c r="I12" s="105" t="s">
        <v>38</v>
      </c>
      <c r="J12" s="105"/>
      <c r="K12" s="105"/>
      <c r="L12" s="105"/>
      <c r="M12" s="105"/>
      <c r="N12" s="105"/>
      <c r="O12" s="105"/>
      <c r="P12" s="42" t="s">
        <v>32</v>
      </c>
      <c r="Q12" s="15" t="e">
        <f>#REF!</f>
        <v>#REF!</v>
      </c>
      <c r="R12" s="15" t="e">
        <f>#REF!</f>
        <v>#REF!</v>
      </c>
      <c r="S12" s="22" t="e">
        <f>#REF!</f>
        <v>#REF!</v>
      </c>
      <c r="T12" s="15" t="e">
        <f>#REF!</f>
        <v>#REF!</v>
      </c>
      <c r="U12" s="42" t="e">
        <f t="shared" si="1"/>
        <v>#REF!</v>
      </c>
      <c r="V12" s="19" t="e">
        <f t="shared" si="5"/>
        <v>#REF!</v>
      </c>
      <c r="W12" s="34"/>
      <c r="X12" s="106" t="s">
        <v>38</v>
      </c>
      <c r="Y12" s="106"/>
      <c r="Z12" s="106"/>
      <c r="AA12" s="106"/>
      <c r="AB12" s="106"/>
      <c r="AC12" s="106"/>
      <c r="AD12" s="106"/>
      <c r="AE12" s="42" t="s">
        <v>47</v>
      </c>
      <c r="AF12" s="15" t="e">
        <f>#REF!</f>
        <v>#REF!</v>
      </c>
      <c r="AG12" s="15" t="e">
        <f>#REF!</f>
        <v>#REF!</v>
      </c>
      <c r="AH12" s="22" t="e">
        <f>#REF!</f>
        <v>#REF!</v>
      </c>
      <c r="AI12" s="15" t="e">
        <f>#REF!</f>
        <v>#REF!</v>
      </c>
      <c r="AJ12" s="42" t="e">
        <f t="shared" si="2"/>
        <v>#REF!</v>
      </c>
      <c r="AK12" s="19" t="e">
        <f t="shared" si="6"/>
        <v>#REF!</v>
      </c>
      <c r="AL12" s="10"/>
      <c r="AM12" s="106" t="s">
        <v>38</v>
      </c>
      <c r="AN12" s="106"/>
      <c r="AO12" s="106"/>
      <c r="AP12" s="106"/>
      <c r="AQ12" s="106"/>
      <c r="AR12" s="106"/>
      <c r="AS12" s="106"/>
    </row>
    <row r="13" spans="1:45" s="3" customFormat="1" ht="30" customHeight="1">
      <c r="A13" s="42" t="s">
        <v>9</v>
      </c>
      <c r="B13" s="15" t="e">
        <f>#REF!</f>
        <v>#REF!</v>
      </c>
      <c r="C13" s="15" t="e">
        <f>#REF!</f>
        <v>#REF!</v>
      </c>
      <c r="D13" s="15" t="e">
        <f>#REF!</f>
        <v>#REF!</v>
      </c>
      <c r="E13" s="15" t="e">
        <f>#REF!</f>
        <v>#REF!</v>
      </c>
      <c r="F13" s="42" t="e">
        <f t="shared" si="0"/>
        <v>#REF!</v>
      </c>
      <c r="G13" s="19" t="e">
        <f t="shared" si="3"/>
        <v>#REF!</v>
      </c>
      <c r="H13" s="10"/>
      <c r="I13" s="43" t="s">
        <v>19</v>
      </c>
      <c r="J13" s="9" t="e">
        <f>#REF!</f>
        <v>#REF!</v>
      </c>
      <c r="K13" s="9" t="e">
        <f>#REF!</f>
        <v>#REF!</v>
      </c>
      <c r="L13" s="9" t="e">
        <f>#REF!</f>
        <v>#REF!</v>
      </c>
      <c r="M13" s="9" t="e">
        <f>#REF!</f>
        <v>#REF!</v>
      </c>
      <c r="N13" s="44" t="e">
        <f>SUM(J13:M13)</f>
        <v>#REF!</v>
      </c>
      <c r="O13" s="20" t="e">
        <f t="shared" si="4"/>
        <v>#REF!</v>
      </c>
      <c r="P13" s="42" t="s">
        <v>26</v>
      </c>
      <c r="Q13" s="15" t="e">
        <f>#REF!</f>
        <v>#REF!</v>
      </c>
      <c r="R13" s="15" t="e">
        <f>#REF!</f>
        <v>#REF!</v>
      </c>
      <c r="S13" s="22" t="e">
        <f>#REF!</f>
        <v>#REF!</v>
      </c>
      <c r="T13" s="15" t="e">
        <f>#REF!</f>
        <v>#REF!</v>
      </c>
      <c r="U13" s="42" t="e">
        <f t="shared" si="1"/>
        <v>#REF!</v>
      </c>
      <c r="V13" s="19" t="e">
        <f t="shared" si="5"/>
        <v>#REF!</v>
      </c>
      <c r="W13" s="34"/>
      <c r="X13" s="44" t="s">
        <v>35</v>
      </c>
      <c r="Y13" s="22" t="e">
        <f>#REF!</f>
        <v>#REF!</v>
      </c>
      <c r="Z13" s="22" t="e">
        <f>#REF!</f>
        <v>#REF!</v>
      </c>
      <c r="AA13" s="22" t="e">
        <f>#REF!</f>
        <v>#REF!</v>
      </c>
      <c r="AB13" s="22" t="e">
        <f>#REF!</f>
        <v>#REF!</v>
      </c>
      <c r="AC13" s="44" t="e">
        <f>SUM(Y13:AB13)</f>
        <v>#REF!</v>
      </c>
      <c r="AD13" s="20" t="e">
        <f>(AC13/99)</f>
        <v>#REF!</v>
      </c>
      <c r="AE13" s="42" t="s">
        <v>45</v>
      </c>
      <c r="AF13" s="15" t="e">
        <f>#REF!</f>
        <v>#REF!</v>
      </c>
      <c r="AG13" s="15" t="e">
        <f>#REF!</f>
        <v>#REF!</v>
      </c>
      <c r="AH13" s="22" t="e">
        <f>#REF!</f>
        <v>#REF!</v>
      </c>
      <c r="AI13" s="15" t="e">
        <f>#REF!</f>
        <v>#REF!</v>
      </c>
      <c r="AJ13" s="42" t="e">
        <f t="shared" si="2"/>
        <v>#REF!</v>
      </c>
      <c r="AK13" s="19" t="e">
        <f t="shared" si="6"/>
        <v>#REF!</v>
      </c>
      <c r="AL13" s="10"/>
      <c r="AM13" s="44" t="s">
        <v>49</v>
      </c>
      <c r="AN13" s="22" t="e">
        <f>#REF!</f>
        <v>#REF!</v>
      </c>
      <c r="AO13" s="22" t="e">
        <f>#REF!</f>
        <v>#REF!</v>
      </c>
      <c r="AP13" s="22" t="e">
        <f>#REF!</f>
        <v>#REF!</v>
      </c>
      <c r="AQ13" s="22" t="e">
        <f>#REF!</f>
        <v>#REF!</v>
      </c>
      <c r="AR13" s="44" t="e">
        <f>SUM(AN13:AQ13)</f>
        <v>#REF!</v>
      </c>
      <c r="AS13" s="20" t="e">
        <f t="shared" si="7"/>
        <v>#REF!</v>
      </c>
    </row>
    <row r="14" spans="1:45" s="3" customFormat="1" ht="30" customHeight="1">
      <c r="A14" s="42" t="s">
        <v>10</v>
      </c>
      <c r="B14" s="15" t="e">
        <f>#REF!</f>
        <v>#REF!</v>
      </c>
      <c r="C14" s="15" t="e">
        <f>#REF!</f>
        <v>#REF!</v>
      </c>
      <c r="D14" s="9" t="e">
        <f>#REF!</f>
        <v>#REF!</v>
      </c>
      <c r="E14" s="15" t="e">
        <f>#REF!</f>
        <v>#REF!</v>
      </c>
      <c r="F14" s="42" t="e">
        <f t="shared" si="0"/>
        <v>#REF!</v>
      </c>
      <c r="G14" s="19" t="e">
        <f t="shared" si="3"/>
        <v>#REF!</v>
      </c>
      <c r="H14" s="10"/>
      <c r="I14" s="43" t="s">
        <v>20</v>
      </c>
      <c r="J14" s="9" t="e">
        <f>#REF!</f>
        <v>#REF!</v>
      </c>
      <c r="K14" s="9" t="e">
        <f>#REF!</f>
        <v>#REF!</v>
      </c>
      <c r="L14" s="9" t="e">
        <f>#REF!</f>
        <v>#REF!</v>
      </c>
      <c r="M14" s="9" t="e">
        <f>#REF!</f>
        <v>#REF!</v>
      </c>
      <c r="N14" s="44" t="e">
        <f>SUM(J14:M14)</f>
        <v>#REF!</v>
      </c>
      <c r="O14" s="20" t="e">
        <f t="shared" si="4"/>
        <v>#REF!</v>
      </c>
      <c r="P14" s="42" t="s">
        <v>27</v>
      </c>
      <c r="Q14" s="15" t="e">
        <f>#REF!</f>
        <v>#REF!</v>
      </c>
      <c r="R14" s="15" t="e">
        <f>#REF!</f>
        <v>#REF!</v>
      </c>
      <c r="S14" s="15" t="e">
        <f>#REF!</f>
        <v>#REF!</v>
      </c>
      <c r="T14" s="15" t="e">
        <f>#REF!</f>
        <v>#REF!</v>
      </c>
      <c r="U14" s="42" t="e">
        <f t="shared" si="1"/>
        <v>#REF!</v>
      </c>
      <c r="V14" s="19" t="e">
        <f t="shared" si="5"/>
        <v>#REF!</v>
      </c>
      <c r="W14" s="34"/>
      <c r="X14" s="44" t="s">
        <v>39</v>
      </c>
      <c r="Y14" s="22" t="e">
        <f>#REF!</f>
        <v>#REF!</v>
      </c>
      <c r="Z14" s="22" t="e">
        <f>#REF!</f>
        <v>#REF!</v>
      </c>
      <c r="AA14" s="22" t="e">
        <f>#REF!</f>
        <v>#REF!</v>
      </c>
      <c r="AB14" s="22" t="e">
        <f>#REF!</f>
        <v>#REF!</v>
      </c>
      <c r="AC14" s="44" t="e">
        <f>SUM(Y14:AB14)</f>
        <v>#REF!</v>
      </c>
      <c r="AD14" s="20" t="e">
        <f>(AC14/99)</f>
        <v>#REF!</v>
      </c>
      <c r="AE14" s="42" t="s">
        <v>238</v>
      </c>
      <c r="AF14" s="15" t="e">
        <f>#REF!</f>
        <v>#REF!</v>
      </c>
      <c r="AG14" s="15" t="e">
        <f>#REF!</f>
        <v>#REF!</v>
      </c>
      <c r="AH14" s="15" t="e">
        <f>#REF!</f>
        <v>#REF!</v>
      </c>
      <c r="AI14" s="15" t="e">
        <f>#REF!</f>
        <v>#REF!</v>
      </c>
      <c r="AJ14" s="42" t="e">
        <f t="shared" si="2"/>
        <v>#REF!</v>
      </c>
      <c r="AK14" s="19" t="e">
        <f t="shared" si="6"/>
        <v>#REF!</v>
      </c>
      <c r="AL14" s="10"/>
      <c r="AM14" s="44" t="s">
        <v>240</v>
      </c>
      <c r="AN14" s="22" t="e">
        <f>#REF!</f>
        <v>#REF!</v>
      </c>
      <c r="AO14" s="22" t="e">
        <f>#REF!</f>
        <v>#REF!</v>
      </c>
      <c r="AP14" s="22" t="e">
        <f>#REF!</f>
        <v>#REF!</v>
      </c>
      <c r="AQ14" s="22" t="e">
        <f>#REF!</f>
        <v>#REF!</v>
      </c>
      <c r="AR14" s="44" t="e">
        <f>SUM(AN14:AQ14)</f>
        <v>#REF!</v>
      </c>
      <c r="AS14" s="20" t="e">
        <f t="shared" si="7"/>
        <v>#REF!</v>
      </c>
    </row>
    <row r="15" spans="1:45" s="3" customFormat="1" ht="30" customHeight="1">
      <c r="A15" s="43" t="s">
        <v>11</v>
      </c>
      <c r="B15" s="9" t="e">
        <f>#REF!</f>
        <v>#REF!</v>
      </c>
      <c r="C15" s="9" t="e">
        <f>#REF!</f>
        <v>#REF!</v>
      </c>
      <c r="D15" s="9" t="e">
        <f>#REF!</f>
        <v>#REF!</v>
      </c>
      <c r="E15" s="9" t="e">
        <f>#REF!</f>
        <v>#REF!</v>
      </c>
      <c r="F15" s="43" t="e">
        <f t="shared" si="0"/>
        <v>#REF!</v>
      </c>
      <c r="G15" s="18" t="e">
        <f t="shared" si="3"/>
        <v>#REF!</v>
      </c>
      <c r="H15" s="10"/>
      <c r="I15" s="43" t="s">
        <v>21</v>
      </c>
      <c r="J15" s="9" t="e">
        <f>#REF!</f>
        <v>#REF!</v>
      </c>
      <c r="K15" s="9" t="e">
        <f>#REF!</f>
        <v>#REF!</v>
      </c>
      <c r="L15" s="9" t="e">
        <f>#REF!</f>
        <v>#REF!</v>
      </c>
      <c r="M15" s="9" t="e">
        <f>#REF!</f>
        <v>#REF!</v>
      </c>
      <c r="N15" s="43" t="e">
        <f>SUM(J15:M15)</f>
        <v>#REF!</v>
      </c>
      <c r="O15" s="18" t="e">
        <f t="shared" si="4"/>
        <v>#REF!</v>
      </c>
      <c r="P15" s="42" t="s">
        <v>10</v>
      </c>
      <c r="Q15" s="22" t="e">
        <f>#REF!</f>
        <v>#REF!</v>
      </c>
      <c r="R15" s="15" t="e">
        <f>#REF!</f>
        <v>#REF!</v>
      </c>
      <c r="S15" s="22" t="e">
        <f>#REF!</f>
        <v>#REF!</v>
      </c>
      <c r="T15" s="22" t="e">
        <f>#REF!</f>
        <v>#REF!</v>
      </c>
      <c r="U15" s="44" t="e">
        <f t="shared" si="1"/>
        <v>#REF!</v>
      </c>
      <c r="V15" s="20" t="e">
        <f t="shared" si="5"/>
        <v>#REF!</v>
      </c>
      <c r="W15" s="34"/>
      <c r="X15" s="44" t="s">
        <v>40</v>
      </c>
      <c r="Y15" s="22" t="e">
        <f>#REF!</f>
        <v>#REF!</v>
      </c>
      <c r="Z15" s="22" t="e">
        <f>#REF!</f>
        <v>#REF!</v>
      </c>
      <c r="AA15" s="22" t="e">
        <f>#REF!</f>
        <v>#REF!</v>
      </c>
      <c r="AB15" s="22" t="e">
        <f>#REF!</f>
        <v>#REF!</v>
      </c>
      <c r="AC15" s="44" t="e">
        <f>SUM(Y15:AB15)</f>
        <v>#REF!</v>
      </c>
      <c r="AD15" s="20" t="e">
        <f>(AC15/99)</f>
        <v>#REF!</v>
      </c>
      <c r="AE15" s="42" t="s">
        <v>46</v>
      </c>
      <c r="AF15" s="15" t="e">
        <f>#REF!</f>
        <v>#REF!</v>
      </c>
      <c r="AG15" s="15" t="e">
        <f>#REF!</f>
        <v>#REF!</v>
      </c>
      <c r="AH15" s="22" t="e">
        <f>#REF!</f>
        <v>#REF!</v>
      </c>
      <c r="AI15" s="15" t="e">
        <f>#REF!</f>
        <v>#REF!</v>
      </c>
      <c r="AJ15" s="42" t="e">
        <f t="shared" si="2"/>
        <v>#REF!</v>
      </c>
      <c r="AK15" s="19" t="e">
        <f t="shared" si="6"/>
        <v>#REF!</v>
      </c>
      <c r="AL15" s="10"/>
      <c r="AM15" s="44" t="s">
        <v>50</v>
      </c>
      <c r="AN15" s="22" t="e">
        <f>#REF!</f>
        <v>#REF!</v>
      </c>
      <c r="AO15" s="22" t="e">
        <f>#REF!</f>
        <v>#REF!</v>
      </c>
      <c r="AP15" s="22" t="e">
        <f>#REF!</f>
        <v>#REF!</v>
      </c>
      <c r="AQ15" s="22" t="e">
        <f>#REF!</f>
        <v>#REF!</v>
      </c>
      <c r="AR15" s="44" t="e">
        <f>SUM(AN15:AQ15)</f>
        <v>#REF!</v>
      </c>
      <c r="AS15" s="20" t="e">
        <f t="shared" si="7"/>
        <v>#REF!</v>
      </c>
    </row>
    <row r="16" spans="1:45" s="3" customFormat="1" ht="30" customHeight="1">
      <c r="A16" s="43" t="s">
        <v>12</v>
      </c>
      <c r="B16" s="9" t="e">
        <f>#REF!</f>
        <v>#REF!</v>
      </c>
      <c r="C16" s="9" t="e">
        <f>#REF!</f>
        <v>#REF!</v>
      </c>
      <c r="D16" s="9" t="e">
        <f>#REF!</f>
        <v>#REF!</v>
      </c>
      <c r="E16" s="9" t="e">
        <f>#REF!</f>
        <v>#REF!</v>
      </c>
      <c r="F16" s="43" t="e">
        <f t="shared" si="0"/>
        <v>#REF!</v>
      </c>
      <c r="G16" s="18" t="e">
        <f t="shared" si="3"/>
        <v>#REF!</v>
      </c>
      <c r="H16" s="10"/>
      <c r="I16" s="43" t="s">
        <v>22</v>
      </c>
      <c r="J16" s="9" t="e">
        <f>#REF!</f>
        <v>#REF!</v>
      </c>
      <c r="K16" s="9" t="e">
        <f>#REF!</f>
        <v>#REF!</v>
      </c>
      <c r="L16" s="9" t="e">
        <f>#REF!</f>
        <v>#REF!</v>
      </c>
      <c r="M16" s="9" t="e">
        <f>#REF!</f>
        <v>#REF!</v>
      </c>
      <c r="N16" s="43" t="e">
        <f>SUM(J16:M16)</f>
        <v>#REF!</v>
      </c>
      <c r="O16" s="18" t="e">
        <f t="shared" si="4"/>
        <v>#REF!</v>
      </c>
      <c r="P16" s="44" t="s">
        <v>28</v>
      </c>
      <c r="Q16" s="22" t="e">
        <f>#REF!</f>
        <v>#REF!</v>
      </c>
      <c r="R16" s="22" t="e">
        <f>#REF!</f>
        <v>#REF!</v>
      </c>
      <c r="S16" s="22" t="e">
        <f>#REF!</f>
        <v>#REF!</v>
      </c>
      <c r="T16" s="22" t="e">
        <f>#REF!</f>
        <v>#REF!</v>
      </c>
      <c r="U16" s="44" t="e">
        <f t="shared" si="1"/>
        <v>#REF!</v>
      </c>
      <c r="V16" s="20" t="e">
        <f t="shared" si="5"/>
        <v>#REF!</v>
      </c>
      <c r="W16" s="34"/>
      <c r="X16" s="44" t="s">
        <v>36</v>
      </c>
      <c r="Y16" s="22" t="e">
        <f>#REF!</f>
        <v>#REF!</v>
      </c>
      <c r="Z16" s="22" t="e">
        <f>#REF!</f>
        <v>#REF!</v>
      </c>
      <c r="AA16" s="22" t="e">
        <f>#REF!</f>
        <v>#REF!</v>
      </c>
      <c r="AB16" s="22" t="e">
        <f>#REF!</f>
        <v>#REF!</v>
      </c>
      <c r="AC16" s="44" t="e">
        <f>SUM(Y16:AB16)</f>
        <v>#REF!</v>
      </c>
      <c r="AD16" s="20" t="e">
        <f>(AC16/99)</f>
        <v>#REF!</v>
      </c>
      <c r="AE16" s="13"/>
      <c r="AF16" s="12"/>
      <c r="AG16" s="12"/>
      <c r="AH16" s="12"/>
      <c r="AI16" s="12"/>
      <c r="AJ16" s="13"/>
      <c r="AK16" s="27"/>
      <c r="AL16" s="21"/>
      <c r="AM16" s="44" t="s">
        <v>239</v>
      </c>
      <c r="AN16" s="22" t="e">
        <f>#REF!</f>
        <v>#REF!</v>
      </c>
      <c r="AO16" s="22" t="e">
        <f>#REF!</f>
        <v>#REF!</v>
      </c>
      <c r="AP16" s="22" t="e">
        <f>#REF!</f>
        <v>#REF!</v>
      </c>
      <c r="AQ16" s="22" t="e">
        <f>#REF!</f>
        <v>#REF!</v>
      </c>
      <c r="AR16" s="44" t="e">
        <f>SUM(AN16:AQ16)</f>
        <v>#REF!</v>
      </c>
      <c r="AS16" s="20" t="e">
        <f t="shared" si="7"/>
        <v>#REF!</v>
      </c>
    </row>
    <row r="17" spans="1:45" s="3" customFormat="1" ht="30" customHeight="1">
      <c r="A17" s="43" t="s">
        <v>41</v>
      </c>
      <c r="B17" s="9" t="e">
        <f>#REF!</f>
        <v>#REF!</v>
      </c>
      <c r="C17" s="9" t="e">
        <f>#REF!</f>
        <v>#REF!</v>
      </c>
      <c r="D17" s="9" t="e">
        <f>#REF!</f>
        <v>#REF!</v>
      </c>
      <c r="E17" s="9" t="e">
        <f>#REF!</f>
        <v>#REF!</v>
      </c>
      <c r="F17" s="43" t="e">
        <f t="shared" si="0"/>
        <v>#REF!</v>
      </c>
      <c r="G17" s="18" t="e">
        <f t="shared" si="3"/>
        <v>#REF!</v>
      </c>
      <c r="H17" s="10"/>
      <c r="I17" s="21"/>
      <c r="J17" s="21"/>
      <c r="K17" s="21"/>
      <c r="L17" s="21"/>
      <c r="M17" s="21"/>
      <c r="N17" s="13"/>
      <c r="O17" s="27"/>
      <c r="P17" s="42" t="s">
        <v>33</v>
      </c>
      <c r="Q17" s="22" t="e">
        <f>#REF!</f>
        <v>#REF!</v>
      </c>
      <c r="R17" s="15" t="e">
        <f>#REF!</f>
        <v>#REF!</v>
      </c>
      <c r="S17" s="22" t="e">
        <f>#REF!</f>
        <v>#REF!</v>
      </c>
      <c r="T17" s="15" t="e">
        <f>#REF!</f>
        <v>#REF!</v>
      </c>
      <c r="U17" s="42" t="e">
        <f t="shared" si="1"/>
        <v>#REF!</v>
      </c>
      <c r="V17" s="19" t="e">
        <f t="shared" si="5"/>
        <v>#REF!</v>
      </c>
      <c r="W17" s="34"/>
      <c r="X17" s="35"/>
      <c r="Y17" s="35"/>
      <c r="Z17" s="35"/>
      <c r="AA17" s="35"/>
      <c r="AB17" s="35"/>
      <c r="AC17" s="23"/>
      <c r="AD17" s="24"/>
      <c r="AE17" s="11"/>
      <c r="AF17" s="14"/>
      <c r="AG17" s="14"/>
      <c r="AH17" s="14"/>
      <c r="AI17" s="14"/>
      <c r="AJ17" s="11"/>
      <c r="AK17" s="31"/>
      <c r="AL17" s="21"/>
      <c r="AM17" s="105" t="s">
        <v>206</v>
      </c>
      <c r="AN17" s="105"/>
      <c r="AO17" s="105"/>
      <c r="AP17" s="105"/>
      <c r="AQ17" s="105"/>
      <c r="AR17" s="105"/>
      <c r="AS17" s="105"/>
    </row>
    <row r="18" spans="1:45" s="3" customFormat="1" ht="30" customHeight="1">
      <c r="A18" s="43" t="s">
        <v>42</v>
      </c>
      <c r="B18" s="9" t="e">
        <f>#REF!</f>
        <v>#REF!</v>
      </c>
      <c r="C18" s="9" t="e">
        <f>#REF!</f>
        <v>#REF!</v>
      </c>
      <c r="D18" s="9" t="e">
        <f>#REF!</f>
        <v>#REF!</v>
      </c>
      <c r="E18" s="9" t="e">
        <f>#REF!</f>
        <v>#REF!</v>
      </c>
      <c r="F18" s="43" t="e">
        <f t="shared" si="0"/>
        <v>#REF!</v>
      </c>
      <c r="G18" s="18" t="e">
        <f t="shared" si="3"/>
        <v>#REF!</v>
      </c>
      <c r="H18" s="10"/>
      <c r="I18" s="21"/>
      <c r="J18" s="21"/>
      <c r="K18" s="21"/>
      <c r="L18" s="21"/>
      <c r="M18" s="21"/>
      <c r="N18" s="11"/>
      <c r="O18" s="31"/>
      <c r="P18" s="42" t="s">
        <v>174</v>
      </c>
      <c r="Q18" s="15" t="e">
        <f>#REF!</f>
        <v>#REF!</v>
      </c>
      <c r="R18" s="15" t="e">
        <f>#REF!</f>
        <v>#REF!</v>
      </c>
      <c r="S18" s="22" t="e">
        <f>#REF!</f>
        <v>#REF!</v>
      </c>
      <c r="T18" s="22" t="e">
        <f>#REF!</f>
        <v>#REF!</v>
      </c>
      <c r="U18" s="44" t="e">
        <f t="shared" si="1"/>
        <v>#REF!</v>
      </c>
      <c r="V18" s="20" t="e">
        <f t="shared" si="5"/>
        <v>#REF!</v>
      </c>
      <c r="W18" s="34"/>
      <c r="X18" s="35"/>
      <c r="Y18" s="35"/>
      <c r="Z18" s="35"/>
      <c r="AA18" s="35"/>
      <c r="AB18" s="35"/>
      <c r="AC18" s="25"/>
      <c r="AD18" s="26"/>
      <c r="AE18" s="11"/>
      <c r="AF18" s="14"/>
      <c r="AG18" s="14"/>
      <c r="AH18" s="14"/>
      <c r="AI18" s="14"/>
      <c r="AJ18" s="11"/>
      <c r="AK18" s="31"/>
      <c r="AL18" s="21"/>
      <c r="AM18" s="42" t="s">
        <v>246</v>
      </c>
      <c r="AN18" s="15" t="e">
        <f>#REF!</f>
        <v>#REF!</v>
      </c>
      <c r="AO18" s="15" t="e">
        <f>#REF!</f>
        <v>#REF!</v>
      </c>
      <c r="AP18" s="15" t="e">
        <f>#REF!</f>
        <v>#REF!</v>
      </c>
      <c r="AQ18" s="15" t="e">
        <f>#REF!</f>
        <v>#REF!</v>
      </c>
      <c r="AR18" s="42" t="e">
        <f>SUM(AN18:AQ18)</f>
        <v>#REF!</v>
      </c>
      <c r="AS18" s="19" t="e">
        <f>(AR18/99)</f>
        <v>#REF!</v>
      </c>
    </row>
    <row r="19" spans="1:45" s="3" customFormat="1" ht="30" customHeight="1">
      <c r="A19" s="43" t="s">
        <v>13</v>
      </c>
      <c r="B19" s="9" t="e">
        <f>#REF!</f>
        <v>#REF!</v>
      </c>
      <c r="C19" s="9" t="e">
        <f>#REF!</f>
        <v>#REF!</v>
      </c>
      <c r="D19" s="9" t="e">
        <f>#REF!</f>
        <v>#REF!</v>
      </c>
      <c r="E19" s="9" t="e">
        <f>#REF!</f>
        <v>#REF!</v>
      </c>
      <c r="F19" s="43" t="e">
        <f t="shared" si="0"/>
        <v>#REF!</v>
      </c>
      <c r="G19" s="18" t="e">
        <f t="shared" si="3"/>
        <v>#REF!</v>
      </c>
      <c r="H19" s="10"/>
      <c r="I19" s="21"/>
      <c r="J19" s="21"/>
      <c r="K19" s="21"/>
      <c r="L19" s="21"/>
      <c r="M19" s="21"/>
      <c r="N19" s="11"/>
      <c r="O19" s="31"/>
      <c r="P19" s="44" t="s">
        <v>193</v>
      </c>
      <c r="Q19" s="22" t="e">
        <f>#REF!</f>
        <v>#REF!</v>
      </c>
      <c r="R19" s="22" t="e">
        <f>#REF!</f>
        <v>#REF!</v>
      </c>
      <c r="S19" s="22" t="e">
        <f>#REF!</f>
        <v>#REF!</v>
      </c>
      <c r="T19" s="22" t="e">
        <f>#REF!</f>
        <v>#REF!</v>
      </c>
      <c r="U19" s="44" t="e">
        <f t="shared" si="1"/>
        <v>#REF!</v>
      </c>
      <c r="V19" s="20" t="e">
        <f t="shared" si="5"/>
        <v>#REF!</v>
      </c>
      <c r="W19" s="34"/>
      <c r="X19" s="35"/>
      <c r="Y19" s="35"/>
      <c r="Z19" s="35"/>
      <c r="AA19" s="35"/>
      <c r="AB19" s="35"/>
      <c r="AC19" s="25"/>
      <c r="AD19" s="26"/>
      <c r="AE19" s="11"/>
      <c r="AF19" s="14"/>
      <c r="AG19" s="14"/>
      <c r="AH19" s="14"/>
      <c r="AI19" s="14"/>
      <c r="AJ19" s="11"/>
      <c r="AK19" s="31"/>
      <c r="AL19" s="21"/>
      <c r="AM19" s="42" t="s">
        <v>245</v>
      </c>
      <c r="AN19" s="15" t="e">
        <f>#REF!</f>
        <v>#REF!</v>
      </c>
      <c r="AO19" s="15" t="e">
        <f>#REF!</f>
        <v>#REF!</v>
      </c>
      <c r="AP19" s="15" t="e">
        <f>#REF!</f>
        <v>#REF!</v>
      </c>
      <c r="AQ19" s="15" t="e">
        <f>#REF!</f>
        <v>#REF!</v>
      </c>
      <c r="AR19" s="42" t="e">
        <f>SUM(AN19:AQ19)</f>
        <v>#REF!</v>
      </c>
      <c r="AS19" s="55" t="e">
        <f>(AR19/99)</f>
        <v>#REF!</v>
      </c>
    </row>
    <row r="20" spans="1:45" s="3" customFormat="1" ht="30" customHeight="1">
      <c r="A20" s="42" t="s">
        <v>14</v>
      </c>
      <c r="B20" s="15" t="e">
        <f>#REF!</f>
        <v>#REF!</v>
      </c>
      <c r="C20" s="9" t="e">
        <f>#REF!</f>
        <v>#REF!</v>
      </c>
      <c r="D20" s="9" t="e">
        <f>#REF!</f>
        <v>#REF!</v>
      </c>
      <c r="E20" s="15" t="e">
        <f>#REF!</f>
        <v>#REF!</v>
      </c>
      <c r="F20" s="42" t="e">
        <f t="shared" si="0"/>
        <v>#REF!</v>
      </c>
      <c r="G20" s="19" t="e">
        <f t="shared" si="3"/>
        <v>#REF!</v>
      </c>
      <c r="H20" s="10"/>
      <c r="I20" s="21"/>
      <c r="J20" s="21"/>
      <c r="K20" s="21"/>
      <c r="L20" s="21"/>
      <c r="M20" s="21"/>
      <c r="N20" s="28"/>
      <c r="O20" s="31"/>
      <c r="P20" s="44" t="s">
        <v>231</v>
      </c>
      <c r="Q20" s="22" t="e">
        <f>#REF!</f>
        <v>#REF!</v>
      </c>
      <c r="R20" s="22" t="e">
        <f>#REF!</f>
        <v>#REF!</v>
      </c>
      <c r="S20" s="22" t="e">
        <f>#REF!</f>
        <v>#REF!</v>
      </c>
      <c r="T20" s="22" t="e">
        <f>#REF!</f>
        <v>#REF!</v>
      </c>
      <c r="U20" s="44" t="e">
        <f t="shared" si="1"/>
        <v>#REF!</v>
      </c>
      <c r="V20" s="20" t="e">
        <f t="shared" si="5"/>
        <v>#REF!</v>
      </c>
      <c r="W20" s="34"/>
      <c r="X20" s="35"/>
      <c r="Y20" s="35"/>
      <c r="Z20" s="35"/>
      <c r="AA20" s="35"/>
      <c r="AB20" s="35"/>
      <c r="AC20" s="25"/>
      <c r="AD20" s="26"/>
      <c r="AE20" s="28"/>
      <c r="AF20" s="36"/>
      <c r="AG20" s="14"/>
      <c r="AH20" s="14"/>
      <c r="AI20" s="36"/>
      <c r="AJ20" s="28"/>
      <c r="AK20" s="31"/>
      <c r="AL20" s="21"/>
      <c r="AM20" s="44" t="s">
        <v>247</v>
      </c>
      <c r="AN20" s="22" t="e">
        <f>#REF!</f>
        <v>#REF!</v>
      </c>
      <c r="AO20" s="22" t="e">
        <f>#REF!</f>
        <v>#REF!</v>
      </c>
      <c r="AP20" s="22" t="e">
        <f>#REF!</f>
        <v>#REF!</v>
      </c>
      <c r="AQ20" s="22" t="e">
        <f>#REF!</f>
        <v>#REF!</v>
      </c>
      <c r="AR20" s="44" t="e">
        <f>SUM(AN20:AQ20)</f>
        <v>#REF!</v>
      </c>
      <c r="AS20" s="56" t="e">
        <f>(AR20/99)</f>
        <v>#REF!</v>
      </c>
    </row>
    <row r="21" spans="1:45" s="3" customFormat="1" ht="30" customHeight="1">
      <c r="A21" s="42" t="s">
        <v>15</v>
      </c>
      <c r="B21" s="15" t="e">
        <f>#REF!</f>
        <v>#REF!</v>
      </c>
      <c r="C21" s="15" t="e">
        <f>#REF!</f>
        <v>#REF!</v>
      </c>
      <c r="D21" s="15" t="e">
        <f>#REF!</f>
        <v>#REF!</v>
      </c>
      <c r="E21" s="15" t="e">
        <f>#REF!</f>
        <v>#REF!</v>
      </c>
      <c r="F21" s="42" t="e">
        <f t="shared" si="0"/>
        <v>#REF!</v>
      </c>
      <c r="G21" s="19" t="e">
        <f t="shared" si="3"/>
        <v>#REF!</v>
      </c>
      <c r="H21" s="10"/>
      <c r="I21" s="21"/>
      <c r="J21" s="21"/>
      <c r="K21" s="21"/>
      <c r="L21" s="21"/>
      <c r="M21" s="21"/>
      <c r="N21" s="28"/>
      <c r="O21" s="31"/>
      <c r="P21" s="44" t="s">
        <v>232</v>
      </c>
      <c r="Q21" s="22" t="e">
        <f>#REF!</f>
        <v>#REF!</v>
      </c>
      <c r="R21" s="22" t="e">
        <f>#REF!</f>
        <v>#REF!</v>
      </c>
      <c r="S21" s="22" t="e">
        <f>#REF!</f>
        <v>#REF!</v>
      </c>
      <c r="T21" s="22" t="e">
        <f>#REF!</f>
        <v>#REF!</v>
      </c>
      <c r="U21" s="44" t="e">
        <f t="shared" si="1"/>
        <v>#REF!</v>
      </c>
      <c r="V21" s="20" t="e">
        <f t="shared" si="5"/>
        <v>#REF!</v>
      </c>
      <c r="W21" s="34"/>
      <c r="X21" s="35"/>
      <c r="Y21" s="35"/>
      <c r="Z21" s="35"/>
      <c r="AA21" s="35"/>
      <c r="AB21" s="35"/>
      <c r="AC21" s="25"/>
      <c r="AD21" s="26"/>
      <c r="AE21" s="28"/>
      <c r="AF21" s="36"/>
      <c r="AG21" s="36"/>
      <c r="AH21" s="36"/>
      <c r="AI21" s="36"/>
      <c r="AJ21" s="28"/>
      <c r="AK21" s="31"/>
      <c r="AL21" s="21"/>
      <c r="AM21" s="44" t="s">
        <v>248</v>
      </c>
      <c r="AN21" s="22" t="e">
        <f>#REF!</f>
        <v>#REF!</v>
      </c>
      <c r="AO21" s="22" t="e">
        <f>#REF!</f>
        <v>#REF!</v>
      </c>
      <c r="AP21" s="22" t="e">
        <f>#REF!</f>
        <v>#REF!</v>
      </c>
      <c r="AQ21" s="22" t="e">
        <f>#REF!</f>
        <v>#REF!</v>
      </c>
      <c r="AR21" s="44" t="e">
        <f>SUM(AN21:AQ21)</f>
        <v>#REF!</v>
      </c>
      <c r="AS21" s="56" t="e">
        <f>(AR21/99)</f>
        <v>#REF!</v>
      </c>
    </row>
    <row r="22" spans="1:45" s="3" customFormat="1" ht="30" customHeight="1">
      <c r="A22" s="42" t="s">
        <v>16</v>
      </c>
      <c r="B22" s="9" t="e">
        <f>#REF!</f>
        <v>#REF!</v>
      </c>
      <c r="C22" s="9" t="e">
        <f>#REF!</f>
        <v>#REF!</v>
      </c>
      <c r="D22" s="9" t="e">
        <f>#REF!</f>
        <v>#REF!</v>
      </c>
      <c r="E22" s="15" t="e">
        <f>#REF!</f>
        <v>#REF!</v>
      </c>
      <c r="F22" s="43" t="e">
        <f t="shared" si="0"/>
        <v>#REF!</v>
      </c>
      <c r="G22" s="18" t="e">
        <f t="shared" si="3"/>
        <v>#REF!</v>
      </c>
      <c r="H22" s="10"/>
      <c r="I22" s="21"/>
      <c r="J22" s="21"/>
      <c r="K22" s="21"/>
      <c r="L22" s="21"/>
      <c r="M22" s="21"/>
      <c r="N22" s="11"/>
      <c r="O22" s="31"/>
      <c r="P22" s="42" t="s">
        <v>233</v>
      </c>
      <c r="Q22" s="22" t="e">
        <f>#REF!</f>
        <v>#REF!</v>
      </c>
      <c r="R22" s="15" t="e">
        <f>#REF!</f>
        <v>#REF!</v>
      </c>
      <c r="S22" s="22" t="e">
        <f>#REF!</f>
        <v>#REF!</v>
      </c>
      <c r="T22" s="22" t="e">
        <f>#REF!</f>
        <v>#REF!</v>
      </c>
      <c r="U22" s="44" t="e">
        <f t="shared" si="1"/>
        <v>#REF!</v>
      </c>
      <c r="V22" s="20" t="e">
        <f t="shared" si="5"/>
        <v>#REF!</v>
      </c>
      <c r="W22" s="34"/>
      <c r="X22" s="35"/>
      <c r="Y22" s="35"/>
      <c r="Z22" s="35"/>
      <c r="AA22" s="35"/>
      <c r="AB22" s="35"/>
      <c r="AC22" s="25"/>
      <c r="AD22" s="26"/>
      <c r="AE22" s="28"/>
      <c r="AF22" s="14"/>
      <c r="AG22" s="14"/>
      <c r="AH22" s="14"/>
      <c r="AI22" s="36"/>
      <c r="AJ22" s="11"/>
      <c r="AK22" s="31"/>
      <c r="AL22" s="21"/>
      <c r="AM22" s="35"/>
      <c r="AN22" s="21"/>
      <c r="AO22" s="21"/>
      <c r="AP22" s="21"/>
      <c r="AQ22" s="21"/>
      <c r="AR22" s="11"/>
      <c r="AS22" s="27"/>
    </row>
    <row r="23" spans="1:45" s="3" customFormat="1" ht="30" customHeight="1">
      <c r="A23" s="43" t="s">
        <v>17</v>
      </c>
      <c r="B23" s="9" t="e">
        <f>#REF!</f>
        <v>#REF!</v>
      </c>
      <c r="C23" s="9" t="e">
        <f>#REF!</f>
        <v>#REF!</v>
      </c>
      <c r="D23" s="9" t="e">
        <f>#REF!</f>
        <v>#REF!</v>
      </c>
      <c r="E23" s="9" t="e">
        <f>#REF!</f>
        <v>#REF!</v>
      </c>
      <c r="F23" s="43" t="e">
        <f t="shared" si="0"/>
        <v>#REF!</v>
      </c>
      <c r="G23" s="18" t="e">
        <f t="shared" si="3"/>
        <v>#REF!</v>
      </c>
      <c r="H23" s="10"/>
      <c r="I23" s="21"/>
      <c r="J23" s="21"/>
      <c r="K23" s="21"/>
      <c r="L23" s="21"/>
      <c r="M23" s="21"/>
      <c r="N23" s="11"/>
      <c r="O23" s="31"/>
      <c r="P23" s="44" t="s">
        <v>34</v>
      </c>
      <c r="Q23" s="22" t="e">
        <f>#REF!</f>
        <v>#REF!</v>
      </c>
      <c r="R23" s="22" t="e">
        <f>#REF!</f>
        <v>#REF!</v>
      </c>
      <c r="S23" s="22" t="e">
        <f>#REF!</f>
        <v>#REF!</v>
      </c>
      <c r="T23" s="22" t="e">
        <f>#REF!</f>
        <v>#REF!</v>
      </c>
      <c r="U23" s="44" t="e">
        <f t="shared" si="1"/>
        <v>#REF!</v>
      </c>
      <c r="V23" s="20" t="e">
        <f t="shared" si="5"/>
        <v>#REF!</v>
      </c>
      <c r="W23" s="34"/>
      <c r="X23" s="35"/>
      <c r="Y23" s="35"/>
      <c r="Z23" s="35"/>
      <c r="AA23" s="35"/>
      <c r="AB23" s="35"/>
      <c r="AC23" s="25"/>
      <c r="AD23" s="26"/>
      <c r="AE23" s="11"/>
      <c r="AF23" s="14"/>
      <c r="AG23" s="14"/>
      <c r="AH23" s="14"/>
      <c r="AI23" s="14"/>
      <c r="AJ23" s="11"/>
      <c r="AK23" s="31"/>
      <c r="AL23" s="21"/>
      <c r="AM23" s="21"/>
      <c r="AN23" s="21"/>
      <c r="AO23" s="21"/>
      <c r="AP23" s="21"/>
      <c r="AQ23" s="21"/>
      <c r="AR23" s="11"/>
      <c r="AS23" s="31"/>
    </row>
    <row r="24" spans="1:45" s="3" customFormat="1" ht="30" customHeight="1">
      <c r="A24" s="43" t="s">
        <v>18</v>
      </c>
      <c r="B24" s="9" t="e">
        <f>#REF!</f>
        <v>#REF!</v>
      </c>
      <c r="C24" s="9" t="e">
        <f>#REF!</f>
        <v>#REF!</v>
      </c>
      <c r="D24" s="9" t="e">
        <f>#REF!</f>
        <v>#REF!</v>
      </c>
      <c r="E24" s="9" t="e">
        <f>#REF!</f>
        <v>#REF!</v>
      </c>
      <c r="F24" s="43" t="e">
        <f t="shared" si="0"/>
        <v>#REF!</v>
      </c>
      <c r="G24" s="18" t="e">
        <f t="shared" si="3"/>
        <v>#REF!</v>
      </c>
      <c r="H24" s="10"/>
      <c r="I24" s="21"/>
      <c r="J24" s="21"/>
      <c r="K24" s="21"/>
      <c r="L24" s="21"/>
      <c r="M24" s="21"/>
      <c r="N24" s="11"/>
      <c r="O24" s="31"/>
      <c r="P24" s="44" t="s">
        <v>13</v>
      </c>
      <c r="Q24" s="22" t="e">
        <f>#REF!</f>
        <v>#REF!</v>
      </c>
      <c r="R24" s="22" t="e">
        <f>#REF!</f>
        <v>#REF!</v>
      </c>
      <c r="S24" s="22" t="e">
        <f>#REF!</f>
        <v>#REF!</v>
      </c>
      <c r="T24" s="22" t="e">
        <f>#REF!</f>
        <v>#REF!</v>
      </c>
      <c r="U24" s="44" t="e">
        <f t="shared" si="1"/>
        <v>#REF!</v>
      </c>
      <c r="V24" s="20" t="e">
        <f t="shared" si="5"/>
        <v>#REF!</v>
      </c>
      <c r="W24" s="34"/>
      <c r="X24" s="35"/>
      <c r="Y24" s="35"/>
      <c r="Z24" s="35"/>
      <c r="AA24" s="35"/>
      <c r="AB24" s="35"/>
      <c r="AC24" s="25"/>
      <c r="AD24" s="26"/>
      <c r="AE24" s="11"/>
      <c r="AF24" s="14"/>
      <c r="AG24" s="14"/>
      <c r="AH24" s="14"/>
      <c r="AI24" s="14"/>
      <c r="AJ24" s="11"/>
      <c r="AK24" s="31"/>
      <c r="AL24" s="21"/>
      <c r="AM24" s="21"/>
      <c r="AN24" s="21"/>
      <c r="AO24" s="21"/>
      <c r="AP24" s="21"/>
      <c r="AQ24" s="21"/>
      <c r="AR24" s="11"/>
      <c r="AS24" s="31"/>
    </row>
    <row r="25" spans="1:45" ht="24.75">
      <c r="P25" s="45"/>
      <c r="Q25" s="7"/>
      <c r="R25" s="7"/>
      <c r="S25" s="7"/>
      <c r="T25" s="7"/>
    </row>
    <row r="26" spans="1:45" ht="19.5" customHeight="1">
      <c r="A26" s="99" t="s">
        <v>351</v>
      </c>
      <c r="B26" s="69"/>
      <c r="C26" s="69"/>
      <c r="D26" s="70" t="s">
        <v>355</v>
      </c>
      <c r="E26" s="67" t="s">
        <v>356</v>
      </c>
      <c r="F26" s="71"/>
      <c r="G26" s="1"/>
      <c r="H26" s="72"/>
      <c r="I26" s="69"/>
      <c r="J26" s="70" t="s">
        <v>355</v>
      </c>
      <c r="K26" s="67" t="s">
        <v>356</v>
      </c>
      <c r="L26" s="5"/>
      <c r="O26" s="1"/>
      <c r="P26" s="1"/>
      <c r="Q26" s="1"/>
      <c r="R26" s="1"/>
      <c r="S26" s="1"/>
      <c r="T26" s="1"/>
      <c r="W26" s="5"/>
      <c r="X26" s="5"/>
      <c r="Y26" s="5"/>
      <c r="Z26" s="5"/>
      <c r="AA26" s="5"/>
      <c r="AB26" s="5"/>
      <c r="AD26" s="1"/>
      <c r="AE26" s="1"/>
      <c r="AF26" s="1"/>
      <c r="AG26" s="1"/>
      <c r="AH26" s="1"/>
      <c r="AI26" s="1"/>
      <c r="AR26" s="1"/>
      <c r="AS26" s="1"/>
    </row>
    <row r="27" spans="1:45" ht="22.5">
      <c r="A27" s="99"/>
      <c r="B27" s="99" t="s">
        <v>0</v>
      </c>
      <c r="C27" s="68" t="s">
        <v>348</v>
      </c>
      <c r="D27" s="63" t="e">
        <f>SUM(B7:B24)/25*100/18</f>
        <v>#REF!</v>
      </c>
      <c r="E27" s="66"/>
      <c r="F27" s="1"/>
      <c r="H27" s="99" t="s">
        <v>373</v>
      </c>
      <c r="I27" s="68"/>
      <c r="J27" s="63"/>
      <c r="K27" s="66"/>
      <c r="L27" s="5"/>
      <c r="O27" s="1"/>
      <c r="P27" s="1"/>
      <c r="Q27" s="1"/>
      <c r="R27" s="1"/>
      <c r="S27" s="1"/>
      <c r="T27" s="1"/>
      <c r="W27" s="5"/>
      <c r="X27" s="5"/>
      <c r="Y27" s="5"/>
      <c r="Z27" s="5"/>
      <c r="AA27" s="5"/>
      <c r="AB27" s="5"/>
      <c r="AD27" s="1"/>
      <c r="AE27" s="1"/>
      <c r="AF27" s="1"/>
      <c r="AG27" s="1"/>
      <c r="AH27" s="1"/>
      <c r="AI27" s="1"/>
      <c r="AR27" s="1"/>
      <c r="AS27" s="1"/>
    </row>
    <row r="28" spans="1:45" ht="22.5">
      <c r="A28" s="99"/>
      <c r="B28" s="99"/>
      <c r="C28" s="68" t="s">
        <v>194</v>
      </c>
      <c r="D28" s="63" t="e">
        <f>SUM(C7:C24)/25*100/18</f>
        <v>#REF!</v>
      </c>
      <c r="E28" s="65"/>
      <c r="F28" s="1"/>
      <c r="H28" s="99"/>
      <c r="I28" s="68"/>
      <c r="J28" s="63"/>
      <c r="K28" s="65"/>
      <c r="L28" s="5"/>
      <c r="N28" s="1"/>
      <c r="O28" s="1"/>
      <c r="P28" s="1"/>
      <c r="Q28" s="1"/>
      <c r="R28" s="1"/>
      <c r="S28" s="1"/>
      <c r="W28" s="5"/>
      <c r="X28" s="5"/>
      <c r="Y28" s="5"/>
      <c r="Z28" s="5"/>
      <c r="AA28" s="5"/>
      <c r="AB28" s="5"/>
      <c r="AC28" s="1"/>
      <c r="AD28" s="1"/>
      <c r="AE28" s="1"/>
      <c r="AF28" s="1"/>
      <c r="AG28" s="1"/>
      <c r="AH28" s="1"/>
      <c r="AK28" s="1"/>
      <c r="AR28" s="1"/>
      <c r="AS28" s="1"/>
    </row>
    <row r="29" spans="1:45" ht="22.5">
      <c r="A29" s="99"/>
      <c r="B29" s="99"/>
      <c r="C29" s="68" t="s">
        <v>349</v>
      </c>
      <c r="D29" s="63" t="e">
        <f>SUM(D7:D24)/25*100/18</f>
        <v>#REF!</v>
      </c>
      <c r="E29" s="66"/>
      <c r="F29" s="1"/>
      <c r="H29" s="99"/>
      <c r="I29" s="68"/>
      <c r="J29" s="63"/>
      <c r="K29" s="66"/>
      <c r="L29" s="5"/>
      <c r="N29" s="1"/>
      <c r="O29" s="1"/>
      <c r="P29" s="1"/>
      <c r="Q29" s="1"/>
      <c r="R29" s="1"/>
      <c r="S29" s="1"/>
      <c r="W29" s="5"/>
      <c r="X29" s="5"/>
      <c r="Y29" s="5"/>
      <c r="Z29" s="5"/>
      <c r="AA29" s="5"/>
      <c r="AB29" s="5"/>
      <c r="AC29" s="1"/>
      <c r="AD29" s="1"/>
      <c r="AE29" s="1"/>
      <c r="AF29" s="1"/>
      <c r="AG29" s="1"/>
      <c r="AH29" s="1"/>
      <c r="AK29" s="1"/>
      <c r="AR29" s="1"/>
      <c r="AS29" s="1"/>
    </row>
    <row r="30" spans="1:45" ht="22.5">
      <c r="A30" s="99"/>
      <c r="B30" s="99"/>
      <c r="C30" s="68" t="s">
        <v>350</v>
      </c>
      <c r="D30" s="63" t="e">
        <f>SUM(E7:E24)/24*100/18</f>
        <v>#REF!</v>
      </c>
      <c r="E30" s="66"/>
      <c r="F30" s="1"/>
      <c r="H30" s="99"/>
      <c r="I30" s="68"/>
      <c r="J30" s="63"/>
      <c r="K30" s="66"/>
      <c r="L30" s="5"/>
      <c r="O30" s="1"/>
      <c r="P30" s="1"/>
      <c r="Q30" s="1"/>
      <c r="R30" s="1"/>
      <c r="S30" s="1"/>
      <c r="T30" s="1"/>
      <c r="W30" s="5"/>
      <c r="X30" s="5"/>
      <c r="Y30" s="5"/>
      <c r="Z30" s="5"/>
      <c r="AA30" s="5"/>
      <c r="AB30" s="5"/>
      <c r="AD30" s="1"/>
      <c r="AE30" s="1"/>
      <c r="AF30" s="1"/>
      <c r="AG30" s="1"/>
      <c r="AH30" s="1"/>
      <c r="AI30" s="1"/>
      <c r="AR30" s="1"/>
      <c r="AS30" s="1"/>
    </row>
    <row r="31" spans="1:45" ht="22.5">
      <c r="A31" s="99"/>
      <c r="B31" s="100" t="s">
        <v>1</v>
      </c>
      <c r="C31" s="68" t="s">
        <v>348</v>
      </c>
      <c r="D31" s="63" t="e">
        <f>SUM(J8:J11,J13:J16)/25*100/8</f>
        <v>#REF!</v>
      </c>
      <c r="E31" s="66"/>
      <c r="F31" s="1"/>
      <c r="H31" s="99"/>
      <c r="I31" s="68"/>
      <c r="J31" s="63"/>
      <c r="K31" s="66"/>
      <c r="L31" s="5"/>
      <c r="O31" s="1"/>
      <c r="P31" s="1"/>
      <c r="Q31" s="1"/>
      <c r="R31" s="1"/>
      <c r="S31" s="1"/>
      <c r="T31" s="1"/>
      <c r="W31" s="5"/>
      <c r="X31" s="5"/>
      <c r="Y31" s="5"/>
      <c r="Z31" s="5"/>
      <c r="AA31" s="5"/>
      <c r="AB31" s="5"/>
      <c r="AD31" s="1"/>
      <c r="AE31" s="1"/>
      <c r="AF31" s="1"/>
      <c r="AG31" s="1"/>
      <c r="AH31" s="1"/>
      <c r="AI31" s="1"/>
      <c r="AR31" s="1"/>
      <c r="AS31" s="1"/>
    </row>
    <row r="32" spans="1:45" ht="22.5">
      <c r="A32" s="99"/>
      <c r="B32" s="100"/>
      <c r="C32" s="68" t="s">
        <v>194</v>
      </c>
      <c r="D32" s="63" t="e">
        <f>SUM(K8:K11,K13:K16)/25*100/8</f>
        <v>#REF!</v>
      </c>
      <c r="E32" s="66"/>
      <c r="F32" s="1"/>
      <c r="H32" s="99" t="s">
        <v>374</v>
      </c>
      <c r="I32" s="68" t="s">
        <v>29</v>
      </c>
      <c r="J32" s="78">
        <v>68</v>
      </c>
      <c r="K32" s="65">
        <f>100-(13+13+13+12)</f>
        <v>49</v>
      </c>
    </row>
    <row r="33" spans="1:12" ht="22.5">
      <c r="A33" s="99"/>
      <c r="B33" s="100"/>
      <c r="C33" s="68" t="s">
        <v>349</v>
      </c>
      <c r="D33" s="63" t="e">
        <f>SUM(L8:L11,L13:L16)/25*100/8</f>
        <v>#REF!</v>
      </c>
      <c r="E33" s="66"/>
      <c r="F33" s="1"/>
      <c r="H33" s="99"/>
      <c r="I33" s="68" t="s">
        <v>27</v>
      </c>
      <c r="J33" s="78">
        <v>26</v>
      </c>
      <c r="K33" s="65">
        <f>100-(14+15+15+10)</f>
        <v>46</v>
      </c>
    </row>
    <row r="34" spans="1:12" ht="22.5">
      <c r="A34" s="99"/>
      <c r="B34" s="100"/>
      <c r="C34" s="68" t="s">
        <v>350</v>
      </c>
      <c r="D34" s="63" t="e">
        <f>SUM(M8:M11,M13:M16)/24*100/8</f>
        <v>#REF!</v>
      </c>
      <c r="E34" s="66"/>
      <c r="F34" s="1"/>
      <c r="H34" s="99"/>
      <c r="I34" s="68" t="s">
        <v>26</v>
      </c>
      <c r="J34" s="78">
        <v>49</v>
      </c>
      <c r="K34" s="65">
        <f>100-(12+13+16+11)</f>
        <v>48</v>
      </c>
    </row>
    <row r="35" spans="1:12" ht="22.5">
      <c r="A35" s="99" t="s">
        <v>353</v>
      </c>
      <c r="B35" s="99" t="s">
        <v>0</v>
      </c>
      <c r="C35" s="68" t="s">
        <v>348</v>
      </c>
      <c r="D35" s="63" t="e">
        <f>SUM(Q7:Q24)/25*100/18</f>
        <v>#REF!</v>
      </c>
      <c r="E35" s="65">
        <f>((21*25)-(2+6+9+12+14+13+2+0+4+13+3+4+15+2+13+9+13+13+10+9+8))/25*100/21</f>
        <v>66.857142857142861</v>
      </c>
      <c r="F35" s="1"/>
      <c r="H35" s="99"/>
      <c r="I35" s="68" t="s">
        <v>8</v>
      </c>
      <c r="J35" s="79"/>
      <c r="K35" s="65">
        <f>100-(15+12+12+12)</f>
        <v>49</v>
      </c>
    </row>
    <row r="36" spans="1:12" ht="22.5">
      <c r="A36" s="99"/>
      <c r="B36" s="99"/>
      <c r="C36" s="68" t="s">
        <v>194</v>
      </c>
      <c r="D36" s="63" t="e">
        <f>SUM(R7:R24)/25*100/18</f>
        <v>#REF!</v>
      </c>
      <c r="E36" s="65">
        <f>((21*25)-(1+3+8+13+15+9+4+5+9+13+1+6+12+1+12+11+15+14+15+12+8))/25*100/21</f>
        <v>64.38095238095238</v>
      </c>
      <c r="F36" s="1"/>
      <c r="H36" s="99"/>
      <c r="I36" s="68" t="s">
        <v>33</v>
      </c>
      <c r="J36" s="79">
        <v>48</v>
      </c>
      <c r="K36" s="65">
        <f>100-(13+14+14+9)</f>
        <v>50</v>
      </c>
    </row>
    <row r="37" spans="1:12" ht="22.5">
      <c r="A37" s="99"/>
      <c r="B37" s="99"/>
      <c r="C37" s="68" t="s">
        <v>349</v>
      </c>
      <c r="D37" s="63" t="e">
        <f>SUM(S7:S24)/25*100/18</f>
        <v>#REF!</v>
      </c>
      <c r="E37" s="65">
        <f>((21*25)-(2+5+10+16+15+11+5+5+9+13+1+6+12+1+13+11+15+14+15+12+8))/25*100/21</f>
        <v>62.095238095238095</v>
      </c>
      <c r="F37" s="1"/>
      <c r="H37" s="99" t="s">
        <v>375</v>
      </c>
      <c r="I37" s="68" t="s">
        <v>376</v>
      </c>
      <c r="J37" s="79">
        <v>33</v>
      </c>
      <c r="K37" s="65">
        <f>100-(19+20+13+16)</f>
        <v>32</v>
      </c>
    </row>
    <row r="38" spans="1:12" ht="22.5">
      <c r="A38" s="99"/>
      <c r="B38" s="99"/>
      <c r="C38" s="68" t="s">
        <v>350</v>
      </c>
      <c r="D38" s="63" t="e">
        <f>SUM(T7:T24)/24*100/18</f>
        <v>#REF!</v>
      </c>
      <c r="E38" s="65">
        <f>((21*25)-(1+4+6+11+10+6+3+2+7+12+3+5+12+0+8+10+9+9+7+6+5))/25*100/21</f>
        <v>74.095238095238102</v>
      </c>
      <c r="F38" s="1"/>
      <c r="H38" s="99"/>
      <c r="I38" s="68" t="s">
        <v>47</v>
      </c>
      <c r="J38" s="79">
        <v>31</v>
      </c>
      <c r="K38" s="65">
        <f>100-(20+18+12+20)</f>
        <v>30</v>
      </c>
    </row>
    <row r="39" spans="1:12" ht="22.5">
      <c r="A39" s="99"/>
      <c r="B39" s="100" t="s">
        <v>1</v>
      </c>
      <c r="C39" s="68" t="s">
        <v>348</v>
      </c>
      <c r="D39" s="63" t="e">
        <f>SUM(Y8:Y11,Y13:Y16)/25*100/8</f>
        <v>#REF!</v>
      </c>
      <c r="E39" s="65">
        <f>((4*25)-(9+3+9+9))/25*100/4</f>
        <v>70</v>
      </c>
      <c r="F39" s="1"/>
      <c r="H39" s="99"/>
      <c r="I39" s="68" t="s">
        <v>238</v>
      </c>
      <c r="J39" s="79">
        <v>22</v>
      </c>
      <c r="K39" s="65">
        <f>100-(20+17+13+18)</f>
        <v>32</v>
      </c>
    </row>
    <row r="40" spans="1:12" ht="22.5">
      <c r="A40" s="99"/>
      <c r="B40" s="100"/>
      <c r="C40" s="68" t="s">
        <v>194</v>
      </c>
      <c r="D40" s="63" t="e">
        <f>SUM(Z8:Z11,Z13:Z16)/25*100/8</f>
        <v>#REF!</v>
      </c>
      <c r="E40" s="65">
        <f>((4*25)-(3+1+4+2))/25*100/4</f>
        <v>90</v>
      </c>
      <c r="F40" s="1"/>
      <c r="H40" s="99"/>
      <c r="I40" s="68" t="s">
        <v>24</v>
      </c>
      <c r="J40" s="79">
        <v>84</v>
      </c>
      <c r="K40" s="65">
        <f>100-(19+22+10+18)</f>
        <v>31</v>
      </c>
    </row>
    <row r="41" spans="1:12" ht="22.5">
      <c r="A41" s="99"/>
      <c r="B41" s="100"/>
      <c r="C41" s="68" t="s">
        <v>349</v>
      </c>
      <c r="D41" s="63" t="e">
        <f>SUM(AA8:AA11,AA13:AA16)/25*100/8</f>
        <v>#REF!</v>
      </c>
      <c r="E41" s="65">
        <f>((4*25)-(3+1+4+2))/25*100/4</f>
        <v>90</v>
      </c>
      <c r="F41" s="1"/>
      <c r="H41" s="99"/>
      <c r="I41" s="68" t="s">
        <v>377</v>
      </c>
      <c r="J41" s="79">
        <v>44</v>
      </c>
      <c r="K41" s="65">
        <f>100-(20+17+16+15)</f>
        <v>32</v>
      </c>
    </row>
    <row r="42" spans="1:12" ht="22.5">
      <c r="A42" s="99"/>
      <c r="B42" s="100"/>
      <c r="C42" s="68" t="s">
        <v>350</v>
      </c>
      <c r="D42" s="63" t="e">
        <f>SUM(AB8:AB11,AB13:AB16)/24*100/8</f>
        <v>#REF!</v>
      </c>
      <c r="E42" s="65">
        <f>((4*25)-(9+3+9+9))/25*100/4</f>
        <v>70</v>
      </c>
      <c r="F42" s="1"/>
      <c r="H42" s="99"/>
      <c r="I42" s="68" t="s">
        <v>51</v>
      </c>
      <c r="J42" s="79">
        <v>36</v>
      </c>
      <c r="K42" s="65">
        <f>100-(20+19+18+21)</f>
        <v>22</v>
      </c>
    </row>
    <row r="43" spans="1:12" ht="22.5">
      <c r="A43" s="99" t="s">
        <v>354</v>
      </c>
      <c r="B43" s="99" t="s">
        <v>0</v>
      </c>
      <c r="C43" s="68" t="s">
        <v>348</v>
      </c>
      <c r="D43" s="63" t="e">
        <f>SUM(AF7:AF15)/24*100/9</f>
        <v>#REF!</v>
      </c>
      <c r="E43" s="65">
        <f>((9*25)-(7+12+9+19+11+19+13+20+20))/25*100/9</f>
        <v>42.222222222222221</v>
      </c>
      <c r="F43" s="1"/>
      <c r="H43" s="74"/>
      <c r="I43" s="74"/>
      <c r="J43" s="76"/>
      <c r="K43" s="77"/>
      <c r="L43" s="77"/>
    </row>
    <row r="44" spans="1:12" ht="22.5">
      <c r="A44" s="99"/>
      <c r="B44" s="99"/>
      <c r="C44" s="68" t="s">
        <v>194</v>
      </c>
      <c r="D44" s="63" t="e">
        <f>SUM(AG7:AG15)/25*100/9</f>
        <v>#REF!</v>
      </c>
      <c r="E44" s="65">
        <f>((9*25)-(11+13+9+20+11+22+13+18+17))/25*100/9</f>
        <v>40.444444444444443</v>
      </c>
      <c r="F44" s="1"/>
      <c r="H44" s="74"/>
      <c r="I44" s="74"/>
      <c r="J44" s="76"/>
      <c r="K44" s="77"/>
      <c r="L44" s="77"/>
    </row>
    <row r="45" spans="1:12" ht="22.5">
      <c r="A45" s="99"/>
      <c r="B45" s="99"/>
      <c r="C45" s="68" t="s">
        <v>349</v>
      </c>
      <c r="D45" s="63" t="e">
        <f>SUM(AH7:AH15)/25*100/9</f>
        <v>#REF!</v>
      </c>
      <c r="E45" s="65">
        <f>((9*25)-(4+7+3+13+9+10+7+12+13))/25*100/9</f>
        <v>65.333333333333329</v>
      </c>
      <c r="F45" s="1"/>
      <c r="H45" s="74"/>
      <c r="I45" s="74"/>
      <c r="J45" s="76"/>
      <c r="K45" s="77"/>
      <c r="L45" s="77"/>
    </row>
    <row r="46" spans="1:12" ht="22.5">
      <c r="A46" s="99"/>
      <c r="B46" s="99"/>
      <c r="C46" s="68" t="s">
        <v>350</v>
      </c>
      <c r="D46" s="63" t="e">
        <f>SUM(AI7:AI15)/24*100/9</f>
        <v>#REF!</v>
      </c>
      <c r="E46" s="65">
        <f>((9*25)-(7+8+4+16+12+18+10+20+18))/25*100/9</f>
        <v>49.777777777777786</v>
      </c>
      <c r="F46" s="1"/>
      <c r="H46" s="74"/>
      <c r="I46" s="74"/>
      <c r="J46" s="76"/>
      <c r="K46" s="77"/>
      <c r="L46" s="77"/>
    </row>
    <row r="47" spans="1:12" ht="22.5">
      <c r="A47" s="99"/>
      <c r="B47" s="100" t="s">
        <v>1</v>
      </c>
      <c r="C47" s="68" t="s">
        <v>348</v>
      </c>
      <c r="D47" s="63" t="e">
        <f>SUM(AN8:AN11,AN13:AN16,AN18:AN21)/25*100/12</f>
        <v>#REF!</v>
      </c>
      <c r="E47" s="65">
        <f>((4*25)-(8+14+20+20))/25*100/4</f>
        <v>38</v>
      </c>
      <c r="F47" s="1"/>
      <c r="H47" s="74"/>
      <c r="I47" s="75"/>
      <c r="J47" s="76"/>
      <c r="K47" s="77"/>
      <c r="L47" s="77"/>
    </row>
    <row r="48" spans="1:12" ht="22.5">
      <c r="A48" s="99"/>
      <c r="B48" s="100"/>
      <c r="C48" s="68" t="s">
        <v>194</v>
      </c>
      <c r="D48" s="63" t="e">
        <f>SUM(AO8:AO11,AO13:AO16,AO18:AO21)/25*100/12</f>
        <v>#REF!</v>
      </c>
      <c r="E48" s="65">
        <f>((4*25)-(13+12+17+19))/25*100/4</f>
        <v>39</v>
      </c>
      <c r="F48" s="1"/>
      <c r="H48" s="74"/>
      <c r="I48" s="75"/>
      <c r="J48" s="76"/>
      <c r="K48" s="77"/>
      <c r="L48" s="77"/>
    </row>
    <row r="49" spans="1:12" ht="22.5">
      <c r="A49" s="99"/>
      <c r="B49" s="100"/>
      <c r="C49" s="68" t="s">
        <v>349</v>
      </c>
      <c r="D49" s="63" t="e">
        <f>SUM(AP8:AP11,AP13:AP16,AP18:AP21)/25*100/12</f>
        <v>#REF!</v>
      </c>
      <c r="E49" s="65">
        <f>((4*25)-(4+9+16+18))/25*100/4</f>
        <v>53</v>
      </c>
      <c r="F49" s="1"/>
      <c r="H49" s="74"/>
      <c r="I49" s="75"/>
      <c r="J49" s="76"/>
      <c r="K49" s="77"/>
      <c r="L49" s="77"/>
    </row>
    <row r="50" spans="1:12" ht="22.5">
      <c r="A50" s="99"/>
      <c r="B50" s="100"/>
      <c r="C50" s="68" t="s">
        <v>350</v>
      </c>
      <c r="D50" s="63" t="e">
        <f>SUM(AQ8:AQ11,AQ13:AQ16,AQ18:AQ21)/24*100/12</f>
        <v>#REF!</v>
      </c>
      <c r="E50" s="65">
        <f>((4*25)-(8+15+15+21))/25*100/4</f>
        <v>41</v>
      </c>
      <c r="F50" s="1"/>
      <c r="H50" s="74"/>
      <c r="I50" s="75"/>
      <c r="J50" s="76"/>
      <c r="K50" s="77"/>
      <c r="L50" s="77"/>
    </row>
    <row r="51" spans="1:12">
      <c r="H51" s="33"/>
      <c r="I51" s="33"/>
      <c r="J51" s="33"/>
      <c r="K51" s="33"/>
      <c r="L51" s="33"/>
    </row>
    <row r="52" spans="1:12">
      <c r="H52" s="33"/>
      <c r="I52" s="33"/>
      <c r="J52" s="33"/>
      <c r="K52" s="33"/>
      <c r="L52" s="33"/>
    </row>
    <row r="53" spans="1:12">
      <c r="H53" s="33"/>
      <c r="I53" s="33"/>
      <c r="J53" s="33"/>
      <c r="K53" s="33"/>
      <c r="L53" s="33"/>
    </row>
    <row r="54" spans="1:12">
      <c r="H54" s="33"/>
      <c r="I54" s="33"/>
      <c r="J54" s="33"/>
      <c r="K54" s="33"/>
      <c r="L54" s="33"/>
    </row>
  </sheetData>
  <mergeCells count="40">
    <mergeCell ref="I7:O7"/>
    <mergeCell ref="I12:O12"/>
    <mergeCell ref="A1:O1"/>
    <mergeCell ref="A2:O2"/>
    <mergeCell ref="A3:O3"/>
    <mergeCell ref="A5:G5"/>
    <mergeCell ref="I5:O5"/>
    <mergeCell ref="N6:O6"/>
    <mergeCell ref="F6:G6"/>
    <mergeCell ref="AM17:AS17"/>
    <mergeCell ref="X12:AD12"/>
    <mergeCell ref="AM12:AS12"/>
    <mergeCell ref="X7:AD7"/>
    <mergeCell ref="AM7:AS7"/>
    <mergeCell ref="U6:V6"/>
    <mergeCell ref="AC6:AD6"/>
    <mergeCell ref="AJ6:AK6"/>
    <mergeCell ref="AR6:AS6"/>
    <mergeCell ref="P5:V5"/>
    <mergeCell ref="X5:AD5"/>
    <mergeCell ref="AE5:AK5"/>
    <mergeCell ref="AM5:AS5"/>
    <mergeCell ref="P3:AD3"/>
    <mergeCell ref="AE3:AS3"/>
    <mergeCell ref="P2:AD2"/>
    <mergeCell ref="AE2:AS2"/>
    <mergeCell ref="P1:AD1"/>
    <mergeCell ref="AE1:AS1"/>
    <mergeCell ref="A43:A50"/>
    <mergeCell ref="B27:B30"/>
    <mergeCell ref="B31:B34"/>
    <mergeCell ref="A26:A34"/>
    <mergeCell ref="A35:A42"/>
    <mergeCell ref="B35:B38"/>
    <mergeCell ref="B39:B42"/>
    <mergeCell ref="H27:H31"/>
    <mergeCell ref="H32:H36"/>
    <mergeCell ref="H37:H42"/>
    <mergeCell ref="B43:B46"/>
    <mergeCell ref="B47:B50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23"/>
  <dimension ref="A1:AG47"/>
  <sheetViews>
    <sheetView topLeftCell="A22" zoomScale="70" zoomScaleNormal="70" workbookViewId="0">
      <selection activeCell="K40" sqref="K40"/>
    </sheetView>
  </sheetViews>
  <sheetFormatPr defaultRowHeight="19.5"/>
  <cols>
    <col min="1" max="1" width="9.25" style="5" customWidth="1"/>
    <col min="2" max="5" width="5.875" style="5" customWidth="1"/>
    <col min="6" max="6" width="6" style="1" customWidth="1"/>
    <col min="7" max="7" width="4.5" style="1" customWidth="1"/>
    <col min="8" max="11" width="5.75" style="1" customWidth="1"/>
    <col min="12" max="12" width="9.375" style="5" customWidth="1"/>
    <col min="13" max="16" width="5.25" style="5" customWidth="1"/>
    <col min="17" max="17" width="3.875" style="1" customWidth="1"/>
    <col min="18" max="18" width="11" style="1" customWidth="1"/>
    <col min="19" max="22" width="5.25" style="1" customWidth="1"/>
    <col min="23" max="23" width="10.75" style="5" customWidth="1"/>
    <col min="24" max="27" width="5.125" style="5" customWidth="1"/>
    <col min="28" max="28" width="3.875" style="1" customWidth="1"/>
    <col min="29" max="29" width="10.875" style="1" customWidth="1"/>
    <col min="30" max="33" width="5.125" style="1" customWidth="1"/>
    <col min="34" max="16384" width="9" style="1"/>
  </cols>
  <sheetData>
    <row r="1" spans="1:33">
      <c r="A1" s="102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 t="s">
        <v>2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 t="s">
        <v>2</v>
      </c>
      <c r="X1" s="102"/>
      <c r="Y1" s="102"/>
      <c r="Z1" s="102"/>
      <c r="AA1" s="102"/>
      <c r="AB1" s="102"/>
      <c r="AC1" s="102"/>
      <c r="AD1" s="102"/>
      <c r="AE1" s="102"/>
      <c r="AF1" s="102"/>
      <c r="AG1" s="102"/>
    </row>
    <row r="2" spans="1:33">
      <c r="A2" s="102" t="s">
        <v>83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 t="s">
        <v>84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 t="s">
        <v>112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3">
      <c r="A3" s="101" t="s">
        <v>167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 t="s">
        <v>167</v>
      </c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 t="s">
        <v>167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21" customHeight="1"/>
    <row r="5" spans="1:33">
      <c r="A5" s="104" t="s">
        <v>159</v>
      </c>
      <c r="B5" s="104"/>
      <c r="C5" s="104"/>
      <c r="D5" s="104"/>
      <c r="E5" s="104"/>
      <c r="F5" s="2"/>
      <c r="G5" s="104" t="s">
        <v>160</v>
      </c>
      <c r="H5" s="104"/>
      <c r="I5" s="104"/>
      <c r="J5" s="104"/>
      <c r="K5" s="104"/>
      <c r="L5" s="104" t="s">
        <v>159</v>
      </c>
      <c r="M5" s="104"/>
      <c r="N5" s="104"/>
      <c r="O5" s="104"/>
      <c r="P5" s="104"/>
      <c r="Q5" s="2"/>
      <c r="R5" s="104" t="s">
        <v>160</v>
      </c>
      <c r="S5" s="104"/>
      <c r="T5" s="104"/>
      <c r="U5" s="104"/>
      <c r="V5" s="104"/>
      <c r="W5" s="104" t="s">
        <v>159</v>
      </c>
      <c r="X5" s="104"/>
      <c r="Y5" s="104"/>
      <c r="Z5" s="104"/>
      <c r="AA5" s="104"/>
      <c r="AB5" s="2"/>
      <c r="AC5" s="104" t="s">
        <v>160</v>
      </c>
      <c r="AD5" s="104"/>
      <c r="AE5" s="104"/>
      <c r="AF5" s="104"/>
      <c r="AG5" s="104"/>
    </row>
    <row r="6" spans="1:33" ht="58.5" customHeight="1">
      <c r="A6" s="50" t="s">
        <v>204</v>
      </c>
      <c r="B6" s="50" t="s">
        <v>175</v>
      </c>
      <c r="C6" s="50" t="s">
        <v>176</v>
      </c>
      <c r="D6" s="50" t="s">
        <v>177</v>
      </c>
      <c r="E6" s="50" t="s">
        <v>178</v>
      </c>
      <c r="F6" s="2"/>
      <c r="G6" s="46"/>
      <c r="H6" s="50" t="s">
        <v>175</v>
      </c>
      <c r="I6" s="50" t="s">
        <v>176</v>
      </c>
      <c r="J6" s="50" t="s">
        <v>177</v>
      </c>
      <c r="K6" s="50" t="s">
        <v>178</v>
      </c>
      <c r="L6" s="50" t="s">
        <v>161</v>
      </c>
      <c r="M6" s="50" t="s">
        <v>175</v>
      </c>
      <c r="N6" s="50" t="s">
        <v>176</v>
      </c>
      <c r="O6" s="50" t="s">
        <v>177</v>
      </c>
      <c r="P6" s="50" t="s">
        <v>178</v>
      </c>
      <c r="Q6" s="2"/>
      <c r="R6" s="46"/>
      <c r="S6" s="50" t="s">
        <v>175</v>
      </c>
      <c r="T6" s="50" t="s">
        <v>361</v>
      </c>
      <c r="U6" s="50" t="s">
        <v>177</v>
      </c>
      <c r="V6" s="50" t="s">
        <v>178</v>
      </c>
      <c r="W6" s="50" t="s">
        <v>161</v>
      </c>
      <c r="X6" s="50" t="s">
        <v>175</v>
      </c>
      <c r="Y6" s="50" t="s">
        <v>176</v>
      </c>
      <c r="Z6" s="50" t="s">
        <v>177</v>
      </c>
      <c r="AA6" s="50" t="s">
        <v>178</v>
      </c>
      <c r="AB6" s="2"/>
      <c r="AC6" s="46"/>
      <c r="AD6" s="50" t="s">
        <v>175</v>
      </c>
      <c r="AE6" s="50" t="s">
        <v>176</v>
      </c>
      <c r="AF6" s="50" t="s">
        <v>177</v>
      </c>
      <c r="AG6" s="50" t="s">
        <v>178</v>
      </c>
    </row>
    <row r="7" spans="1:33" s="37" customFormat="1" ht="30" customHeight="1">
      <c r="A7" s="48" t="s">
        <v>85</v>
      </c>
      <c r="B7" s="9" t="e">
        <f>#REF!</f>
        <v>#REF!</v>
      </c>
      <c r="C7" s="9" t="e">
        <f>#REF!</f>
        <v>#REF!</v>
      </c>
      <c r="D7" s="9" t="e">
        <f>#REF!</f>
        <v>#REF!</v>
      </c>
      <c r="E7" s="9" t="e">
        <f>#REF!</f>
        <v>#REF!</v>
      </c>
      <c r="F7" s="10"/>
      <c r="G7" s="107" t="s">
        <v>37</v>
      </c>
      <c r="H7" s="107"/>
      <c r="I7" s="107"/>
      <c r="J7" s="107"/>
      <c r="K7" s="107"/>
      <c r="L7" s="48" t="s">
        <v>103</v>
      </c>
      <c r="M7" s="9" t="e">
        <f>#REF!</f>
        <v>#REF!</v>
      </c>
      <c r="N7" s="9" t="e">
        <f>#REF!</f>
        <v>#REF!</v>
      </c>
      <c r="O7" s="9" t="e">
        <f>#REF!</f>
        <v>#REF!</v>
      </c>
      <c r="P7" s="9" t="e">
        <f>#REF!</f>
        <v>#REF!</v>
      </c>
      <c r="Q7" s="10"/>
      <c r="R7" s="105" t="s">
        <v>37</v>
      </c>
      <c r="S7" s="105"/>
      <c r="T7" s="105"/>
      <c r="U7" s="105"/>
      <c r="V7" s="105"/>
      <c r="W7" s="49" t="s">
        <v>234</v>
      </c>
      <c r="X7" s="9" t="e">
        <f>#REF!</f>
        <v>#REF!</v>
      </c>
      <c r="Y7" s="9" t="e">
        <f>#REF!</f>
        <v>#REF!</v>
      </c>
      <c r="Z7" s="15" t="e">
        <f>#REF!</f>
        <v>#REF!</v>
      </c>
      <c r="AA7" s="9" t="e">
        <f>#REF!</f>
        <v>#REF!</v>
      </c>
      <c r="AB7" s="10"/>
      <c r="AC7" s="105" t="s">
        <v>37</v>
      </c>
      <c r="AD7" s="105"/>
      <c r="AE7" s="105"/>
      <c r="AF7" s="105"/>
      <c r="AG7" s="105"/>
    </row>
    <row r="8" spans="1:33" s="37" customFormat="1" ht="30" customHeight="1">
      <c r="A8" s="48" t="s">
        <v>86</v>
      </c>
      <c r="B8" s="9" t="e">
        <f>#REF!</f>
        <v>#REF!</v>
      </c>
      <c r="C8" s="9" t="e">
        <f>#REF!</f>
        <v>#REF!</v>
      </c>
      <c r="D8" s="9" t="e">
        <f>#REF!</f>
        <v>#REF!</v>
      </c>
      <c r="E8" s="9" t="e">
        <f>#REF!</f>
        <v>#REF!</v>
      </c>
      <c r="F8" s="10"/>
      <c r="G8" s="49" t="s">
        <v>99</v>
      </c>
      <c r="H8" s="9" t="e">
        <f>#REF!</f>
        <v>#REF!</v>
      </c>
      <c r="I8" s="9" t="e">
        <f>#REF!</f>
        <v>#REF!</v>
      </c>
      <c r="J8" s="15" t="e">
        <f>#REF!</f>
        <v>#REF!</v>
      </c>
      <c r="K8" s="9" t="e">
        <f>#REF!</f>
        <v>#REF!</v>
      </c>
      <c r="L8" s="48" t="s">
        <v>65</v>
      </c>
      <c r="M8" s="9" t="e">
        <f>#REF!</f>
        <v>#REF!</v>
      </c>
      <c r="N8" s="9" t="e">
        <f>#REF!</f>
        <v>#REF!</v>
      </c>
      <c r="O8" s="9" t="e">
        <f>#REF!</f>
        <v>#REF!</v>
      </c>
      <c r="P8" s="9" t="e">
        <f>#REF!</f>
        <v>#REF!</v>
      </c>
      <c r="Q8" s="10"/>
      <c r="R8" s="48" t="s">
        <v>105</v>
      </c>
      <c r="S8" s="9" t="e">
        <f>#REF!</f>
        <v>#REF!</v>
      </c>
      <c r="T8" s="9" t="e">
        <f>#REF!</f>
        <v>#REF!</v>
      </c>
      <c r="U8" s="9" t="e">
        <f>#REF!</f>
        <v>#REF!</v>
      </c>
      <c r="V8" s="9" t="e">
        <f>#REF!</f>
        <v>#REF!</v>
      </c>
      <c r="W8" s="48" t="s">
        <v>235</v>
      </c>
      <c r="X8" s="9" t="e">
        <f>#REF!</f>
        <v>#REF!</v>
      </c>
      <c r="Y8" s="9" t="e">
        <f>#REF!</f>
        <v>#REF!</v>
      </c>
      <c r="Z8" s="9" t="e">
        <f>#REF!</f>
        <v>#REF!</v>
      </c>
      <c r="AA8" s="9" t="e">
        <f>#REF!</f>
        <v>#REF!</v>
      </c>
      <c r="AB8" s="10"/>
      <c r="AC8" s="49" t="s">
        <v>108</v>
      </c>
      <c r="AD8" s="15" t="e">
        <f>#REF!</f>
        <v>#REF!</v>
      </c>
      <c r="AE8" s="9" t="e">
        <f>#REF!</f>
        <v>#REF!</v>
      </c>
      <c r="AF8" s="15" t="e">
        <f>#REF!</f>
        <v>#REF!</v>
      </c>
      <c r="AG8" s="15" t="e">
        <f>#REF!</f>
        <v>#REF!</v>
      </c>
    </row>
    <row r="9" spans="1:33" s="37" customFormat="1" ht="30" customHeight="1">
      <c r="A9" s="49" t="s">
        <v>87</v>
      </c>
      <c r="B9" s="9" t="e">
        <f>#REF!</f>
        <v>#REF!</v>
      </c>
      <c r="C9" s="9" t="e">
        <f>#REF!</f>
        <v>#REF!</v>
      </c>
      <c r="D9" s="15" t="e">
        <f>#REF!</f>
        <v>#REF!</v>
      </c>
      <c r="E9" s="9" t="e">
        <f>#REF!</f>
        <v>#REF!</v>
      </c>
      <c r="F9" s="10"/>
      <c r="G9" s="48" t="s">
        <v>100</v>
      </c>
      <c r="H9" s="9" t="e">
        <f>#REF!</f>
        <v>#REF!</v>
      </c>
      <c r="I9" s="9" t="e">
        <f>#REF!</f>
        <v>#REF!</v>
      </c>
      <c r="J9" s="9" t="e">
        <f>#REF!</f>
        <v>#REF!</v>
      </c>
      <c r="K9" s="9" t="e">
        <f>#REF!</f>
        <v>#REF!</v>
      </c>
      <c r="L9" s="48" t="s">
        <v>104</v>
      </c>
      <c r="M9" s="9" t="e">
        <f>#REF!</f>
        <v>#REF!</v>
      </c>
      <c r="N9" s="9" t="e">
        <f>#REF!</f>
        <v>#REF!</v>
      </c>
      <c r="O9" s="9" t="e">
        <f>#REF!</f>
        <v>#REF!</v>
      </c>
      <c r="P9" s="9" t="e">
        <f>#REF!</f>
        <v>#REF!</v>
      </c>
      <c r="Q9" s="10"/>
      <c r="R9" s="48" t="s">
        <v>106</v>
      </c>
      <c r="S9" s="9" t="e">
        <f>#REF!</f>
        <v>#REF!</v>
      </c>
      <c r="T9" s="9" t="e">
        <f>#REF!</f>
        <v>#REF!</v>
      </c>
      <c r="U9" s="9" t="e">
        <f>#REF!</f>
        <v>#REF!</v>
      </c>
      <c r="V9" s="9" t="e">
        <f>#REF!</f>
        <v>#REF!</v>
      </c>
      <c r="W9" s="49" t="s">
        <v>66</v>
      </c>
      <c r="X9" s="9" t="e">
        <f>#REF!</f>
        <v>#REF!</v>
      </c>
      <c r="Y9" s="9" t="e">
        <f>#REF!</f>
        <v>#REF!</v>
      </c>
      <c r="Z9" s="15" t="e">
        <f>#REF!</f>
        <v>#REF!</v>
      </c>
      <c r="AA9" s="9" t="e">
        <f>#REF!</f>
        <v>#REF!</v>
      </c>
      <c r="AB9" s="10"/>
      <c r="AC9" s="48" t="s">
        <v>109</v>
      </c>
      <c r="AD9" s="9" t="e">
        <f>#REF!</f>
        <v>#REF!</v>
      </c>
      <c r="AE9" s="9" t="e">
        <f>#REF!</f>
        <v>#REF!</v>
      </c>
      <c r="AF9" s="9" t="e">
        <f>#REF!</f>
        <v>#REF!</v>
      </c>
      <c r="AG9" s="9" t="e">
        <f>#REF!</f>
        <v>#REF!</v>
      </c>
    </row>
    <row r="10" spans="1:33" s="37" customFormat="1" ht="30" customHeight="1">
      <c r="A10" s="48" t="s">
        <v>88</v>
      </c>
      <c r="B10" s="9" t="e">
        <f>#REF!</f>
        <v>#REF!</v>
      </c>
      <c r="C10" s="9" t="e">
        <f>#REF!</f>
        <v>#REF!</v>
      </c>
      <c r="D10" s="9" t="e">
        <f>#REF!</f>
        <v>#REF!</v>
      </c>
      <c r="E10" s="9" t="e">
        <f>#REF!</f>
        <v>#REF!</v>
      </c>
      <c r="F10" s="10"/>
      <c r="G10" s="48" t="s">
        <v>101</v>
      </c>
      <c r="H10" s="9" t="e">
        <f>#REF!</f>
        <v>#REF!</v>
      </c>
      <c r="I10" s="9" t="e">
        <f>#REF!</f>
        <v>#REF!</v>
      </c>
      <c r="J10" s="9" t="e">
        <f>#REF!</f>
        <v>#REF!</v>
      </c>
      <c r="K10" s="9" t="e">
        <f>#REF!</f>
        <v>#REF!</v>
      </c>
      <c r="L10" s="48" t="s">
        <v>16</v>
      </c>
      <c r="M10" s="9" t="e">
        <f>#REF!</f>
        <v>#REF!</v>
      </c>
      <c r="N10" s="9" t="e">
        <f>#REF!</f>
        <v>#REF!</v>
      </c>
      <c r="O10" s="9" t="e">
        <f>#REF!</f>
        <v>#REF!</v>
      </c>
      <c r="P10" s="9" t="e">
        <f>#REF!</f>
        <v>#REF!</v>
      </c>
      <c r="Q10" s="10"/>
      <c r="R10" s="48" t="s">
        <v>107</v>
      </c>
      <c r="S10" s="9" t="e">
        <f>#REF!</f>
        <v>#REF!</v>
      </c>
      <c r="T10" s="9" t="e">
        <f>#REF!</f>
        <v>#REF!</v>
      </c>
      <c r="U10" s="9" t="e">
        <f>#REF!</f>
        <v>#REF!</v>
      </c>
      <c r="V10" s="9" t="e">
        <f>#REF!</f>
        <v>#REF!</v>
      </c>
      <c r="W10" s="48" t="s">
        <v>113</v>
      </c>
      <c r="X10" s="9" t="e">
        <f>#REF!</f>
        <v>#REF!</v>
      </c>
      <c r="Y10" s="9" t="e">
        <f>#REF!</f>
        <v>#REF!</v>
      </c>
      <c r="Z10" s="9" t="e">
        <f>#REF!</f>
        <v>#REF!</v>
      </c>
      <c r="AA10" s="9" t="e">
        <f>#REF!</f>
        <v>#REF!</v>
      </c>
      <c r="AB10" s="10"/>
      <c r="AC10" s="49" t="s">
        <v>110</v>
      </c>
      <c r="AD10" s="9" t="e">
        <f>#REF!</f>
        <v>#REF!</v>
      </c>
      <c r="AE10" s="9" t="e">
        <f>#REF!</f>
        <v>#REF!</v>
      </c>
      <c r="AF10" s="15" t="e">
        <f>#REF!</f>
        <v>#REF!</v>
      </c>
      <c r="AG10" s="9" t="e">
        <f>#REF!</f>
        <v>#REF!</v>
      </c>
    </row>
    <row r="11" spans="1:33" s="37" customFormat="1" ht="30" customHeight="1">
      <c r="A11" s="48" t="s">
        <v>89</v>
      </c>
      <c r="B11" s="9" t="e">
        <f>#REF!</f>
        <v>#REF!</v>
      </c>
      <c r="C11" s="9" t="e">
        <f>#REF!</f>
        <v>#REF!</v>
      </c>
      <c r="D11" s="9" t="e">
        <f>#REF!</f>
        <v>#REF!</v>
      </c>
      <c r="E11" s="9" t="e">
        <f>#REF!</f>
        <v>#REF!</v>
      </c>
      <c r="F11" s="10"/>
      <c r="G11" s="49" t="s">
        <v>102</v>
      </c>
      <c r="H11" s="9" t="e">
        <f>#REF!</f>
        <v>#REF!</v>
      </c>
      <c r="I11" s="15" t="e">
        <f>#REF!</f>
        <v>#REF!</v>
      </c>
      <c r="J11" s="15" t="e">
        <f>#REF!</f>
        <v>#REF!</v>
      </c>
      <c r="K11" s="15" t="e">
        <f>#REF!</f>
        <v>#REF!</v>
      </c>
      <c r="L11" s="49" t="s">
        <v>29</v>
      </c>
      <c r="M11" s="9" t="e">
        <f>#REF!</f>
        <v>#REF!</v>
      </c>
      <c r="N11" s="9" t="e">
        <f>#REF!</f>
        <v>#REF!</v>
      </c>
      <c r="O11" s="9" t="e">
        <f>#REF!</f>
        <v>#REF!</v>
      </c>
      <c r="P11" s="15" t="e">
        <f>#REF!</f>
        <v>#REF!</v>
      </c>
      <c r="Q11" s="10"/>
      <c r="R11" s="105" t="s">
        <v>38</v>
      </c>
      <c r="S11" s="105"/>
      <c r="T11" s="105"/>
      <c r="U11" s="105"/>
      <c r="V11" s="105"/>
      <c r="W11" s="48" t="s">
        <v>241</v>
      </c>
      <c r="X11" s="9" t="e">
        <f>#REF!</f>
        <v>#REF!</v>
      </c>
      <c r="Y11" s="9" t="e">
        <f>#REF!</f>
        <v>#REF!</v>
      </c>
      <c r="Z11" s="9" t="e">
        <f>#REF!</f>
        <v>#REF!</v>
      </c>
      <c r="AA11" s="9" t="e">
        <f>#REF!</f>
        <v>#REF!</v>
      </c>
      <c r="AB11" s="10"/>
      <c r="AC11" s="49" t="s">
        <v>111</v>
      </c>
      <c r="AD11" s="15" t="e">
        <f>#REF!</f>
        <v>#REF!</v>
      </c>
      <c r="AE11" s="15" t="e">
        <f>#REF!</f>
        <v>#REF!</v>
      </c>
      <c r="AF11" s="15" t="e">
        <f>#REF!</f>
        <v>#REF!</v>
      </c>
      <c r="AG11" s="15" t="e">
        <f>#REF!</f>
        <v>#REF!</v>
      </c>
    </row>
    <row r="12" spans="1:33" s="37" customFormat="1" ht="30" customHeight="1">
      <c r="A12" s="49" t="s">
        <v>90</v>
      </c>
      <c r="B12" s="9" t="e">
        <f>#REF!</f>
        <v>#REF!</v>
      </c>
      <c r="C12" s="9" t="e">
        <f>#REF!</f>
        <v>#REF!</v>
      </c>
      <c r="D12" s="15" t="e">
        <f>#REF!</f>
        <v>#REF!</v>
      </c>
      <c r="E12" s="15" t="e">
        <f>#REF!</f>
        <v>#REF!</v>
      </c>
      <c r="F12" s="10"/>
      <c r="G12" s="107" t="s">
        <v>38</v>
      </c>
      <c r="H12" s="107"/>
      <c r="I12" s="107"/>
      <c r="J12" s="107"/>
      <c r="K12" s="107"/>
      <c r="L12" s="48" t="s">
        <v>25</v>
      </c>
      <c r="M12" s="9" t="e">
        <f>#REF!</f>
        <v>#REF!</v>
      </c>
      <c r="N12" s="9" t="e">
        <f>#REF!</f>
        <v>#REF!</v>
      </c>
      <c r="O12" s="9" t="e">
        <f>#REF!</f>
        <v>#REF!</v>
      </c>
      <c r="P12" s="9" t="e">
        <f>#REF!</f>
        <v>#REF!</v>
      </c>
      <c r="Q12" s="10"/>
      <c r="R12" s="48" t="s">
        <v>105</v>
      </c>
      <c r="S12" s="9" t="e">
        <f>#REF!</f>
        <v>#REF!</v>
      </c>
      <c r="T12" s="9" t="e">
        <f>#REF!</f>
        <v>#REF!</v>
      </c>
      <c r="U12" s="9" t="e">
        <f>#REF!</f>
        <v>#REF!</v>
      </c>
      <c r="V12" s="9" t="e">
        <f>#REF!</f>
        <v>#REF!</v>
      </c>
      <c r="W12" s="48" t="s">
        <v>242</v>
      </c>
      <c r="X12" s="9" t="e">
        <f>#REF!</f>
        <v>#REF!</v>
      </c>
      <c r="Y12" s="9" t="e">
        <f>#REF!</f>
        <v>#REF!</v>
      </c>
      <c r="Z12" s="9" t="e">
        <f>#REF!</f>
        <v>#REF!</v>
      </c>
      <c r="AA12" s="9" t="e">
        <f>#REF!</f>
        <v>#REF!</v>
      </c>
      <c r="AB12" s="10"/>
      <c r="AC12" s="108" t="s">
        <v>206</v>
      </c>
      <c r="AD12" s="109"/>
      <c r="AE12" s="109"/>
      <c r="AF12" s="109"/>
      <c r="AG12" s="110"/>
    </row>
    <row r="13" spans="1:33" s="37" customFormat="1" ht="30" customHeight="1">
      <c r="A13" s="48" t="s">
        <v>91</v>
      </c>
      <c r="B13" s="9" t="e">
        <f>#REF!</f>
        <v>#REF!</v>
      </c>
      <c r="C13" s="9" t="e">
        <f>#REF!</f>
        <v>#REF!</v>
      </c>
      <c r="D13" s="9" t="e">
        <f>#REF!</f>
        <v>#REF!</v>
      </c>
      <c r="E13" s="9" t="e">
        <f>#REF!</f>
        <v>#REF!</v>
      </c>
      <c r="F13" s="10"/>
      <c r="G13" s="48" t="s">
        <v>99</v>
      </c>
      <c r="H13" s="9" t="e">
        <f>#REF!</f>
        <v>#REF!</v>
      </c>
      <c r="I13" s="9" t="e">
        <f>#REF!</f>
        <v>#REF!</v>
      </c>
      <c r="J13" s="9" t="e">
        <f>#REF!</f>
        <v>#REF!</v>
      </c>
      <c r="K13" s="9" t="e">
        <f>#REF!</f>
        <v>#REF!</v>
      </c>
      <c r="L13" s="48" t="s">
        <v>26</v>
      </c>
      <c r="M13" s="9" t="e">
        <f>#REF!</f>
        <v>#REF!</v>
      </c>
      <c r="N13" s="9" t="e">
        <f>#REF!</f>
        <v>#REF!</v>
      </c>
      <c r="O13" s="9" t="e">
        <f>#REF!</f>
        <v>#REF!</v>
      </c>
      <c r="P13" s="9" t="e">
        <f>#REF!</f>
        <v>#REF!</v>
      </c>
      <c r="Q13" s="10"/>
      <c r="R13" s="105" t="s">
        <v>206</v>
      </c>
      <c r="S13" s="105"/>
      <c r="T13" s="105"/>
      <c r="U13" s="105"/>
      <c r="V13" s="105"/>
      <c r="W13" s="49" t="s">
        <v>243</v>
      </c>
      <c r="X13" s="9" t="e">
        <f>#REF!</f>
        <v>#REF!</v>
      </c>
      <c r="Y13" s="9" t="e">
        <f>#REF!</f>
        <v>#REF!</v>
      </c>
      <c r="Z13" s="15" t="e">
        <f>#REF!</f>
        <v>#REF!</v>
      </c>
      <c r="AA13" s="15" t="e">
        <f>#REF!</f>
        <v>#REF!</v>
      </c>
      <c r="AB13" s="10"/>
      <c r="AC13" s="39" t="s">
        <v>226</v>
      </c>
      <c r="AD13" s="15" t="e">
        <f>#REF!</f>
        <v>#REF!</v>
      </c>
      <c r="AE13" s="15" t="e">
        <f>#REF!</f>
        <v>#REF!</v>
      </c>
      <c r="AF13" s="15" t="e">
        <f>#REF!</f>
        <v>#REF!</v>
      </c>
      <c r="AG13" s="15" t="e">
        <f>#REF!</f>
        <v>#REF!</v>
      </c>
    </row>
    <row r="14" spans="1:33" s="37" customFormat="1" ht="30" customHeight="1">
      <c r="A14" s="48" t="s">
        <v>92</v>
      </c>
      <c r="B14" s="9" t="e">
        <f>#REF!</f>
        <v>#REF!</v>
      </c>
      <c r="C14" s="9" t="e">
        <f>#REF!</f>
        <v>#REF!</v>
      </c>
      <c r="D14" s="9" t="e">
        <f>#REF!</f>
        <v>#REF!</v>
      </c>
      <c r="E14" s="9" t="e">
        <f>#REF!</f>
        <v>#REF!</v>
      </c>
      <c r="F14" s="10"/>
      <c r="G14" s="48" t="s">
        <v>100</v>
      </c>
      <c r="H14" s="9" t="e">
        <f>#REF!</f>
        <v>#REF!</v>
      </c>
      <c r="I14" s="9" t="e">
        <f>#REF!</f>
        <v>#REF!</v>
      </c>
      <c r="J14" s="9" t="e">
        <f>#REF!</f>
        <v>#REF!</v>
      </c>
      <c r="K14" s="9" t="e">
        <f>#REF!</f>
        <v>#REF!</v>
      </c>
      <c r="L14" s="48" t="s">
        <v>53</v>
      </c>
      <c r="M14" s="9" t="e">
        <f>#REF!</f>
        <v>#REF!</v>
      </c>
      <c r="N14" s="9" t="e">
        <f>#REF!</f>
        <v>#REF!</v>
      </c>
      <c r="O14" s="9" t="e">
        <f>#REF!</f>
        <v>#REF!</v>
      </c>
      <c r="P14" s="9" t="e">
        <f>#REF!</f>
        <v>#REF!</v>
      </c>
      <c r="Q14" s="10"/>
      <c r="R14" s="49" t="s">
        <v>210</v>
      </c>
      <c r="S14" s="9" t="e">
        <f>#REF!</f>
        <v>#REF!</v>
      </c>
      <c r="T14" s="9" t="e">
        <f>#REF!</f>
        <v>#REF!</v>
      </c>
      <c r="U14" s="15" t="e">
        <f>#REF!</f>
        <v>#REF!</v>
      </c>
      <c r="V14" s="9" t="e">
        <f>#REF!</f>
        <v>#REF!</v>
      </c>
      <c r="W14" s="48" t="s">
        <v>244</v>
      </c>
      <c r="X14" s="9" t="e">
        <f>#REF!</f>
        <v>#REF!</v>
      </c>
      <c r="Y14" s="9" t="e">
        <f>#REF!</f>
        <v>#REF!</v>
      </c>
      <c r="Z14" s="9" t="e">
        <f>#REF!</f>
        <v>#REF!</v>
      </c>
      <c r="AA14" s="9" t="e">
        <f>#REF!</f>
        <v>#REF!</v>
      </c>
      <c r="AB14" s="10"/>
      <c r="AC14" s="39" t="s">
        <v>227</v>
      </c>
      <c r="AD14" s="15" t="e">
        <f>#REF!</f>
        <v>#REF!</v>
      </c>
      <c r="AE14" s="15" t="e">
        <f>#REF!</f>
        <v>#REF!</v>
      </c>
      <c r="AF14" s="15" t="e">
        <f>#REF!</f>
        <v>#REF!</v>
      </c>
      <c r="AG14" s="15" t="e">
        <f>#REF!</f>
        <v>#REF!</v>
      </c>
    </row>
    <row r="15" spans="1:33" s="37" customFormat="1" ht="30" customHeight="1">
      <c r="A15" s="48" t="s">
        <v>93</v>
      </c>
      <c r="B15" s="9" t="e">
        <f>#REF!</f>
        <v>#REF!</v>
      </c>
      <c r="C15" s="9" t="e">
        <f>#REF!</f>
        <v>#REF!</v>
      </c>
      <c r="D15" s="9" t="e">
        <f>#REF!</f>
        <v>#REF!</v>
      </c>
      <c r="E15" s="9" t="e">
        <f>#REF!</f>
        <v>#REF!</v>
      </c>
      <c r="F15" s="10"/>
      <c r="G15" s="49" t="s">
        <v>101</v>
      </c>
      <c r="H15" s="9" t="e">
        <f>#REF!</f>
        <v>#REF!</v>
      </c>
      <c r="I15" s="9" t="e">
        <f>#REF!</f>
        <v>#REF!</v>
      </c>
      <c r="J15" s="15" t="e">
        <f>#REF!</f>
        <v>#REF!</v>
      </c>
      <c r="K15" s="9" t="e">
        <f>#REF!</f>
        <v>#REF!</v>
      </c>
      <c r="L15" s="48" t="s">
        <v>31</v>
      </c>
      <c r="M15" s="9" t="e">
        <f>#REF!</f>
        <v>#REF!</v>
      </c>
      <c r="N15" s="9" t="e">
        <f>#REF!</f>
        <v>#REF!</v>
      </c>
      <c r="O15" s="9" t="e">
        <f>#REF!</f>
        <v>#REF!</v>
      </c>
      <c r="P15" s="9" t="e">
        <f>#REF!</f>
        <v>#REF!</v>
      </c>
      <c r="Q15" s="10"/>
      <c r="R15" s="30" t="s">
        <v>211</v>
      </c>
      <c r="S15" s="15" t="e">
        <f>#REF!</f>
        <v>#REF!</v>
      </c>
      <c r="T15" s="15" t="e">
        <f>#REF!</f>
        <v>#REF!</v>
      </c>
      <c r="U15" s="15" t="e">
        <f>#REF!</f>
        <v>#REF!</v>
      </c>
      <c r="V15" s="15" t="e">
        <f>#REF!</f>
        <v>#REF!</v>
      </c>
      <c r="W15" s="13"/>
      <c r="X15" s="12"/>
      <c r="Y15" s="12"/>
      <c r="Z15" s="12"/>
      <c r="AA15" s="12"/>
      <c r="AB15" s="21"/>
      <c r="AC15" s="39" t="s">
        <v>141</v>
      </c>
      <c r="AD15" s="15" t="e">
        <f>#REF!</f>
        <v>#REF!</v>
      </c>
      <c r="AE15" s="9" t="e">
        <f>#REF!</f>
        <v>#REF!</v>
      </c>
      <c r="AF15" s="15" t="e">
        <f>#REF!</f>
        <v>#REF!</v>
      </c>
      <c r="AG15" s="15" t="e">
        <f>#REF!</f>
        <v>#REF!</v>
      </c>
    </row>
    <row r="16" spans="1:33" s="37" customFormat="1" ht="30" customHeight="1">
      <c r="A16" s="49" t="s">
        <v>71</v>
      </c>
      <c r="B16" s="9" t="e">
        <f>#REF!</f>
        <v>#REF!</v>
      </c>
      <c r="C16" s="9" t="e">
        <f>#REF!</f>
        <v>#REF!</v>
      </c>
      <c r="D16" s="9" t="e">
        <f>#REF!</f>
        <v>#REF!</v>
      </c>
      <c r="E16" s="15" t="e">
        <f>#REF!</f>
        <v>#REF!</v>
      </c>
      <c r="F16" s="10"/>
      <c r="G16" s="13"/>
      <c r="H16" s="12"/>
      <c r="I16" s="12"/>
      <c r="J16" s="12"/>
      <c r="K16" s="12"/>
      <c r="L16" s="49" t="s">
        <v>58</v>
      </c>
      <c r="M16" s="9" t="e">
        <f>#REF!</f>
        <v>#REF!</v>
      </c>
      <c r="N16" s="9" t="e">
        <f>#REF!</f>
        <v>#REF!</v>
      </c>
      <c r="O16" s="15" t="e">
        <f>#REF!</f>
        <v>#REF!</v>
      </c>
      <c r="P16" s="15" t="e">
        <f>#REF!</f>
        <v>#REF!</v>
      </c>
      <c r="Q16" s="10"/>
      <c r="R16" s="49" t="s">
        <v>207</v>
      </c>
      <c r="S16" s="9" t="e">
        <f>#REF!</f>
        <v>#REF!</v>
      </c>
      <c r="T16" s="9" t="e">
        <f>#REF!</f>
        <v>#REF!</v>
      </c>
      <c r="U16" s="15" t="e">
        <f>#REF!</f>
        <v>#REF!</v>
      </c>
      <c r="V16" s="9" t="e">
        <f>#REF!</f>
        <v>#REF!</v>
      </c>
      <c r="W16" s="11"/>
      <c r="X16" s="14"/>
      <c r="Y16" s="14"/>
      <c r="Z16" s="14"/>
      <c r="AA16" s="14"/>
      <c r="AB16" s="21"/>
      <c r="AC16" s="32" t="s">
        <v>53</v>
      </c>
      <c r="AD16" s="9" t="e">
        <f>#REF!</f>
        <v>#REF!</v>
      </c>
      <c r="AE16" s="9" t="e">
        <f>#REF!</f>
        <v>#REF!</v>
      </c>
      <c r="AF16" s="9" t="e">
        <f>#REF!</f>
        <v>#REF!</v>
      </c>
      <c r="AG16" s="9" t="e">
        <f>#REF!</f>
        <v>#REF!</v>
      </c>
    </row>
    <row r="17" spans="1:33" s="37" customFormat="1" ht="30" customHeight="1">
      <c r="A17" s="49" t="s">
        <v>94</v>
      </c>
      <c r="B17" s="9" t="e">
        <f>#REF!</f>
        <v>#REF!</v>
      </c>
      <c r="C17" s="9" t="e">
        <f>#REF!</f>
        <v>#REF!</v>
      </c>
      <c r="D17" s="15" t="e">
        <f>#REF!</f>
        <v>#REF!</v>
      </c>
      <c r="E17" s="15" t="e">
        <f>#REF!</f>
        <v>#REF!</v>
      </c>
      <c r="F17" s="10"/>
      <c r="G17" s="21"/>
      <c r="H17" s="21"/>
      <c r="I17" s="21"/>
      <c r="J17" s="21"/>
      <c r="K17" s="21"/>
      <c r="L17" s="48" t="s">
        <v>57</v>
      </c>
      <c r="M17" s="9" t="e">
        <f>#REF!</f>
        <v>#REF!</v>
      </c>
      <c r="N17" s="9" t="e">
        <f>#REF!</f>
        <v>#REF!</v>
      </c>
      <c r="O17" s="9" t="e">
        <f>#REF!</f>
        <v>#REF!</v>
      </c>
      <c r="P17" s="9" t="e">
        <f>#REF!</f>
        <v>#REF!</v>
      </c>
      <c r="Q17" s="10"/>
      <c r="R17" s="49" t="s">
        <v>208</v>
      </c>
      <c r="S17" s="15" t="e">
        <f>#REF!</f>
        <v>#REF!</v>
      </c>
      <c r="T17" s="15" t="e">
        <f>#REF!</f>
        <v>#REF!</v>
      </c>
      <c r="U17" s="15" t="e">
        <f>#REF!</f>
        <v>#REF!</v>
      </c>
      <c r="V17" s="15" t="e">
        <f>#REF!</f>
        <v>#REF!</v>
      </c>
      <c r="W17" s="11"/>
      <c r="X17" s="14"/>
      <c r="Y17" s="14"/>
      <c r="Z17" s="14"/>
      <c r="AA17" s="14"/>
      <c r="AB17" s="21"/>
      <c r="AC17" s="39" t="s">
        <v>228</v>
      </c>
      <c r="AD17" s="9" t="e">
        <f>#REF!</f>
        <v>#REF!</v>
      </c>
      <c r="AE17" s="15" t="e">
        <f>#REF!</f>
        <v>#REF!</v>
      </c>
      <c r="AF17" s="15" t="e">
        <f>#REF!</f>
        <v>#REF!</v>
      </c>
      <c r="AG17" s="15" t="e">
        <f>#REF!</f>
        <v>#REF!</v>
      </c>
    </row>
    <row r="18" spans="1:33" s="37" customFormat="1" ht="30" customHeight="1">
      <c r="A18" s="48" t="s">
        <v>95</v>
      </c>
      <c r="B18" s="9" t="e">
        <f>#REF!</f>
        <v>#REF!</v>
      </c>
      <c r="C18" s="9" t="e">
        <f>#REF!</f>
        <v>#REF!</v>
      </c>
      <c r="D18" s="9" t="e">
        <f>#REF!</f>
        <v>#REF!</v>
      </c>
      <c r="E18" s="9" t="e">
        <f>#REF!</f>
        <v>#REF!</v>
      </c>
      <c r="F18" s="10"/>
      <c r="G18" s="21"/>
      <c r="H18" s="21"/>
      <c r="I18" s="21"/>
      <c r="J18" s="21"/>
      <c r="K18" s="21"/>
      <c r="L18" s="48" t="s">
        <v>44</v>
      </c>
      <c r="M18" s="9" t="e">
        <f>#REF!</f>
        <v>#REF!</v>
      </c>
      <c r="N18" s="9" t="e">
        <f>#REF!</f>
        <v>#REF!</v>
      </c>
      <c r="O18" s="9" t="e">
        <f>#REF!</f>
        <v>#REF!</v>
      </c>
      <c r="P18" s="9" t="e">
        <f>#REF!</f>
        <v>#REF!</v>
      </c>
      <c r="Q18" s="10"/>
      <c r="R18" s="48" t="s">
        <v>103</v>
      </c>
      <c r="S18" s="9" t="e">
        <f>#REF!</f>
        <v>#REF!</v>
      </c>
      <c r="T18" s="9" t="e">
        <f>#REF!</f>
        <v>#REF!</v>
      </c>
      <c r="U18" s="9" t="e">
        <f>#REF!</f>
        <v>#REF!</v>
      </c>
      <c r="V18" s="9" t="e">
        <f>#REF!</f>
        <v>#REF!</v>
      </c>
      <c r="W18" s="11"/>
      <c r="X18" s="14"/>
      <c r="Y18" s="14"/>
      <c r="Z18" s="14"/>
      <c r="AA18" s="14"/>
      <c r="AB18" s="21"/>
      <c r="AC18" s="39" t="s">
        <v>220</v>
      </c>
      <c r="AD18" s="9" t="e">
        <f>#REF!</f>
        <v>#REF!</v>
      </c>
      <c r="AE18" s="9" t="e">
        <f>#REF!</f>
        <v>#REF!</v>
      </c>
      <c r="AF18" s="15" t="e">
        <f>#REF!</f>
        <v>#REF!</v>
      </c>
      <c r="AG18" s="9" t="e">
        <f>#REF!</f>
        <v>#REF!</v>
      </c>
    </row>
    <row r="19" spans="1:33" s="37" customFormat="1" ht="30" customHeight="1">
      <c r="A19" s="48" t="s">
        <v>96</v>
      </c>
      <c r="B19" s="9" t="e">
        <f>#REF!</f>
        <v>#REF!</v>
      </c>
      <c r="C19" s="9" t="e">
        <f>#REF!</f>
        <v>#REF!</v>
      </c>
      <c r="D19" s="9" t="e">
        <f>#REF!</f>
        <v>#REF!</v>
      </c>
      <c r="E19" s="9" t="e">
        <f>#REF!</f>
        <v>#REF!</v>
      </c>
      <c r="F19" s="10"/>
      <c r="G19" s="21"/>
      <c r="H19" s="21"/>
      <c r="I19" s="21"/>
      <c r="J19" s="21"/>
      <c r="K19" s="21"/>
      <c r="L19" s="48" t="s">
        <v>54</v>
      </c>
      <c r="M19" s="9" t="e">
        <f>#REF!</f>
        <v>#REF!</v>
      </c>
      <c r="N19" s="9" t="e">
        <f>#REF!</f>
        <v>#REF!</v>
      </c>
      <c r="O19" s="9" t="e">
        <f>#REF!</f>
        <v>#REF!</v>
      </c>
      <c r="P19" s="9" t="e">
        <f>#REF!</f>
        <v>#REF!</v>
      </c>
      <c r="Q19" s="10"/>
      <c r="R19" s="49" t="s">
        <v>209</v>
      </c>
      <c r="S19" s="9" t="e">
        <f>#REF!</f>
        <v>#REF!</v>
      </c>
      <c r="T19" s="9" t="e">
        <f>#REF!</f>
        <v>#REF!</v>
      </c>
      <c r="U19" s="15" t="e">
        <f>#REF!</f>
        <v>#REF!</v>
      </c>
      <c r="V19" s="15" t="e">
        <f>#REF!</f>
        <v>#REF!</v>
      </c>
      <c r="W19" s="11"/>
      <c r="X19" s="14"/>
      <c r="Y19" s="14"/>
      <c r="Z19" s="14"/>
      <c r="AA19" s="14"/>
      <c r="AB19" s="21"/>
      <c r="AC19" s="32" t="s">
        <v>229</v>
      </c>
      <c r="AD19" s="9" t="e">
        <f>#REF!</f>
        <v>#REF!</v>
      </c>
      <c r="AE19" s="9" t="e">
        <f>#REF!</f>
        <v>#REF!</v>
      </c>
      <c r="AF19" s="9" t="e">
        <f>#REF!</f>
        <v>#REF!</v>
      </c>
      <c r="AG19" s="15" t="e">
        <f>#REF!</f>
        <v>#REF!</v>
      </c>
    </row>
    <row r="20" spans="1:33" s="37" customFormat="1" ht="30" customHeight="1">
      <c r="A20" s="48" t="s">
        <v>97</v>
      </c>
      <c r="B20" s="9" t="e">
        <f>#REF!</f>
        <v>#REF!</v>
      </c>
      <c r="C20" s="9" t="e">
        <f>#REF!</f>
        <v>#REF!</v>
      </c>
      <c r="D20" s="9" t="e">
        <f>#REF!</f>
        <v>#REF!</v>
      </c>
      <c r="E20" s="9" t="e">
        <f>#REF!</f>
        <v>#REF!</v>
      </c>
      <c r="F20" s="10"/>
      <c r="G20" s="21"/>
      <c r="H20" s="21"/>
      <c r="I20" s="21"/>
      <c r="J20" s="21"/>
      <c r="K20" s="21"/>
      <c r="L20" s="13"/>
      <c r="M20" s="12"/>
      <c r="N20" s="12"/>
      <c r="O20" s="12"/>
      <c r="P20" s="12"/>
      <c r="Q20" s="21"/>
      <c r="R20" s="13"/>
      <c r="S20" s="12"/>
      <c r="T20" s="12"/>
      <c r="U20" s="12"/>
      <c r="V20" s="12"/>
      <c r="W20" s="11"/>
      <c r="X20" s="14"/>
      <c r="Y20" s="14"/>
      <c r="Z20" s="14"/>
      <c r="AA20" s="14"/>
      <c r="AB20" s="21"/>
      <c r="AC20" s="39" t="s">
        <v>230</v>
      </c>
      <c r="AD20" s="9" t="e">
        <f>#REF!</f>
        <v>#REF!</v>
      </c>
      <c r="AE20" s="9" t="e">
        <f>#REF!</f>
        <v>#REF!</v>
      </c>
      <c r="AF20" s="15" t="e">
        <f>#REF!</f>
        <v>#REF!</v>
      </c>
      <c r="AG20" s="9" t="e">
        <f>#REF!</f>
        <v>#REF!</v>
      </c>
    </row>
    <row r="21" spans="1:33" s="37" customFormat="1" ht="30" customHeight="1">
      <c r="A21" s="49" t="s">
        <v>98</v>
      </c>
      <c r="B21" s="15" t="e">
        <f>#REF!</f>
        <v>#REF!</v>
      </c>
      <c r="C21" s="15" t="e">
        <f>#REF!</f>
        <v>#REF!</v>
      </c>
      <c r="D21" s="15" t="e">
        <f>#REF!</f>
        <v>#REF!</v>
      </c>
      <c r="E21" s="15" t="e">
        <f>#REF!</f>
        <v>#REF!</v>
      </c>
      <c r="F21" s="10"/>
      <c r="G21" s="21"/>
      <c r="H21" s="21"/>
      <c r="I21" s="21"/>
      <c r="J21" s="21"/>
      <c r="K21" s="21"/>
      <c r="L21" s="11"/>
      <c r="M21" s="14"/>
      <c r="N21" s="14"/>
      <c r="O21" s="14"/>
      <c r="P21" s="14"/>
      <c r="Q21" s="21"/>
      <c r="R21" s="21"/>
      <c r="S21" s="21"/>
      <c r="T21" s="21"/>
      <c r="U21" s="21"/>
      <c r="V21" s="21"/>
      <c r="W21" s="11"/>
      <c r="X21" s="14"/>
      <c r="Y21" s="14"/>
      <c r="Z21" s="14"/>
      <c r="AA21" s="14"/>
      <c r="AB21" s="21"/>
      <c r="AC21" s="21"/>
      <c r="AD21" s="21"/>
      <c r="AE21" s="21"/>
      <c r="AF21" s="21"/>
      <c r="AG21" s="21"/>
    </row>
    <row r="22" spans="1:33" s="37" customFormat="1" ht="30" customHeight="1">
      <c r="A22" s="38"/>
      <c r="B22" s="38"/>
      <c r="C22" s="38"/>
      <c r="D22" s="38"/>
      <c r="E22" s="38"/>
      <c r="F22" s="21"/>
      <c r="G22" s="21"/>
      <c r="H22" s="21"/>
      <c r="I22" s="21"/>
      <c r="J22" s="21"/>
      <c r="K22" s="21"/>
      <c r="L22" s="11"/>
      <c r="M22" s="14"/>
      <c r="N22" s="14"/>
      <c r="O22" s="14"/>
      <c r="P22" s="14"/>
      <c r="Q22" s="21"/>
      <c r="R22" s="21"/>
      <c r="S22" s="21"/>
      <c r="T22" s="21"/>
      <c r="U22" s="21"/>
      <c r="V22" s="21"/>
      <c r="W22" s="11"/>
      <c r="X22" s="14"/>
      <c r="Y22" s="14"/>
      <c r="Z22" s="14"/>
      <c r="AA22" s="14"/>
      <c r="AB22" s="21"/>
      <c r="AC22" s="21"/>
      <c r="AD22" s="21"/>
      <c r="AE22" s="21"/>
      <c r="AF22" s="21"/>
      <c r="AG22" s="21"/>
    </row>
    <row r="23" spans="1:33" ht="22.5">
      <c r="A23" s="99" t="s">
        <v>357</v>
      </c>
      <c r="B23" s="69"/>
      <c r="C23" s="69"/>
      <c r="D23" s="70" t="s">
        <v>355</v>
      </c>
      <c r="E23" s="67" t="s">
        <v>356</v>
      </c>
      <c r="H23" s="72"/>
      <c r="I23" s="69"/>
      <c r="J23" s="70" t="s">
        <v>355</v>
      </c>
      <c r="K23" s="67" t="s">
        <v>356</v>
      </c>
      <c r="L23" s="1"/>
      <c r="M23" s="1"/>
      <c r="N23" s="1"/>
      <c r="O23" s="1"/>
      <c r="P23" s="1"/>
      <c r="W23" s="1"/>
      <c r="X23" s="1"/>
      <c r="Y23" s="1"/>
      <c r="Z23" s="1"/>
      <c r="AA23" s="1"/>
    </row>
    <row r="24" spans="1:33" ht="22.5" customHeight="1">
      <c r="A24" s="99"/>
      <c r="B24" s="99" t="s">
        <v>0</v>
      </c>
      <c r="C24" s="68" t="s">
        <v>195</v>
      </c>
      <c r="D24" s="63" t="e">
        <f>SUM(B7:B21)/25*100/15</f>
        <v>#REF!</v>
      </c>
      <c r="E24" s="66"/>
      <c r="H24" s="99" t="s">
        <v>378</v>
      </c>
      <c r="I24" s="68" t="s">
        <v>380</v>
      </c>
      <c r="J24" s="63">
        <v>55</v>
      </c>
      <c r="K24" s="65">
        <f>(52-(12+10))/52*100</f>
        <v>57.692307692307686</v>
      </c>
      <c r="L24" s="1"/>
      <c r="M24" s="1"/>
      <c r="N24" s="1"/>
      <c r="O24" s="1"/>
      <c r="P24" s="1"/>
      <c r="W24" s="1"/>
      <c r="X24" s="1"/>
      <c r="Y24" s="1"/>
      <c r="Z24" s="1"/>
      <c r="AA24" s="1"/>
    </row>
    <row r="25" spans="1:33" ht="22.5">
      <c r="A25" s="99"/>
      <c r="B25" s="99"/>
      <c r="C25" s="68" t="s">
        <v>196</v>
      </c>
      <c r="D25" s="63" t="e">
        <f>SUM(C7:C21)/25*100/15</f>
        <v>#REF!</v>
      </c>
      <c r="E25" s="65">
        <f>((15*26)-(7+1+8+1+2+10+6+5+12+9+1+3+2+12))/26*100/15</f>
        <v>79.743589743589752</v>
      </c>
      <c r="H25" s="99"/>
      <c r="I25" s="68" t="s">
        <v>381</v>
      </c>
      <c r="J25" s="63">
        <v>36</v>
      </c>
      <c r="K25" s="65">
        <f>(52-(12+17))/52*100</f>
        <v>44.230769230769226</v>
      </c>
      <c r="L25" s="1"/>
      <c r="M25" s="1"/>
      <c r="N25" s="1"/>
      <c r="O25" s="1"/>
      <c r="P25" s="1"/>
      <c r="W25" s="1"/>
      <c r="X25" s="1"/>
      <c r="Y25" s="1"/>
      <c r="Z25" s="1"/>
      <c r="AA25" s="1"/>
    </row>
    <row r="26" spans="1:33" ht="22.5">
      <c r="A26" s="99"/>
      <c r="B26" s="99"/>
      <c r="C26" s="68" t="s">
        <v>360</v>
      </c>
      <c r="D26" s="63" t="e">
        <f>SUM(D7:D21)/25*100/15</f>
        <v>#REF!</v>
      </c>
      <c r="E26" s="66"/>
      <c r="H26" s="99"/>
      <c r="I26" s="68" t="s">
        <v>90</v>
      </c>
      <c r="J26" s="63">
        <v>58</v>
      </c>
      <c r="K26" s="65">
        <f>(52-(10+8))/52*100</f>
        <v>65.384615384615387</v>
      </c>
    </row>
    <row r="27" spans="1:33" ht="22.5">
      <c r="A27" s="99"/>
      <c r="B27" s="99"/>
      <c r="C27" s="68" t="s">
        <v>198</v>
      </c>
      <c r="D27" s="63" t="e">
        <f>SUM(E7:E21)/25*100/15</f>
        <v>#REF!</v>
      </c>
      <c r="E27" s="65">
        <f>((15*26)-(7+8+1+4+8+7+9+1+10+7+2+2+4+17))/26*100/15</f>
        <v>77.692307692307679</v>
      </c>
      <c r="H27" s="99"/>
      <c r="I27" s="68" t="s">
        <v>382</v>
      </c>
      <c r="J27" s="63">
        <v>36</v>
      </c>
      <c r="K27" s="65">
        <f>(52-(10+11))/52*100</f>
        <v>59.615384615384613</v>
      </c>
    </row>
    <row r="28" spans="1:33" ht="22.5">
      <c r="A28" s="99"/>
      <c r="B28" s="100" t="s">
        <v>1</v>
      </c>
      <c r="C28" s="68" t="s">
        <v>195</v>
      </c>
      <c r="D28" s="63" t="e">
        <f>SUM(H8:H11,H13:H15)/25*100/7</f>
        <v>#REF!</v>
      </c>
      <c r="E28" s="66"/>
      <c r="H28" s="99"/>
      <c r="I28" s="68" t="s">
        <v>99</v>
      </c>
      <c r="J28" s="63">
        <v>53</v>
      </c>
      <c r="K28" s="65">
        <f>(52-(10+11))/52*100</f>
        <v>59.615384615384613</v>
      </c>
    </row>
    <row r="29" spans="1:33" ht="22.5">
      <c r="A29" s="99"/>
      <c r="B29" s="100"/>
      <c r="C29" s="68" t="s">
        <v>196</v>
      </c>
      <c r="D29" s="63" t="e">
        <f>SUM(I8:I11,I13:I15)/25*100/7</f>
        <v>#REF!</v>
      </c>
      <c r="E29" s="65">
        <f>((4*26)-(10+7+9+10))/26*100/4</f>
        <v>65.384615384615387</v>
      </c>
      <c r="H29" s="99" t="s">
        <v>358</v>
      </c>
      <c r="I29" s="68" t="s">
        <v>58</v>
      </c>
      <c r="J29" s="79">
        <v>52</v>
      </c>
      <c r="K29" s="65">
        <f>(78-(19+14+15))/78*100</f>
        <v>38.461538461538467</v>
      </c>
    </row>
    <row r="30" spans="1:33" ht="22.5">
      <c r="A30" s="99"/>
      <c r="B30" s="100"/>
      <c r="C30" s="68" t="s">
        <v>360</v>
      </c>
      <c r="D30" s="63" t="e">
        <f>SUM(J8:J11,J13:J15)/25*100/7</f>
        <v>#REF!</v>
      </c>
      <c r="E30" s="66"/>
      <c r="H30" s="99"/>
      <c r="I30" s="68" t="s">
        <v>383</v>
      </c>
      <c r="J30" s="79">
        <v>82</v>
      </c>
      <c r="K30" s="65">
        <f>(78-(6+10+6))/78*100</f>
        <v>71.794871794871796</v>
      </c>
    </row>
    <row r="31" spans="1:33" ht="22.5">
      <c r="A31" s="99"/>
      <c r="B31" s="100"/>
      <c r="C31" s="68" t="s">
        <v>198</v>
      </c>
      <c r="D31" s="63" t="e">
        <f>SUM(K8:K11,K13:K15)/25*100/7</f>
        <v>#REF!</v>
      </c>
      <c r="E31" s="65">
        <f>((4*26)-(11+11+8+13))/26*100/4</f>
        <v>58.653846153846153</v>
      </c>
      <c r="F31" s="33"/>
      <c r="H31" s="99"/>
      <c r="I31" s="68" t="s">
        <v>384</v>
      </c>
      <c r="J31" s="79">
        <v>61</v>
      </c>
      <c r="K31" s="65">
        <f>(78-(7+6+8))/78*100</f>
        <v>73.076923076923066</v>
      </c>
    </row>
    <row r="32" spans="1:33" ht="22.5">
      <c r="A32" s="99" t="s">
        <v>358</v>
      </c>
      <c r="B32" s="99" t="s">
        <v>0</v>
      </c>
      <c r="C32" s="68" t="s">
        <v>195</v>
      </c>
      <c r="D32" s="63" t="e">
        <f>SUM(M7:M19)/25*100/13</f>
        <v>#REF!</v>
      </c>
      <c r="E32" s="65">
        <f>((13*26)-(4+6+4+6+9+6+19+6+1+1+7+5+1))/26*100/13</f>
        <v>77.810650887573971</v>
      </c>
      <c r="H32" s="99"/>
      <c r="I32" s="68" t="s">
        <v>31</v>
      </c>
      <c r="J32" s="79">
        <v>84</v>
      </c>
      <c r="K32" s="65">
        <f>(78-(6+11+4))/78*100</f>
        <v>73.076923076923066</v>
      </c>
    </row>
    <row r="33" spans="1:11" ht="22.5">
      <c r="A33" s="99"/>
      <c r="B33" s="99"/>
      <c r="C33" s="68" t="s">
        <v>196</v>
      </c>
      <c r="D33" s="63" t="e">
        <f>SUM(N7:N19)/25*100/13</f>
        <v>#REF!</v>
      </c>
      <c r="E33" s="65">
        <f>((13*26)-(4+4+2+11+5+6+14+10+1+6+2))/26*100/13</f>
        <v>80.769230769230774</v>
      </c>
      <c r="H33" s="99"/>
      <c r="I33" s="68" t="s">
        <v>385</v>
      </c>
      <c r="J33" s="79">
        <v>60</v>
      </c>
      <c r="K33" s="65">
        <f>(78-(12+17+13))/78*100</f>
        <v>46.153846153846153</v>
      </c>
    </row>
    <row r="34" spans="1:11" ht="22.5">
      <c r="A34" s="99"/>
      <c r="B34" s="99"/>
      <c r="C34" s="68" t="s">
        <v>360</v>
      </c>
      <c r="D34" s="63" t="e">
        <f>SUM(O7:O19)/25*100/13</f>
        <v>#REF!</v>
      </c>
      <c r="E34" s="65"/>
      <c r="H34" s="99" t="s">
        <v>379</v>
      </c>
      <c r="I34" s="68" t="s">
        <v>386</v>
      </c>
      <c r="J34" s="79">
        <v>63</v>
      </c>
      <c r="K34" s="65">
        <f>(103-(16+14+12+12))/103*100</f>
        <v>47.572815533980581</v>
      </c>
    </row>
    <row r="35" spans="1:11" ht="22.5">
      <c r="A35" s="99"/>
      <c r="B35" s="99"/>
      <c r="C35" s="68" t="s">
        <v>198</v>
      </c>
      <c r="D35" s="63" t="e">
        <f>SUM(P7:P19)/25*100/13</f>
        <v>#REF!</v>
      </c>
      <c r="E35" s="65">
        <f>((13*26)-(2+4+3+4+5+4+5+6+1+8+3))/26*100/13</f>
        <v>86.68639053254438</v>
      </c>
      <c r="H35" s="99"/>
      <c r="I35" s="68" t="s">
        <v>243</v>
      </c>
      <c r="J35" s="79">
        <v>62</v>
      </c>
      <c r="K35" s="65">
        <f>(103-(9+11+15+9))/103*100</f>
        <v>57.28155339805825</v>
      </c>
    </row>
    <row r="36" spans="1:11" ht="22.5">
      <c r="A36" s="99"/>
      <c r="B36" s="100" t="s">
        <v>1</v>
      </c>
      <c r="C36" s="68" t="s">
        <v>195</v>
      </c>
      <c r="D36" s="63" t="e">
        <f>SUM(S8:S10,S12,S14:S19)/25*100/10</f>
        <v>#REF!</v>
      </c>
      <c r="E36" s="65">
        <f>((3*26)-(10+6+12))/26*100/3</f>
        <v>64.102564102564102</v>
      </c>
      <c r="H36" s="99"/>
      <c r="I36" s="68" t="s">
        <v>242</v>
      </c>
      <c r="J36" s="79">
        <v>78</v>
      </c>
      <c r="K36" s="65">
        <f>(103-(14+12+8+6))/103*100</f>
        <v>61.165048543689316</v>
      </c>
    </row>
    <row r="37" spans="1:11" ht="22.5">
      <c r="A37" s="99"/>
      <c r="B37" s="100"/>
      <c r="C37" s="68" t="s">
        <v>196</v>
      </c>
      <c r="D37" s="63" t="e">
        <f>SUM(T8:T10,T12,T14:T19)/25*100/10</f>
        <v>#REF!</v>
      </c>
      <c r="E37" s="65">
        <f>((3*26)-(5+4+17))/26*100/3</f>
        <v>66.666666666666671</v>
      </c>
      <c r="H37" s="99"/>
      <c r="I37" s="68" t="s">
        <v>108</v>
      </c>
      <c r="J37" s="79">
        <v>29</v>
      </c>
      <c r="K37" s="65">
        <f>(103-(19+16+11+12))/103*100</f>
        <v>43.689320388349515</v>
      </c>
    </row>
    <row r="38" spans="1:11" ht="22.5">
      <c r="A38" s="99"/>
      <c r="B38" s="100"/>
      <c r="C38" s="68" t="s">
        <v>360</v>
      </c>
      <c r="D38" s="63" t="e">
        <f>SUM(U8:U10,U12,U14:U19)/25*100/10</f>
        <v>#REF!</v>
      </c>
      <c r="E38" s="65"/>
      <c r="H38" s="99"/>
      <c r="I38" s="68" t="s">
        <v>111</v>
      </c>
      <c r="J38" s="79">
        <v>29</v>
      </c>
      <c r="K38" s="65">
        <f>(103-(19+18+20+16))/103*100</f>
        <v>29.126213592233007</v>
      </c>
    </row>
    <row r="39" spans="1:11" ht="22.5">
      <c r="A39" s="99"/>
      <c r="B39" s="100"/>
      <c r="C39" s="68" t="s">
        <v>198</v>
      </c>
      <c r="D39" s="63" t="e">
        <f>SUM(V8:V10,V12,V14:V19)/25*100/10</f>
        <v>#REF!</v>
      </c>
      <c r="E39" s="65">
        <f>((3*25)-(5+4+13))/26*100/3</f>
        <v>67.948717948717942</v>
      </c>
      <c r="H39" s="74"/>
      <c r="I39" s="76"/>
      <c r="J39" s="77"/>
      <c r="K39" s="77"/>
    </row>
    <row r="40" spans="1:11" ht="22.5">
      <c r="A40" s="99" t="s">
        <v>359</v>
      </c>
      <c r="B40" s="99" t="s">
        <v>0</v>
      </c>
      <c r="C40" s="68" t="s">
        <v>195</v>
      </c>
      <c r="D40" s="63" t="e">
        <f>SUM(X7:X14)/25*100/8</f>
        <v>#REF!</v>
      </c>
      <c r="E40" s="65">
        <f>((8*26)-(16+18+5+9+6+5+14+4))/26*100/8</f>
        <v>62.980769230769226</v>
      </c>
    </row>
    <row r="41" spans="1:11" ht="22.5">
      <c r="A41" s="99"/>
      <c r="B41" s="99"/>
      <c r="C41" s="68" t="s">
        <v>196</v>
      </c>
      <c r="D41" s="63" t="e">
        <f>SUM(Y7:Y14)/25*100/8</f>
        <v>#REF!</v>
      </c>
      <c r="E41" s="65">
        <f>((8*26)-(14+11+9+11+4+8+12+6))/26*100/8</f>
        <v>63.942307692307686</v>
      </c>
    </row>
    <row r="42" spans="1:11" ht="22.5">
      <c r="A42" s="99"/>
      <c r="B42" s="99"/>
      <c r="C42" s="68" t="s">
        <v>360</v>
      </c>
      <c r="D42" s="63" t="e">
        <f>SUM(Z7:Z14)/25*100/8</f>
        <v>#REF!</v>
      </c>
      <c r="E42" s="65">
        <f>((8*25)-(12+8+10+15+8+7+8+6))/25*100/8</f>
        <v>63</v>
      </c>
    </row>
    <row r="43" spans="1:11" ht="22.5">
      <c r="A43" s="99"/>
      <c r="B43" s="99"/>
      <c r="C43" s="68" t="s">
        <v>198</v>
      </c>
      <c r="D43" s="63" t="e">
        <f>SUM(AA7:AA14)/25*100/8</f>
        <v>#REF!</v>
      </c>
      <c r="E43" s="65">
        <f>((8*26)-(12+6+10+9+5+2+6+4))/26*100/8</f>
        <v>74.038461538461547</v>
      </c>
    </row>
    <row r="44" spans="1:11" ht="22.5">
      <c r="A44" s="99"/>
      <c r="B44" s="100" t="s">
        <v>1</v>
      </c>
      <c r="C44" s="68" t="s">
        <v>195</v>
      </c>
      <c r="D44" s="63" t="e">
        <f>SUM(AD8:AD11,AD13:AD20)/25*100/12</f>
        <v>#REF!</v>
      </c>
      <c r="E44" s="65">
        <f>((4*26)-(19+10+7+19))/26*100/4</f>
        <v>47.115384615384613</v>
      </c>
    </row>
    <row r="45" spans="1:11" ht="22.5">
      <c r="A45" s="99"/>
      <c r="B45" s="100"/>
      <c r="C45" s="68" t="s">
        <v>196</v>
      </c>
      <c r="D45" s="63" t="e">
        <f>SUM(AE8:AE11,AE13:AE20)/25*100/12</f>
        <v>#REF!</v>
      </c>
      <c r="E45" s="65">
        <f>((4*26)-(16+10+11+18))/26*100/4</f>
        <v>47.115384615384613</v>
      </c>
    </row>
    <row r="46" spans="1:11" ht="22.5">
      <c r="A46" s="99"/>
      <c r="B46" s="100"/>
      <c r="C46" s="68" t="s">
        <v>360</v>
      </c>
      <c r="D46" s="63" t="e">
        <f>SUM(AF8:AF11,AF13:AF20)/25*100/12</f>
        <v>#REF!</v>
      </c>
      <c r="E46" s="65">
        <f>((4*25)-(11+8+7+20))/25*100/4</f>
        <v>54</v>
      </c>
    </row>
    <row r="47" spans="1:11" ht="22.5">
      <c r="A47" s="99"/>
      <c r="B47" s="100"/>
      <c r="C47" s="68" t="s">
        <v>198</v>
      </c>
      <c r="D47" s="63" t="e">
        <f>SUM(AG8:AG11,AG13:AG20)/24*100/12</f>
        <v>#REF!</v>
      </c>
      <c r="E47" s="65">
        <f>((4*26)-(12+11+7+16))/26*100/4</f>
        <v>55.769230769230774</v>
      </c>
    </row>
  </sheetData>
  <mergeCells count="34">
    <mergeCell ref="A1:K1"/>
    <mergeCell ref="L1:V1"/>
    <mergeCell ref="W1:AG1"/>
    <mergeCell ref="AC5:AG5"/>
    <mergeCell ref="A3:K3"/>
    <mergeCell ref="L3:V3"/>
    <mergeCell ref="W3:AG3"/>
    <mergeCell ref="A2:K2"/>
    <mergeCell ref="L2:V2"/>
    <mergeCell ref="W2:AG2"/>
    <mergeCell ref="A5:E5"/>
    <mergeCell ref="G5:K5"/>
    <mergeCell ref="L5:P5"/>
    <mergeCell ref="R5:V5"/>
    <mergeCell ref="W5:AA5"/>
    <mergeCell ref="R13:V13"/>
    <mergeCell ref="G7:K7"/>
    <mergeCell ref="R7:V7"/>
    <mergeCell ref="AC7:AG7"/>
    <mergeCell ref="R11:V11"/>
    <mergeCell ref="G12:K12"/>
    <mergeCell ref="AC12:AG12"/>
    <mergeCell ref="A40:A47"/>
    <mergeCell ref="B40:B43"/>
    <mergeCell ref="B44:B47"/>
    <mergeCell ref="A23:A31"/>
    <mergeCell ref="B24:B27"/>
    <mergeCell ref="B28:B31"/>
    <mergeCell ref="H24:H28"/>
    <mergeCell ref="H29:H33"/>
    <mergeCell ref="H34:H38"/>
    <mergeCell ref="A32:A39"/>
    <mergeCell ref="B32:B35"/>
    <mergeCell ref="B36:B39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24"/>
  <dimension ref="A1:BH49"/>
  <sheetViews>
    <sheetView topLeftCell="A23" zoomScale="70" zoomScaleNormal="70" workbookViewId="0">
      <selection activeCell="K42" sqref="K42"/>
    </sheetView>
  </sheetViews>
  <sheetFormatPr defaultRowHeight="24"/>
  <cols>
    <col min="1" max="1" width="10" style="5" customWidth="1"/>
    <col min="2" max="5" width="5.625" style="5" customWidth="1"/>
    <col min="6" max="6" width="3.375" style="1" customWidth="1"/>
    <col min="7" max="7" width="7.625" style="8" customWidth="1"/>
    <col min="8" max="11" width="5.75" style="5" customWidth="1"/>
    <col min="12" max="12" width="9.375" style="5" customWidth="1"/>
    <col min="13" max="16" width="5.125" style="5" customWidth="1"/>
    <col min="17" max="17" width="5.5" style="1" customWidth="1"/>
    <col min="18" max="18" width="7.25" style="8" customWidth="1"/>
    <col min="19" max="22" width="5" style="5" customWidth="1"/>
    <col min="23" max="23" width="10.75" style="5" customWidth="1"/>
    <col min="24" max="27" width="5.125" style="5" customWidth="1"/>
    <col min="28" max="28" width="2.625" style="1" customWidth="1"/>
    <col min="29" max="29" width="13.5" style="8" customWidth="1"/>
    <col min="30" max="33" width="5.125" style="1" customWidth="1"/>
    <col min="34" max="16384" width="9" style="1"/>
  </cols>
  <sheetData>
    <row r="1" spans="1:33" ht="19.5">
      <c r="A1" s="102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 t="s">
        <v>2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 t="s">
        <v>2</v>
      </c>
      <c r="X1" s="102"/>
      <c r="Y1" s="102"/>
      <c r="Z1" s="102"/>
      <c r="AA1" s="102"/>
      <c r="AB1" s="102"/>
      <c r="AC1" s="102"/>
      <c r="AD1" s="102"/>
      <c r="AE1" s="102"/>
      <c r="AF1" s="102"/>
      <c r="AG1" s="102"/>
    </row>
    <row r="2" spans="1:33" ht="19.5">
      <c r="A2" s="102" t="s">
        <v>60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 t="s">
        <v>181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 t="s">
        <v>182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3" ht="19.5">
      <c r="A3" s="101" t="s">
        <v>168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 t="s">
        <v>168</v>
      </c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 t="s">
        <v>168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21" customHeight="1"/>
    <row r="5" spans="1:33" ht="19.5">
      <c r="A5" s="104" t="s">
        <v>159</v>
      </c>
      <c r="B5" s="104"/>
      <c r="C5" s="104"/>
      <c r="D5" s="104"/>
      <c r="E5" s="104"/>
      <c r="F5" s="2"/>
      <c r="G5" s="104" t="s">
        <v>172</v>
      </c>
      <c r="H5" s="104"/>
      <c r="I5" s="104"/>
      <c r="J5" s="104"/>
      <c r="K5" s="104"/>
      <c r="L5" s="104" t="s">
        <v>159</v>
      </c>
      <c r="M5" s="104"/>
      <c r="N5" s="104"/>
      <c r="O5" s="104"/>
      <c r="P5" s="104"/>
      <c r="Q5" s="2"/>
      <c r="R5" s="104" t="s">
        <v>249</v>
      </c>
      <c r="S5" s="104"/>
      <c r="T5" s="104"/>
      <c r="U5" s="104"/>
      <c r="V5" s="104"/>
      <c r="W5" s="104" t="s">
        <v>159</v>
      </c>
      <c r="X5" s="104"/>
      <c r="Y5" s="104"/>
      <c r="Z5" s="104"/>
      <c r="AA5" s="104"/>
      <c r="AB5" s="2"/>
      <c r="AC5" s="104" t="s">
        <v>250</v>
      </c>
      <c r="AD5" s="104"/>
      <c r="AE5" s="104"/>
      <c r="AF5" s="104"/>
      <c r="AG5" s="104"/>
    </row>
    <row r="6" spans="1:33" ht="78">
      <c r="A6" s="50" t="s">
        <v>161</v>
      </c>
      <c r="B6" s="50" t="s">
        <v>169</v>
      </c>
      <c r="C6" s="50" t="s">
        <v>170</v>
      </c>
      <c r="D6" s="50" t="s">
        <v>171</v>
      </c>
      <c r="E6" s="50" t="s">
        <v>225</v>
      </c>
      <c r="F6" s="2"/>
      <c r="G6" s="47"/>
      <c r="H6" s="50" t="s">
        <v>169</v>
      </c>
      <c r="I6" s="50" t="s">
        <v>170</v>
      </c>
      <c r="J6" s="50" t="s">
        <v>171</v>
      </c>
      <c r="K6" s="50" t="s">
        <v>225</v>
      </c>
      <c r="L6" s="50" t="s">
        <v>161</v>
      </c>
      <c r="M6" s="50" t="s">
        <v>169</v>
      </c>
      <c r="N6" s="50" t="s">
        <v>170</v>
      </c>
      <c r="O6" s="50" t="s">
        <v>224</v>
      </c>
      <c r="P6" s="50" t="s">
        <v>225</v>
      </c>
      <c r="Q6" s="2"/>
      <c r="R6" s="47"/>
      <c r="S6" s="50" t="s">
        <v>169</v>
      </c>
      <c r="T6" s="50" t="s">
        <v>170</v>
      </c>
      <c r="U6" s="50" t="s">
        <v>224</v>
      </c>
      <c r="V6" s="50" t="s">
        <v>225</v>
      </c>
      <c r="W6" s="50" t="s">
        <v>161</v>
      </c>
      <c r="X6" s="50" t="s">
        <v>169</v>
      </c>
      <c r="Y6" s="50" t="s">
        <v>170</v>
      </c>
      <c r="Z6" s="50" t="s">
        <v>224</v>
      </c>
      <c r="AA6" s="50" t="s">
        <v>225</v>
      </c>
      <c r="AB6" s="2"/>
      <c r="AC6" s="47"/>
      <c r="AD6" s="50" t="s">
        <v>169</v>
      </c>
      <c r="AE6" s="50" t="s">
        <v>170</v>
      </c>
      <c r="AF6" s="50" t="s">
        <v>224</v>
      </c>
      <c r="AG6" s="50" t="s">
        <v>225</v>
      </c>
    </row>
    <row r="7" spans="1:33" s="37" customFormat="1" ht="30" customHeight="1">
      <c r="A7" s="48" t="s">
        <v>61</v>
      </c>
      <c r="B7" s="9" t="e">
        <f>#REF!</f>
        <v>#REF!</v>
      </c>
      <c r="C7" s="9" t="e">
        <f>#REF!</f>
        <v>#REF!</v>
      </c>
      <c r="D7" s="9" t="e">
        <f>#REF!</f>
        <v>#REF!</v>
      </c>
      <c r="E7" s="9" t="e">
        <f>#REF!</f>
        <v>#REF!</v>
      </c>
      <c r="F7" s="10"/>
      <c r="G7" s="49" t="s">
        <v>73</v>
      </c>
      <c r="H7" s="9" t="e">
        <f>#REF!</f>
        <v>#REF!</v>
      </c>
      <c r="I7" s="9" t="e">
        <f>#REF!</f>
        <v>#REF!</v>
      </c>
      <c r="J7" s="9" t="e">
        <f>#REF!</f>
        <v>#REF!</v>
      </c>
      <c r="K7" s="15" t="e">
        <f>#REF!</f>
        <v>#REF!</v>
      </c>
      <c r="L7" s="48" t="s">
        <v>140</v>
      </c>
      <c r="M7" s="22" t="e">
        <f>#REF!</f>
        <v>#REF!</v>
      </c>
      <c r="N7" s="22" t="e">
        <f>#REF!</f>
        <v>#REF!</v>
      </c>
      <c r="O7" s="22" t="e">
        <f>#REF!</f>
        <v>#REF!</v>
      </c>
      <c r="P7" s="22" t="e">
        <f>#REF!</f>
        <v>#REF!</v>
      </c>
      <c r="Q7" s="10"/>
      <c r="R7" s="49" t="s">
        <v>183</v>
      </c>
      <c r="S7" s="22" t="e">
        <f>#REF!</f>
        <v>#REF!</v>
      </c>
      <c r="T7" s="15" t="e">
        <f>#REF!</f>
        <v>#REF!</v>
      </c>
      <c r="U7" s="15" t="e">
        <f>#REF!</f>
        <v>#REF!</v>
      </c>
      <c r="V7" s="15" t="e">
        <f>#REF!</f>
        <v>#REF!</v>
      </c>
      <c r="W7" s="48" t="s">
        <v>154</v>
      </c>
      <c r="X7" s="22" t="e">
        <f>#REF!</f>
        <v>#REF!</v>
      </c>
      <c r="Y7" s="22" t="e">
        <f>#REF!</f>
        <v>#REF!</v>
      </c>
      <c r="Z7" s="22" t="e">
        <f>#REF!</f>
        <v>#REF!</v>
      </c>
      <c r="AA7" s="22" t="e">
        <f>#REF!</f>
        <v>#REF!</v>
      </c>
      <c r="AB7" s="10"/>
      <c r="AC7" s="48" t="s">
        <v>217</v>
      </c>
      <c r="AD7" s="22" t="e">
        <f>#REF!</f>
        <v>#REF!</v>
      </c>
      <c r="AE7" s="22" t="e">
        <f>#REF!</f>
        <v>#REF!</v>
      </c>
      <c r="AF7" s="22" t="e">
        <f>#REF!</f>
        <v>#REF!</v>
      </c>
      <c r="AG7" s="22" t="e">
        <f>#REF!</f>
        <v>#REF!</v>
      </c>
    </row>
    <row r="8" spans="1:33" s="37" customFormat="1" ht="30" customHeight="1">
      <c r="A8" s="48" t="s">
        <v>62</v>
      </c>
      <c r="B8" s="9" t="e">
        <f>#REF!</f>
        <v>#REF!</v>
      </c>
      <c r="C8" s="9" t="e">
        <f>#REF!</f>
        <v>#REF!</v>
      </c>
      <c r="D8" s="9" t="e">
        <f>#REF!</f>
        <v>#REF!</v>
      </c>
      <c r="E8" s="9" t="e">
        <f>#REF!</f>
        <v>#REF!</v>
      </c>
      <c r="F8" s="10"/>
      <c r="G8" s="48" t="s">
        <v>10</v>
      </c>
      <c r="H8" s="9" t="e">
        <f>#REF!</f>
        <v>#REF!</v>
      </c>
      <c r="I8" s="9" t="e">
        <f>#REF!</f>
        <v>#REF!</v>
      </c>
      <c r="J8" s="9" t="e">
        <f>#REF!</f>
        <v>#REF!</v>
      </c>
      <c r="K8" s="9" t="e">
        <f>#REF!</f>
        <v>#REF!</v>
      </c>
      <c r="L8" s="48" t="s">
        <v>141</v>
      </c>
      <c r="M8" s="22" t="e">
        <f>#REF!</f>
        <v>#REF!</v>
      </c>
      <c r="N8" s="22" t="e">
        <f>#REF!</f>
        <v>#REF!</v>
      </c>
      <c r="O8" s="22" t="e">
        <f>#REF!</f>
        <v>#REF!</v>
      </c>
      <c r="P8" s="22" t="e">
        <f>#REF!</f>
        <v>#REF!</v>
      </c>
      <c r="Q8" s="10"/>
      <c r="R8" s="51" t="s">
        <v>184</v>
      </c>
      <c r="S8" s="22" t="e">
        <f>#REF!</f>
        <v>#REF!</v>
      </c>
      <c r="T8" s="22" t="e">
        <f>#REF!</f>
        <v>#REF!</v>
      </c>
      <c r="U8" s="22" t="e">
        <f>#REF!</f>
        <v>#REF!</v>
      </c>
      <c r="V8" s="22" t="e">
        <f>#REF!</f>
        <v>#REF!</v>
      </c>
      <c r="W8" s="48" t="s">
        <v>155</v>
      </c>
      <c r="X8" s="22" t="e">
        <f>#REF!</f>
        <v>#REF!</v>
      </c>
      <c r="Y8" s="22" t="e">
        <f>#REF!</f>
        <v>#REF!</v>
      </c>
      <c r="Z8" s="22" t="e">
        <f>#REF!</f>
        <v>#REF!</v>
      </c>
      <c r="AA8" s="22" t="e">
        <f>#REF!</f>
        <v>#REF!</v>
      </c>
      <c r="AB8" s="10"/>
      <c r="AC8" s="51" t="s">
        <v>218</v>
      </c>
      <c r="AD8" s="22" t="e">
        <f>#REF!</f>
        <v>#REF!</v>
      </c>
      <c r="AE8" s="22" t="e">
        <f>#REF!</f>
        <v>#REF!</v>
      </c>
      <c r="AF8" s="22" t="e">
        <f>#REF!</f>
        <v>#REF!</v>
      </c>
      <c r="AG8" s="22" t="e">
        <f>#REF!</f>
        <v>#REF!</v>
      </c>
    </row>
    <row r="9" spans="1:33" s="37" customFormat="1" ht="30" customHeight="1">
      <c r="A9" s="48" t="s">
        <v>63</v>
      </c>
      <c r="B9" s="9" t="e">
        <f>#REF!</f>
        <v>#REF!</v>
      </c>
      <c r="C9" s="9" t="e">
        <f>#REF!</f>
        <v>#REF!</v>
      </c>
      <c r="D9" s="9" t="e">
        <f>#REF!</f>
        <v>#REF!</v>
      </c>
      <c r="E9" s="9" t="e">
        <f>#REF!</f>
        <v>#REF!</v>
      </c>
      <c r="F9" s="10"/>
      <c r="G9" s="49" t="s">
        <v>74</v>
      </c>
      <c r="H9" s="9" t="e">
        <f>#REF!</f>
        <v>#REF!</v>
      </c>
      <c r="I9" s="9" t="e">
        <f>#REF!</f>
        <v>#REF!</v>
      </c>
      <c r="J9" s="9" t="e">
        <f>#REF!</f>
        <v>#REF!</v>
      </c>
      <c r="K9" s="15" t="e">
        <f>#REF!</f>
        <v>#REF!</v>
      </c>
      <c r="L9" s="48" t="s">
        <v>142</v>
      </c>
      <c r="M9" s="22" t="e">
        <f>#REF!</f>
        <v>#REF!</v>
      </c>
      <c r="N9" s="22" t="e">
        <f>#REF!</f>
        <v>#REF!</v>
      </c>
      <c r="O9" s="22" t="e">
        <f>#REF!</f>
        <v>#REF!</v>
      </c>
      <c r="P9" s="22" t="e">
        <f>#REF!</f>
        <v>#REF!</v>
      </c>
      <c r="Q9" s="10"/>
      <c r="R9" s="51" t="s">
        <v>185</v>
      </c>
      <c r="S9" s="22" t="e">
        <f>#REF!</f>
        <v>#REF!</v>
      </c>
      <c r="T9" s="22" t="e">
        <f>#REF!</f>
        <v>#REF!</v>
      </c>
      <c r="U9" s="22" t="e">
        <f>#REF!</f>
        <v>#REF!</v>
      </c>
      <c r="V9" s="22" t="e">
        <f>#REF!</f>
        <v>#REF!</v>
      </c>
      <c r="W9" s="48" t="s">
        <v>156</v>
      </c>
      <c r="X9" s="22" t="e">
        <f>#REF!</f>
        <v>#REF!</v>
      </c>
      <c r="Y9" s="22" t="e">
        <f>#REF!</f>
        <v>#REF!</v>
      </c>
      <c r="Z9" s="22" t="e">
        <f>#REF!</f>
        <v>#REF!</v>
      </c>
      <c r="AA9" s="22" t="e">
        <f>#REF!</f>
        <v>#REF!</v>
      </c>
      <c r="AB9" s="10"/>
      <c r="AC9" s="51" t="s">
        <v>219</v>
      </c>
      <c r="AD9" s="22" t="e">
        <f>#REF!</f>
        <v>#REF!</v>
      </c>
      <c r="AE9" s="22" t="e">
        <f>#REF!</f>
        <v>#REF!</v>
      </c>
      <c r="AF9" s="22" t="e">
        <f>#REF!</f>
        <v>#REF!</v>
      </c>
      <c r="AG9" s="22" t="e">
        <f>#REF!</f>
        <v>#REF!</v>
      </c>
    </row>
    <row r="10" spans="1:33" s="37" customFormat="1" ht="30" customHeight="1">
      <c r="A10" s="49" t="s">
        <v>64</v>
      </c>
      <c r="B10" s="9" t="e">
        <f>#REF!</f>
        <v>#REF!</v>
      </c>
      <c r="C10" s="9" t="e">
        <f>#REF!</f>
        <v>#REF!</v>
      </c>
      <c r="D10" s="15" t="e">
        <f>#REF!</f>
        <v>#REF!</v>
      </c>
      <c r="E10" s="15" t="e">
        <f>#REF!</f>
        <v>#REF!</v>
      </c>
      <c r="F10" s="10"/>
      <c r="G10" s="49" t="s">
        <v>75</v>
      </c>
      <c r="H10" s="9" t="e">
        <f>#REF!</f>
        <v>#REF!</v>
      </c>
      <c r="I10" s="9" t="e">
        <f>#REF!</f>
        <v>#REF!</v>
      </c>
      <c r="J10" s="9" t="e">
        <f>#REF!</f>
        <v>#REF!</v>
      </c>
      <c r="K10" s="15" t="e">
        <f>#REF!</f>
        <v>#REF!</v>
      </c>
      <c r="L10" s="48" t="s">
        <v>143</v>
      </c>
      <c r="M10" s="22" t="e">
        <f>#REF!</f>
        <v>#REF!</v>
      </c>
      <c r="N10" s="22" t="e">
        <f>#REF!</f>
        <v>#REF!</v>
      </c>
      <c r="O10" s="22" t="e">
        <f>#REF!</f>
        <v>#REF!</v>
      </c>
      <c r="P10" s="22" t="e">
        <f>#REF!</f>
        <v>#REF!</v>
      </c>
      <c r="Q10" s="10"/>
      <c r="R10" s="49" t="s">
        <v>186</v>
      </c>
      <c r="S10" s="22" t="e">
        <f>#REF!</f>
        <v>#REF!</v>
      </c>
      <c r="T10" s="15" t="e">
        <f>#REF!</f>
        <v>#REF!</v>
      </c>
      <c r="U10" s="22" t="e">
        <f>#REF!</f>
        <v>#REF!</v>
      </c>
      <c r="V10" s="15" t="e">
        <f>#REF!</f>
        <v>#REF!</v>
      </c>
      <c r="W10" s="48" t="s">
        <v>212</v>
      </c>
      <c r="X10" s="22" t="e">
        <f>#REF!</f>
        <v>#REF!</v>
      </c>
      <c r="Y10" s="22" t="e">
        <f>#REF!</f>
        <v>#REF!</v>
      </c>
      <c r="Z10" s="22" t="e">
        <f>#REF!</f>
        <v>#REF!</v>
      </c>
      <c r="AA10" s="22" t="e">
        <f>#REF!</f>
        <v>#REF!</v>
      </c>
      <c r="AB10" s="10"/>
      <c r="AC10" s="51" t="s">
        <v>220</v>
      </c>
      <c r="AD10" s="22" t="e">
        <f>#REF!</f>
        <v>#REF!</v>
      </c>
      <c r="AE10" s="22" t="e">
        <f>#REF!</f>
        <v>#REF!</v>
      </c>
      <c r="AF10" s="22" t="e">
        <f>#REF!</f>
        <v>#REF!</v>
      </c>
      <c r="AG10" s="22" t="e">
        <f>#REF!</f>
        <v>#REF!</v>
      </c>
    </row>
    <row r="11" spans="1:33" s="37" customFormat="1" ht="30" customHeight="1">
      <c r="A11" s="48" t="s">
        <v>65</v>
      </c>
      <c r="B11" s="9" t="e">
        <f>#REF!</f>
        <v>#REF!</v>
      </c>
      <c r="C11" s="9" t="e">
        <f>#REF!</f>
        <v>#REF!</v>
      </c>
      <c r="D11" s="9" t="e">
        <f>#REF!</f>
        <v>#REF!</v>
      </c>
      <c r="E11" s="9" t="e">
        <f>#REF!</f>
        <v>#REF!</v>
      </c>
      <c r="F11" s="10"/>
      <c r="G11" s="49" t="s">
        <v>76</v>
      </c>
      <c r="H11" s="9" t="e">
        <f>#REF!</f>
        <v>#REF!</v>
      </c>
      <c r="I11" s="9" t="e">
        <f>#REF!</f>
        <v>#REF!</v>
      </c>
      <c r="J11" s="9" t="e">
        <f>#REF!</f>
        <v>#REF!</v>
      </c>
      <c r="K11" s="15" t="e">
        <f>#REF!</f>
        <v>#REF!</v>
      </c>
      <c r="L11" s="48" t="s">
        <v>144</v>
      </c>
      <c r="M11" s="22" t="e">
        <f>#REF!</f>
        <v>#REF!</v>
      </c>
      <c r="N11" s="22" t="e">
        <f>#REF!</f>
        <v>#REF!</v>
      </c>
      <c r="O11" s="22" t="e">
        <f>#REF!</f>
        <v>#REF!</v>
      </c>
      <c r="P11" s="22" t="e">
        <f>#REF!</f>
        <v>#REF!</v>
      </c>
      <c r="Q11" s="10"/>
      <c r="R11" s="51" t="s">
        <v>187</v>
      </c>
      <c r="S11" s="22" t="e">
        <f>#REF!</f>
        <v>#REF!</v>
      </c>
      <c r="T11" s="22" t="e">
        <f>#REF!</f>
        <v>#REF!</v>
      </c>
      <c r="U11" s="22" t="e">
        <f>#REF!</f>
        <v>#REF!</v>
      </c>
      <c r="V11" s="22" t="e">
        <f>#REF!</f>
        <v>#REF!</v>
      </c>
      <c r="W11" s="48" t="s">
        <v>57</v>
      </c>
      <c r="X11" s="22" t="e">
        <f>#REF!</f>
        <v>#REF!</v>
      </c>
      <c r="Y11" s="22" t="e">
        <f>#REF!</f>
        <v>#REF!</v>
      </c>
      <c r="Z11" s="22" t="e">
        <f>#REF!</f>
        <v>#REF!</v>
      </c>
      <c r="AA11" s="22" t="e">
        <f>#REF!</f>
        <v>#REF!</v>
      </c>
      <c r="AB11" s="10"/>
      <c r="AC11" s="51" t="s">
        <v>221</v>
      </c>
      <c r="AD11" s="22" t="e">
        <f>#REF!</f>
        <v>#REF!</v>
      </c>
      <c r="AE11" s="22" t="e">
        <f>#REF!</f>
        <v>#REF!</v>
      </c>
      <c r="AF11" s="22" t="e">
        <f>#REF!</f>
        <v>#REF!</v>
      </c>
      <c r="AG11" s="22" t="e">
        <f>#REF!</f>
        <v>#REF!</v>
      </c>
    </row>
    <row r="12" spans="1:33" s="37" customFormat="1" ht="30" customHeight="1">
      <c r="A12" s="48" t="s">
        <v>66</v>
      </c>
      <c r="B12" s="9" t="e">
        <f>#REF!</f>
        <v>#REF!</v>
      </c>
      <c r="C12" s="9" t="e">
        <f>#REF!</f>
        <v>#REF!</v>
      </c>
      <c r="D12" s="9" t="e">
        <f>#REF!</f>
        <v>#REF!</v>
      </c>
      <c r="E12" s="9" t="e">
        <f>#REF!</f>
        <v>#REF!</v>
      </c>
      <c r="F12" s="10"/>
      <c r="G12" s="49" t="s">
        <v>77</v>
      </c>
      <c r="H12" s="9" t="e">
        <f>#REF!</f>
        <v>#REF!</v>
      </c>
      <c r="I12" s="9" t="e">
        <f>#REF!</f>
        <v>#REF!</v>
      </c>
      <c r="J12" s="9" t="e">
        <f>#REF!</f>
        <v>#REF!</v>
      </c>
      <c r="K12" s="15" t="e">
        <f>#REF!</f>
        <v>#REF!</v>
      </c>
      <c r="L12" s="48" t="s">
        <v>145</v>
      </c>
      <c r="M12" s="22" t="e">
        <f>#REF!</f>
        <v>#REF!</v>
      </c>
      <c r="N12" s="22" t="e">
        <f>#REF!</f>
        <v>#REF!</v>
      </c>
      <c r="O12" s="22" t="e">
        <f>#REF!</f>
        <v>#REF!</v>
      </c>
      <c r="P12" s="22" t="e">
        <f>#REF!</f>
        <v>#REF!</v>
      </c>
      <c r="Q12" s="10"/>
      <c r="R12" s="51" t="s">
        <v>188</v>
      </c>
      <c r="S12" s="22" t="e">
        <f>#REF!</f>
        <v>#REF!</v>
      </c>
      <c r="T12" s="22" t="e">
        <f>#REF!</f>
        <v>#REF!</v>
      </c>
      <c r="U12" s="22" t="e">
        <f>#REF!</f>
        <v>#REF!</v>
      </c>
      <c r="V12" s="22" t="e">
        <f>#REF!</f>
        <v>#REF!</v>
      </c>
      <c r="W12" s="48" t="s">
        <v>136</v>
      </c>
      <c r="X12" s="22" t="e">
        <f>#REF!</f>
        <v>#REF!</v>
      </c>
      <c r="Y12" s="22" t="e">
        <f>#REF!</f>
        <v>#REF!</v>
      </c>
      <c r="Z12" s="22" t="e">
        <f>#REF!</f>
        <v>#REF!</v>
      </c>
      <c r="AA12" s="22" t="e">
        <f>#REF!</f>
        <v>#REF!</v>
      </c>
      <c r="AB12" s="10"/>
      <c r="AC12" s="51" t="s">
        <v>222</v>
      </c>
      <c r="AD12" s="22" t="e">
        <f>#REF!</f>
        <v>#REF!</v>
      </c>
      <c r="AE12" s="22" t="e">
        <f>#REF!</f>
        <v>#REF!</v>
      </c>
      <c r="AF12" s="22" t="e">
        <f>#REF!</f>
        <v>#REF!</v>
      </c>
      <c r="AG12" s="22" t="e">
        <f>#REF!</f>
        <v>#REF!</v>
      </c>
    </row>
    <row r="13" spans="1:33" s="37" customFormat="1" ht="30" customHeight="1">
      <c r="A13" s="48" t="s">
        <v>56</v>
      </c>
      <c r="B13" s="9" t="e">
        <f>#REF!</f>
        <v>#REF!</v>
      </c>
      <c r="C13" s="9" t="e">
        <f>#REF!</f>
        <v>#REF!</v>
      </c>
      <c r="D13" s="9" t="e">
        <f>#REF!</f>
        <v>#REF!</v>
      </c>
      <c r="E13" s="9" t="e">
        <f>#REF!</f>
        <v>#REF!</v>
      </c>
      <c r="F13" s="10"/>
      <c r="G13" s="49" t="s">
        <v>78</v>
      </c>
      <c r="H13" s="15" t="e">
        <f>#REF!</f>
        <v>#REF!</v>
      </c>
      <c r="I13" s="22" t="e">
        <f>#REF!</f>
        <v>#REF!</v>
      </c>
      <c r="J13" s="9" t="e">
        <f>#REF!</f>
        <v>#REF!</v>
      </c>
      <c r="K13" s="15" t="e">
        <f>#REF!</f>
        <v>#REF!</v>
      </c>
      <c r="L13" s="48" t="s">
        <v>146</v>
      </c>
      <c r="M13" s="22" t="e">
        <f>#REF!</f>
        <v>#REF!</v>
      </c>
      <c r="N13" s="22" t="e">
        <f>#REF!</f>
        <v>#REF!</v>
      </c>
      <c r="O13" s="22" t="e">
        <f>#REF!</f>
        <v>#REF!</v>
      </c>
      <c r="P13" s="22" t="e">
        <f>#REF!</f>
        <v>#REF!</v>
      </c>
      <c r="Q13" s="10"/>
      <c r="R13" s="51" t="s">
        <v>192</v>
      </c>
      <c r="S13" s="22" t="e">
        <f>#REF!</f>
        <v>#REF!</v>
      </c>
      <c r="T13" s="22" t="e">
        <f>#REF!</f>
        <v>#REF!</v>
      </c>
      <c r="U13" s="22" t="e">
        <f>#REF!</f>
        <v>#REF!</v>
      </c>
      <c r="V13" s="22" t="e">
        <f>#REF!</f>
        <v>#REF!</v>
      </c>
      <c r="W13" s="48" t="s">
        <v>213</v>
      </c>
      <c r="X13" s="22" t="e">
        <f>#REF!</f>
        <v>#REF!</v>
      </c>
      <c r="Y13" s="22" t="e">
        <f>#REF!</f>
        <v>#REF!</v>
      </c>
      <c r="Z13" s="22" t="e">
        <f>#REF!</f>
        <v>#REF!</v>
      </c>
      <c r="AA13" s="22" t="e">
        <f>#REF!</f>
        <v>#REF!</v>
      </c>
      <c r="AB13" s="10"/>
      <c r="AC13" s="51" t="s">
        <v>157</v>
      </c>
      <c r="AD13" s="22" t="e">
        <f>#REF!</f>
        <v>#REF!</v>
      </c>
      <c r="AE13" s="22" t="e">
        <f>#REF!</f>
        <v>#REF!</v>
      </c>
      <c r="AF13" s="22" t="e">
        <f>#REF!</f>
        <v>#REF!</v>
      </c>
      <c r="AG13" s="22" t="e">
        <f>#REF!</f>
        <v>#REF!</v>
      </c>
    </row>
    <row r="14" spans="1:33" s="37" customFormat="1" ht="30" customHeight="1">
      <c r="A14" s="48" t="s">
        <v>14</v>
      </c>
      <c r="B14" s="9" t="e">
        <f>#REF!</f>
        <v>#REF!</v>
      </c>
      <c r="C14" s="9" t="e">
        <f>#REF!</f>
        <v>#REF!</v>
      </c>
      <c r="D14" s="9" t="e">
        <f>#REF!</f>
        <v>#REF!</v>
      </c>
      <c r="E14" s="9" t="e">
        <f>#REF!</f>
        <v>#REF!</v>
      </c>
      <c r="F14" s="10"/>
      <c r="G14" s="49" t="s">
        <v>79</v>
      </c>
      <c r="H14" s="9" t="e">
        <f>#REF!</f>
        <v>#REF!</v>
      </c>
      <c r="I14" s="9" t="e">
        <f>#REF!</f>
        <v>#REF!</v>
      </c>
      <c r="J14" s="9" t="e">
        <f>#REF!</f>
        <v>#REF!</v>
      </c>
      <c r="K14" s="15" t="e">
        <f>#REF!</f>
        <v>#REF!</v>
      </c>
      <c r="L14" s="48" t="s">
        <v>147</v>
      </c>
      <c r="M14" s="22" t="e">
        <f>#REF!</f>
        <v>#REF!</v>
      </c>
      <c r="N14" s="22" t="e">
        <f>#REF!</f>
        <v>#REF!</v>
      </c>
      <c r="O14" s="22" t="e">
        <f>#REF!</f>
        <v>#REF!</v>
      </c>
      <c r="P14" s="22" t="e">
        <f>#REF!</f>
        <v>#REF!</v>
      </c>
      <c r="Q14" s="10"/>
      <c r="R14" s="49" t="s">
        <v>189</v>
      </c>
      <c r="S14" s="22" t="e">
        <f>#REF!</f>
        <v>#REF!</v>
      </c>
      <c r="T14" s="15" t="e">
        <f>#REF!</f>
        <v>#REF!</v>
      </c>
      <c r="U14" s="22" t="e">
        <f>#REF!</f>
        <v>#REF!</v>
      </c>
      <c r="V14" s="15" t="e">
        <f>#REF!</f>
        <v>#REF!</v>
      </c>
      <c r="W14" s="48" t="s">
        <v>214</v>
      </c>
      <c r="X14" s="22" t="e">
        <f>#REF!</f>
        <v>#REF!</v>
      </c>
      <c r="Y14" s="22" t="e">
        <f>#REF!</f>
        <v>#REF!</v>
      </c>
      <c r="Z14" s="22" t="e">
        <f>#REF!</f>
        <v>#REF!</v>
      </c>
      <c r="AA14" s="22" t="e">
        <f>#REF!</f>
        <v>#REF!</v>
      </c>
      <c r="AB14" s="10"/>
      <c r="AC14" s="49" t="s">
        <v>223</v>
      </c>
      <c r="AD14" s="22" t="e">
        <f>#REF!</f>
        <v>#REF!</v>
      </c>
      <c r="AE14" s="22" t="e">
        <f>#REF!</f>
        <v>#REF!</v>
      </c>
      <c r="AF14" s="22" t="e">
        <f>#REF!</f>
        <v>#REF!</v>
      </c>
      <c r="AG14" s="15" t="e">
        <f>#REF!</f>
        <v>#REF!</v>
      </c>
    </row>
    <row r="15" spans="1:33" s="37" customFormat="1" ht="30" customHeight="1">
      <c r="A15" s="48" t="s">
        <v>63</v>
      </c>
      <c r="B15" s="9" t="e">
        <f>#REF!</f>
        <v>#REF!</v>
      </c>
      <c r="C15" s="9" t="e">
        <f>#REF!</f>
        <v>#REF!</v>
      </c>
      <c r="D15" s="9" t="e">
        <f>#REF!</f>
        <v>#REF!</v>
      </c>
      <c r="E15" s="9" t="e">
        <f>#REF!</f>
        <v>#REF!</v>
      </c>
      <c r="F15" s="10"/>
      <c r="G15" s="49" t="s">
        <v>80</v>
      </c>
      <c r="H15" s="9" t="e">
        <f>#REF!</f>
        <v>#REF!</v>
      </c>
      <c r="I15" s="9" t="e">
        <f>#REF!</f>
        <v>#REF!</v>
      </c>
      <c r="J15" s="9" t="e">
        <f>#REF!</f>
        <v>#REF!</v>
      </c>
      <c r="K15" s="15" t="e">
        <f>#REF!</f>
        <v>#REF!</v>
      </c>
      <c r="L15" s="49" t="s">
        <v>148</v>
      </c>
      <c r="M15" s="22" t="e">
        <f>#REF!</f>
        <v>#REF!</v>
      </c>
      <c r="N15" s="22" t="e">
        <f>#REF!</f>
        <v>#REF!</v>
      </c>
      <c r="O15" s="15" t="e">
        <f>#REF!</f>
        <v>#REF!</v>
      </c>
      <c r="P15" s="15" t="e">
        <f>#REF!</f>
        <v>#REF!</v>
      </c>
      <c r="Q15" s="10"/>
      <c r="R15" s="51" t="s">
        <v>174</v>
      </c>
      <c r="S15" s="22" t="e">
        <f>#REF!</f>
        <v>#REF!</v>
      </c>
      <c r="T15" s="22" t="e">
        <f>#REF!</f>
        <v>#REF!</v>
      </c>
      <c r="U15" s="22" t="e">
        <f>#REF!</f>
        <v>#REF!</v>
      </c>
      <c r="V15" s="22" t="e">
        <f>#REF!</f>
        <v>#REF!</v>
      </c>
      <c r="W15" s="48" t="s">
        <v>215</v>
      </c>
      <c r="X15" s="22" t="e">
        <f>#REF!</f>
        <v>#REF!</v>
      </c>
      <c r="Y15" s="22" t="e">
        <f>#REF!</f>
        <v>#REF!</v>
      </c>
      <c r="Z15" s="22" t="e">
        <f>#REF!</f>
        <v>#REF!</v>
      </c>
      <c r="AA15" s="22" t="e">
        <f>#REF!</f>
        <v>#REF!</v>
      </c>
      <c r="AB15" s="10"/>
      <c r="AC15" s="51" t="s">
        <v>128</v>
      </c>
      <c r="AD15" s="22" t="e">
        <f>#REF!</f>
        <v>#REF!</v>
      </c>
      <c r="AE15" s="22" t="e">
        <f>#REF!</f>
        <v>#REF!</v>
      </c>
      <c r="AF15" s="22" t="e">
        <f>#REF!</f>
        <v>#REF!</v>
      </c>
      <c r="AG15" s="22" t="e">
        <f>#REF!</f>
        <v>#REF!</v>
      </c>
    </row>
    <row r="16" spans="1:33" s="37" customFormat="1" ht="30" customHeight="1">
      <c r="A16" s="49" t="s">
        <v>67</v>
      </c>
      <c r="B16" s="9" t="e">
        <f>#REF!</f>
        <v>#REF!</v>
      </c>
      <c r="C16" s="15" t="e">
        <f>#REF!</f>
        <v>#REF!</v>
      </c>
      <c r="D16" s="15" t="e">
        <f>#REF!</f>
        <v>#REF!</v>
      </c>
      <c r="E16" s="15" t="e">
        <f>#REF!</f>
        <v>#REF!</v>
      </c>
      <c r="F16" s="10"/>
      <c r="G16" s="49" t="s">
        <v>81</v>
      </c>
      <c r="H16" s="9" t="e">
        <f>#REF!</f>
        <v>#REF!</v>
      </c>
      <c r="I16" s="15" t="e">
        <f>#REF!</f>
        <v>#REF!</v>
      </c>
      <c r="J16" s="15" t="e">
        <f>#REF!</f>
        <v>#REF!</v>
      </c>
      <c r="K16" s="15" t="e">
        <f>#REF!</f>
        <v>#REF!</v>
      </c>
      <c r="L16" s="48" t="s">
        <v>149</v>
      </c>
      <c r="M16" s="22" t="e">
        <f>#REF!</f>
        <v>#REF!</v>
      </c>
      <c r="N16" s="22" t="e">
        <f>#REF!</f>
        <v>#REF!</v>
      </c>
      <c r="O16" s="22" t="e">
        <f>#REF!</f>
        <v>#REF!</v>
      </c>
      <c r="P16" s="22" t="e">
        <f>#REF!</f>
        <v>#REF!</v>
      </c>
      <c r="Q16" s="10"/>
      <c r="R16" s="49" t="s">
        <v>121</v>
      </c>
      <c r="S16" s="22" t="e">
        <f>#REF!</f>
        <v>#REF!</v>
      </c>
      <c r="T16" s="15" t="e">
        <f>#REF!</f>
        <v>#REF!</v>
      </c>
      <c r="U16" s="22" t="e">
        <f>#REF!</f>
        <v>#REF!</v>
      </c>
      <c r="V16" s="15" t="e">
        <f>#REF!</f>
        <v>#REF!</v>
      </c>
      <c r="W16" s="48" t="s">
        <v>96</v>
      </c>
      <c r="X16" s="22" t="e">
        <f>#REF!</f>
        <v>#REF!</v>
      </c>
      <c r="Y16" s="22" t="e">
        <f>#REF!</f>
        <v>#REF!</v>
      </c>
      <c r="Z16" s="22" t="e">
        <f>#REF!</f>
        <v>#REF!</v>
      </c>
      <c r="AA16" s="22" t="e">
        <f>#REF!</f>
        <v>#REF!</v>
      </c>
      <c r="AB16" s="10"/>
      <c r="AC16" s="23"/>
      <c r="AD16" s="12"/>
      <c r="AE16" s="12"/>
      <c r="AF16" s="12"/>
      <c r="AG16" s="12"/>
    </row>
    <row r="17" spans="1:60" s="37" customFormat="1" ht="30" customHeight="1">
      <c r="A17" s="49" t="s">
        <v>68</v>
      </c>
      <c r="B17" s="9" t="e">
        <f>#REF!</f>
        <v>#REF!</v>
      </c>
      <c r="C17" s="9" t="e">
        <f>#REF!</f>
        <v>#REF!</v>
      </c>
      <c r="D17" s="9" t="e">
        <f>#REF!</f>
        <v>#REF!</v>
      </c>
      <c r="E17" s="15" t="e">
        <f>#REF!</f>
        <v>#REF!</v>
      </c>
      <c r="F17" s="10"/>
      <c r="G17" s="49" t="s">
        <v>55</v>
      </c>
      <c r="H17" s="9" t="e">
        <f>#REF!</f>
        <v>#REF!</v>
      </c>
      <c r="I17" s="9" t="e">
        <f>#REF!</f>
        <v>#REF!</v>
      </c>
      <c r="J17" s="9" t="e">
        <f>#REF!</f>
        <v>#REF!</v>
      </c>
      <c r="K17" s="15" t="e">
        <f>#REF!</f>
        <v>#REF!</v>
      </c>
      <c r="L17" s="49" t="s">
        <v>150</v>
      </c>
      <c r="M17" s="22" t="e">
        <f>#REF!</f>
        <v>#REF!</v>
      </c>
      <c r="N17" s="22" t="e">
        <f>#REF!</f>
        <v>#REF!</v>
      </c>
      <c r="O17" s="22" t="e">
        <f>#REF!</f>
        <v>#REF!</v>
      </c>
      <c r="P17" s="15" t="e">
        <f>#REF!</f>
        <v>#REF!</v>
      </c>
      <c r="Q17" s="10"/>
      <c r="R17" s="51" t="s">
        <v>190</v>
      </c>
      <c r="S17" s="22" t="e">
        <f>#REF!</f>
        <v>#REF!</v>
      </c>
      <c r="T17" s="22" t="e">
        <f>#REF!</f>
        <v>#REF!</v>
      </c>
      <c r="U17" s="22" t="e">
        <f>#REF!</f>
        <v>#REF!</v>
      </c>
      <c r="V17" s="22" t="e">
        <f>#REF!</f>
        <v>#REF!</v>
      </c>
      <c r="W17" s="48" t="s">
        <v>216</v>
      </c>
      <c r="X17" s="22" t="e">
        <f>#REF!</f>
        <v>#REF!</v>
      </c>
      <c r="Y17" s="22" t="e">
        <f>#REF!</f>
        <v>#REF!</v>
      </c>
      <c r="Z17" s="22" t="e">
        <f>#REF!</f>
        <v>#REF!</v>
      </c>
      <c r="AA17" s="22" t="e">
        <f>#REF!</f>
        <v>#REF!</v>
      </c>
      <c r="AB17" s="10"/>
      <c r="AC17" s="25"/>
      <c r="AD17" s="21"/>
      <c r="AE17" s="21"/>
      <c r="AF17" s="21"/>
      <c r="AG17" s="21"/>
    </row>
    <row r="18" spans="1:60" s="37" customFormat="1" ht="30" customHeight="1">
      <c r="A18" s="49" t="s">
        <v>69</v>
      </c>
      <c r="B18" s="9" t="e">
        <f>#REF!</f>
        <v>#REF!</v>
      </c>
      <c r="C18" s="9" t="e">
        <f>#REF!</f>
        <v>#REF!</v>
      </c>
      <c r="D18" s="9" t="e">
        <f>#REF!</f>
        <v>#REF!</v>
      </c>
      <c r="E18" s="15" t="e">
        <f>#REF!</f>
        <v>#REF!</v>
      </c>
      <c r="F18" s="10"/>
      <c r="G18" s="48" t="s">
        <v>82</v>
      </c>
      <c r="H18" s="9" t="e">
        <f>#REF!</f>
        <v>#REF!</v>
      </c>
      <c r="I18" s="9" t="e">
        <f>#REF!</f>
        <v>#REF!</v>
      </c>
      <c r="J18" s="9" t="e">
        <f>#REF!</f>
        <v>#REF!</v>
      </c>
      <c r="K18" s="9" t="e">
        <f>#REF!</f>
        <v>#REF!</v>
      </c>
      <c r="L18" s="48" t="s">
        <v>151</v>
      </c>
      <c r="M18" s="22" t="e">
        <f>#REF!</f>
        <v>#REF!</v>
      </c>
      <c r="N18" s="22" t="e">
        <f>#REF!</f>
        <v>#REF!</v>
      </c>
      <c r="O18" s="22" t="e">
        <f>#REF!</f>
        <v>#REF!</v>
      </c>
      <c r="P18" s="22" t="e">
        <f>#REF!</f>
        <v>#REF!</v>
      </c>
      <c r="Q18" s="10"/>
      <c r="R18" s="51" t="s">
        <v>191</v>
      </c>
      <c r="S18" s="22" t="e">
        <f>#REF!</f>
        <v>#REF!</v>
      </c>
      <c r="T18" s="22" t="e">
        <f>#REF!</f>
        <v>#REF!</v>
      </c>
      <c r="U18" s="22" t="e">
        <f>#REF!</f>
        <v>#REF!</v>
      </c>
      <c r="V18" s="22" t="e">
        <f>#REF!</f>
        <v>#REF!</v>
      </c>
      <c r="W18" s="48" t="s">
        <v>119</v>
      </c>
      <c r="X18" s="22" t="e">
        <f>#REF!</f>
        <v>#REF!</v>
      </c>
      <c r="Y18" s="22" t="e">
        <f>#REF!</f>
        <v>#REF!</v>
      </c>
      <c r="Z18" s="22" t="e">
        <f>#REF!</f>
        <v>#REF!</v>
      </c>
      <c r="AA18" s="22" t="e">
        <f>#REF!</f>
        <v>#REF!</v>
      </c>
      <c r="AB18" s="10"/>
      <c r="AC18" s="25"/>
      <c r="AD18" s="21"/>
      <c r="AE18" s="21"/>
      <c r="AF18" s="21"/>
      <c r="AG18" s="21"/>
    </row>
    <row r="19" spans="1:60" s="37" customFormat="1" ht="30" customHeight="1">
      <c r="A19" s="49" t="s">
        <v>70</v>
      </c>
      <c r="B19" s="9" t="e">
        <f>#REF!</f>
        <v>#REF!</v>
      </c>
      <c r="C19" s="9" t="e">
        <f>#REF!</f>
        <v>#REF!</v>
      </c>
      <c r="D19" s="15" t="e">
        <f>#REF!</f>
        <v>#REF!</v>
      </c>
      <c r="E19" s="9" t="e">
        <f>#REF!</f>
        <v>#REF!</v>
      </c>
      <c r="F19" s="10"/>
      <c r="G19" s="11"/>
      <c r="H19" s="11"/>
      <c r="I19" s="12"/>
      <c r="J19" s="14"/>
      <c r="K19" s="14"/>
      <c r="L19" s="48" t="s">
        <v>152</v>
      </c>
      <c r="M19" s="22" t="e">
        <f>#REF!</f>
        <v>#REF!</v>
      </c>
      <c r="N19" s="22" t="e">
        <f>#REF!</f>
        <v>#REF!</v>
      </c>
      <c r="O19" s="22" t="e">
        <f>#REF!</f>
        <v>#REF!</v>
      </c>
      <c r="P19" s="22" t="e">
        <f>#REF!</f>
        <v>#REF!</v>
      </c>
      <c r="Q19" s="10"/>
      <c r="R19" s="11"/>
      <c r="S19" s="11"/>
      <c r="T19" s="12"/>
      <c r="U19" s="12"/>
      <c r="V19" s="12"/>
      <c r="W19" s="13"/>
      <c r="X19" s="12"/>
      <c r="Y19" s="12"/>
      <c r="Z19" s="12"/>
      <c r="AA19" s="12"/>
      <c r="AB19" s="21"/>
      <c r="AC19" s="11"/>
      <c r="AD19" s="21"/>
      <c r="AE19" s="21"/>
      <c r="AF19" s="21"/>
      <c r="AG19" s="21"/>
    </row>
    <row r="20" spans="1:60" s="37" customFormat="1" ht="30" customHeight="1">
      <c r="A20" s="48" t="s">
        <v>71</v>
      </c>
      <c r="B20" s="9" t="e">
        <f>#REF!</f>
        <v>#REF!</v>
      </c>
      <c r="C20" s="9" t="e">
        <f>#REF!</f>
        <v>#REF!</v>
      </c>
      <c r="D20" s="9" t="e">
        <f>#REF!</f>
        <v>#REF!</v>
      </c>
      <c r="E20" s="9" t="e">
        <f>#REF!</f>
        <v>#REF!</v>
      </c>
      <c r="F20" s="10"/>
      <c r="G20" s="11"/>
      <c r="H20" s="11"/>
      <c r="I20" s="14"/>
      <c r="J20" s="14"/>
      <c r="K20" s="14"/>
      <c r="L20" s="13"/>
      <c r="M20" s="12"/>
      <c r="N20" s="12"/>
      <c r="O20" s="12"/>
      <c r="P20" s="12"/>
      <c r="Q20" s="21"/>
      <c r="R20" s="11"/>
      <c r="S20" s="11"/>
      <c r="T20" s="14"/>
      <c r="U20" s="14"/>
      <c r="V20" s="14"/>
      <c r="W20" s="11"/>
      <c r="X20" s="14"/>
      <c r="Y20" s="14"/>
      <c r="Z20" s="14"/>
      <c r="AA20" s="14"/>
      <c r="AB20" s="21"/>
      <c r="AC20" s="11"/>
      <c r="AD20" s="21"/>
      <c r="AE20" s="21"/>
      <c r="AF20" s="21"/>
      <c r="AG20" s="21"/>
    </row>
    <row r="21" spans="1:60" s="37" customFormat="1" ht="30" customHeight="1">
      <c r="A21" s="48" t="s">
        <v>43</v>
      </c>
      <c r="B21" s="9" t="e">
        <f>#REF!</f>
        <v>#REF!</v>
      </c>
      <c r="C21" s="9" t="e">
        <f>#REF!</f>
        <v>#REF!</v>
      </c>
      <c r="D21" s="9" t="e">
        <f>#REF!</f>
        <v>#REF!</v>
      </c>
      <c r="E21" s="9" t="e">
        <f>#REF!</f>
        <v>#REF!</v>
      </c>
      <c r="F21" s="10"/>
      <c r="G21" s="11"/>
      <c r="H21" s="11"/>
      <c r="I21" s="14"/>
      <c r="J21" s="14"/>
      <c r="K21" s="14"/>
      <c r="L21" s="11"/>
      <c r="M21" s="14"/>
      <c r="N21" s="14"/>
      <c r="O21" s="14"/>
      <c r="P21" s="14"/>
      <c r="Q21" s="21"/>
      <c r="R21" s="11"/>
      <c r="S21" s="11"/>
      <c r="T21" s="14"/>
      <c r="U21" s="14"/>
      <c r="V21" s="14"/>
      <c r="W21" s="11"/>
      <c r="X21" s="14"/>
      <c r="Y21" s="14"/>
      <c r="Z21" s="14"/>
      <c r="AA21" s="14"/>
      <c r="AB21" s="21"/>
      <c r="AC21" s="11"/>
      <c r="AD21" s="21"/>
      <c r="AE21" s="21"/>
      <c r="AF21" s="21"/>
      <c r="AG21" s="21"/>
    </row>
    <row r="22" spans="1:60" s="37" customFormat="1" ht="30" customHeight="1">
      <c r="A22" s="49" t="s">
        <v>52</v>
      </c>
      <c r="B22" s="9" t="e">
        <f>#REF!</f>
        <v>#REF!</v>
      </c>
      <c r="C22" s="9" t="e">
        <f>#REF!</f>
        <v>#REF!</v>
      </c>
      <c r="D22" s="9" t="e">
        <f>#REF!</f>
        <v>#REF!</v>
      </c>
      <c r="E22" s="15" t="e">
        <f>#REF!</f>
        <v>#REF!</v>
      </c>
      <c r="F22" s="21"/>
      <c r="G22" s="11"/>
      <c r="H22" s="11"/>
      <c r="I22" s="14"/>
      <c r="J22" s="14"/>
      <c r="K22" s="14"/>
      <c r="L22" s="11"/>
      <c r="M22" s="14"/>
      <c r="N22" s="14"/>
      <c r="O22" s="14"/>
      <c r="P22" s="14"/>
      <c r="Q22" s="21"/>
      <c r="R22" s="11"/>
      <c r="S22" s="11"/>
      <c r="T22" s="14"/>
      <c r="U22" s="14"/>
      <c r="V22" s="14"/>
      <c r="W22" s="11"/>
      <c r="X22" s="14"/>
      <c r="Y22" s="14"/>
      <c r="Z22" s="14"/>
      <c r="AA22" s="14"/>
      <c r="AB22" s="21"/>
      <c r="AC22" s="11"/>
      <c r="AD22" s="21"/>
      <c r="AE22" s="21"/>
      <c r="AF22" s="21"/>
      <c r="AG22" s="21"/>
    </row>
    <row r="23" spans="1:60" s="37" customFormat="1" ht="30" customHeight="1">
      <c r="A23" s="49" t="s">
        <v>72</v>
      </c>
      <c r="B23" s="15" t="e">
        <f>#REF!</f>
        <v>#REF!</v>
      </c>
      <c r="C23" s="9" t="e">
        <f>#REF!</f>
        <v>#REF!</v>
      </c>
      <c r="D23" s="9" t="e">
        <f>#REF!</f>
        <v>#REF!</v>
      </c>
      <c r="E23" s="15" t="e">
        <f>#REF!</f>
        <v>#REF!</v>
      </c>
      <c r="F23" s="21"/>
      <c r="G23" s="11"/>
      <c r="H23" s="11"/>
      <c r="I23" s="14"/>
      <c r="J23" s="14"/>
      <c r="K23" s="14"/>
      <c r="L23" s="11"/>
      <c r="M23" s="14"/>
      <c r="N23" s="14"/>
      <c r="O23" s="14"/>
      <c r="P23" s="14"/>
      <c r="Q23" s="21"/>
      <c r="R23" s="11"/>
      <c r="S23" s="11"/>
      <c r="T23" s="14"/>
      <c r="U23" s="14"/>
      <c r="V23" s="14"/>
      <c r="W23" s="11"/>
      <c r="X23" s="14"/>
      <c r="Y23" s="14"/>
      <c r="Z23" s="14"/>
      <c r="AA23" s="14"/>
      <c r="AB23" s="21"/>
      <c r="AC23" s="11"/>
      <c r="AD23" s="21"/>
      <c r="AE23" s="21"/>
      <c r="AF23" s="21"/>
      <c r="AG23" s="21"/>
    </row>
    <row r="24" spans="1:60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"/>
      <c r="M24" s="1"/>
      <c r="N24" s="1"/>
      <c r="O24" s="1"/>
      <c r="P24" s="1"/>
      <c r="W24" s="1"/>
      <c r="X24" s="1"/>
      <c r="Y24" s="1"/>
      <c r="Z24" s="1"/>
      <c r="AA24" s="1"/>
    </row>
    <row r="25" spans="1:60" ht="22.5">
      <c r="A25" s="99" t="s">
        <v>363</v>
      </c>
      <c r="B25" s="69"/>
      <c r="C25" s="69"/>
      <c r="D25" s="70" t="s">
        <v>355</v>
      </c>
      <c r="E25" s="67" t="s">
        <v>356</v>
      </c>
      <c r="G25" s="1"/>
      <c r="H25" s="72"/>
      <c r="I25" s="69"/>
      <c r="J25" s="70" t="s">
        <v>355</v>
      </c>
      <c r="K25" s="67" t="s">
        <v>356</v>
      </c>
      <c r="L25" s="1"/>
      <c r="M25" s="1"/>
      <c r="N25" s="1"/>
      <c r="O25" s="1"/>
      <c r="P25" s="1"/>
      <c r="R25" s="1"/>
      <c r="S25" s="1"/>
      <c r="T25" s="1"/>
      <c r="U25" s="1"/>
      <c r="V25" s="1"/>
      <c r="W25" s="1"/>
      <c r="X25" s="1"/>
      <c r="Y25" s="1"/>
      <c r="Z25" s="1"/>
      <c r="AA25" s="21"/>
      <c r="AB25" s="14"/>
      <c r="AC25" s="14"/>
      <c r="AD25" s="14"/>
      <c r="AE25" s="11"/>
      <c r="AF25" s="31"/>
      <c r="AG25" s="11"/>
      <c r="AH25" s="14"/>
      <c r="AI25" s="14"/>
      <c r="AJ25" s="25"/>
      <c r="AK25" s="26"/>
      <c r="AL25" s="21"/>
      <c r="AM25" s="11"/>
      <c r="AN25" s="11"/>
      <c r="AO25" s="14"/>
      <c r="AP25" s="14"/>
      <c r="AQ25" s="14"/>
      <c r="AR25" s="25"/>
      <c r="AS25" s="26"/>
      <c r="AT25" s="11"/>
      <c r="AU25" s="14"/>
      <c r="AV25" s="14"/>
      <c r="AW25" s="14"/>
      <c r="AX25" s="14"/>
      <c r="AY25" s="25"/>
      <c r="AZ25" s="26"/>
      <c r="BA25" s="21"/>
      <c r="BB25" s="11"/>
      <c r="BC25" s="21"/>
      <c r="BD25" s="21"/>
      <c r="BE25" s="21"/>
      <c r="BF25" s="21"/>
      <c r="BG25" s="25"/>
      <c r="BH25" s="26"/>
    </row>
    <row r="26" spans="1:60" ht="22.5">
      <c r="A26" s="99"/>
      <c r="B26" s="99" t="s">
        <v>0</v>
      </c>
      <c r="C26" s="68" t="s">
        <v>199</v>
      </c>
      <c r="D26" s="63" t="e">
        <f>SUM(B7:B23)/26*100/17</f>
        <v>#REF!</v>
      </c>
      <c r="E26" s="66"/>
      <c r="G26" s="1"/>
      <c r="H26" s="99" t="s">
        <v>363</v>
      </c>
      <c r="I26" s="68" t="s">
        <v>64</v>
      </c>
      <c r="J26" s="63">
        <v>51</v>
      </c>
      <c r="K26" s="64">
        <f>(26-18)/26*100</f>
        <v>30.76923076923077</v>
      </c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1"/>
      <c r="Z26" s="1"/>
      <c r="AA26" s="1"/>
      <c r="AC26" s="1"/>
    </row>
    <row r="27" spans="1:60" ht="22.5">
      <c r="A27" s="99"/>
      <c r="B27" s="99"/>
      <c r="C27" s="68" t="s">
        <v>362</v>
      </c>
      <c r="D27" s="63" t="e">
        <f>SUM(C7:C23)/26*100/17</f>
        <v>#REF!</v>
      </c>
      <c r="E27" s="65"/>
      <c r="G27" s="1"/>
      <c r="H27" s="99"/>
      <c r="I27" s="68" t="s">
        <v>387</v>
      </c>
      <c r="J27" s="63">
        <v>42</v>
      </c>
      <c r="K27" s="64">
        <f>(26-14)/26*100</f>
        <v>46.153846153846153</v>
      </c>
      <c r="L27" s="1"/>
      <c r="M27" s="1"/>
      <c r="N27" s="1"/>
      <c r="O27" s="1"/>
      <c r="P27" s="1"/>
      <c r="R27" s="1"/>
      <c r="S27" s="1"/>
      <c r="T27" s="1"/>
      <c r="U27" s="1"/>
      <c r="V27" s="1"/>
      <c r="W27" s="1"/>
      <c r="X27" s="1"/>
      <c r="Y27" s="1"/>
      <c r="Z27" s="1"/>
      <c r="AA27" s="1"/>
      <c r="AC27" s="1"/>
    </row>
    <row r="28" spans="1:60" ht="22.5">
      <c r="A28" s="99"/>
      <c r="B28" s="99"/>
      <c r="C28" s="68" t="s">
        <v>201</v>
      </c>
      <c r="D28" s="63" t="e">
        <f>SUM(D7:D23)/25*100/17</f>
        <v>#REF!</v>
      </c>
      <c r="E28" s="66"/>
      <c r="G28" s="1"/>
      <c r="H28" s="99"/>
      <c r="I28" s="68" t="s">
        <v>72</v>
      </c>
      <c r="J28" s="63">
        <v>53</v>
      </c>
      <c r="K28" s="64">
        <f>(26-14)/26*100</f>
        <v>46.153846153846153</v>
      </c>
      <c r="M28" s="1"/>
      <c r="N28" s="1"/>
      <c r="O28" s="1"/>
      <c r="P28" s="1"/>
      <c r="Q28" s="5"/>
      <c r="R28" s="5"/>
      <c r="V28" s="1"/>
      <c r="W28" s="1"/>
      <c r="X28" s="1"/>
      <c r="Y28" s="1"/>
      <c r="Z28" s="1"/>
      <c r="AA28" s="1"/>
      <c r="AC28" s="1"/>
    </row>
    <row r="29" spans="1:60" ht="22.5">
      <c r="A29" s="99"/>
      <c r="B29" s="99"/>
      <c r="C29" s="68" t="s">
        <v>202</v>
      </c>
      <c r="D29" s="63" t="e">
        <f>SUM(E7:E23)/25*100/17</f>
        <v>#REF!</v>
      </c>
      <c r="E29" s="65"/>
      <c r="G29" s="1"/>
      <c r="H29" s="99"/>
      <c r="I29" s="68" t="s">
        <v>388</v>
      </c>
      <c r="J29" s="63">
        <v>71</v>
      </c>
      <c r="K29" s="64">
        <f>(26-19)/26*100</f>
        <v>26.923076923076923</v>
      </c>
      <c r="M29" s="1"/>
      <c r="N29" s="1"/>
      <c r="O29" s="1"/>
      <c r="P29" s="1"/>
      <c r="Q29" s="5"/>
      <c r="R29" s="5"/>
      <c r="V29" s="1"/>
      <c r="W29" s="1"/>
      <c r="X29" s="1"/>
      <c r="Y29" s="1"/>
      <c r="Z29" s="1"/>
      <c r="AA29" s="1"/>
      <c r="AC29" s="1"/>
    </row>
    <row r="30" spans="1:60" ht="22.5">
      <c r="A30" s="99"/>
      <c r="B30" s="100" t="s">
        <v>1</v>
      </c>
      <c r="C30" s="68" t="s">
        <v>199</v>
      </c>
      <c r="D30" s="63" t="e">
        <f>SUM(H7:H18)/26*100/12</f>
        <v>#REF!</v>
      </c>
      <c r="E30" s="66"/>
      <c r="G30" s="1"/>
      <c r="H30" s="99"/>
      <c r="I30" s="68" t="s">
        <v>389</v>
      </c>
      <c r="J30" s="63"/>
      <c r="K30" s="64">
        <f>(26-18)/26*100</f>
        <v>30.76923076923077</v>
      </c>
      <c r="M30" s="1"/>
      <c r="N30" s="1"/>
      <c r="O30" s="1"/>
      <c r="P30" s="1"/>
      <c r="Q30" s="5"/>
      <c r="R30" s="5"/>
      <c r="V30" s="1"/>
      <c r="W30" s="1"/>
      <c r="X30" s="1"/>
      <c r="Y30" s="1"/>
      <c r="Z30" s="1"/>
      <c r="AA30" s="1"/>
      <c r="AC30" s="1"/>
    </row>
    <row r="31" spans="1:60" ht="22.5">
      <c r="A31" s="99"/>
      <c r="B31" s="100"/>
      <c r="C31" s="68" t="s">
        <v>362</v>
      </c>
      <c r="D31" s="63" t="e">
        <f>SUM(I7:I18)/26*100/12</f>
        <v>#REF!</v>
      </c>
      <c r="E31" s="65"/>
      <c r="G31" s="1"/>
      <c r="H31" s="99" t="s">
        <v>364</v>
      </c>
      <c r="I31" s="68" t="s">
        <v>391</v>
      </c>
      <c r="J31" s="78">
        <v>74</v>
      </c>
      <c r="K31" s="65">
        <f>(51-(10+13))/51*100</f>
        <v>54.901960784313729</v>
      </c>
      <c r="M31" s="1"/>
      <c r="N31" s="1"/>
      <c r="O31" s="1"/>
      <c r="P31" s="1"/>
      <c r="Q31" s="5"/>
      <c r="R31" s="5"/>
      <c r="V31" s="1"/>
      <c r="W31" s="1"/>
      <c r="X31" s="1"/>
      <c r="Y31" s="1"/>
      <c r="Z31" s="1"/>
      <c r="AA31" s="1"/>
      <c r="AC31" s="1"/>
    </row>
    <row r="32" spans="1:60" ht="22.5">
      <c r="A32" s="99"/>
      <c r="B32" s="100"/>
      <c r="C32" s="68" t="s">
        <v>201</v>
      </c>
      <c r="D32" s="63" t="e">
        <f>SUM(J7:J18)/25*100/12</f>
        <v>#REF!</v>
      </c>
      <c r="E32" s="66"/>
      <c r="G32" s="1"/>
      <c r="H32" s="99"/>
      <c r="I32" s="68" t="s">
        <v>392</v>
      </c>
      <c r="J32" s="78">
        <v>54</v>
      </c>
      <c r="K32" s="65">
        <f>(51-(13+12))/51*100</f>
        <v>50.980392156862742</v>
      </c>
      <c r="M32" s="1"/>
      <c r="N32" s="1"/>
      <c r="O32" s="1"/>
      <c r="P32" s="1"/>
      <c r="Q32" s="5"/>
      <c r="R32" s="5"/>
      <c r="V32" s="1"/>
      <c r="W32" s="1"/>
      <c r="X32" s="1"/>
      <c r="Y32" s="1"/>
      <c r="Z32" s="1"/>
      <c r="AA32" s="1"/>
      <c r="AC32" s="1"/>
    </row>
    <row r="33" spans="1:29" ht="22.5">
      <c r="A33" s="99"/>
      <c r="B33" s="100"/>
      <c r="C33" s="68" t="s">
        <v>202</v>
      </c>
      <c r="D33" s="63" t="e">
        <f>SUM(K7:K18)/25*100/12</f>
        <v>#REF!</v>
      </c>
      <c r="E33" s="65"/>
      <c r="G33" s="1"/>
      <c r="H33" s="99"/>
      <c r="I33" s="68" t="s">
        <v>152</v>
      </c>
      <c r="J33" s="78">
        <v>67</v>
      </c>
      <c r="K33" s="65">
        <f>(51-(13+12))/51*100</f>
        <v>50.980392156862742</v>
      </c>
      <c r="M33" s="1"/>
      <c r="N33" s="1"/>
      <c r="O33" s="1"/>
      <c r="P33" s="1"/>
      <c r="Q33" s="5"/>
      <c r="R33" s="5"/>
      <c r="V33" s="1"/>
      <c r="W33" s="1"/>
      <c r="X33" s="1"/>
      <c r="Y33" s="1"/>
      <c r="Z33" s="1"/>
      <c r="AA33" s="1"/>
      <c r="AC33" s="1"/>
    </row>
    <row r="34" spans="1:29" ht="22.5">
      <c r="A34" s="99" t="s">
        <v>364</v>
      </c>
      <c r="B34" s="99" t="s">
        <v>0</v>
      </c>
      <c r="C34" s="68" t="s">
        <v>199</v>
      </c>
      <c r="D34" s="63" t="e">
        <f>SUM(M7:M19)/26*100/13</f>
        <v>#REF!</v>
      </c>
      <c r="E34" s="65"/>
      <c r="G34" s="1"/>
      <c r="H34" s="99"/>
      <c r="I34" s="68" t="s">
        <v>393</v>
      </c>
      <c r="J34" s="79">
        <v>66</v>
      </c>
      <c r="K34" s="65">
        <f>(51-(10+10))/51*100</f>
        <v>60.784313725490193</v>
      </c>
      <c r="M34" s="1"/>
      <c r="N34" s="1"/>
      <c r="O34" s="1"/>
      <c r="P34" s="1"/>
      <c r="Q34" s="5"/>
      <c r="R34" s="5"/>
      <c r="V34" s="1"/>
      <c r="W34" s="1"/>
      <c r="X34" s="1"/>
      <c r="Y34" s="1"/>
      <c r="Z34" s="1"/>
      <c r="AA34" s="1"/>
      <c r="AC34" s="1"/>
    </row>
    <row r="35" spans="1:29" ht="22.5">
      <c r="A35" s="99"/>
      <c r="B35" s="99"/>
      <c r="C35" s="68" t="s">
        <v>362</v>
      </c>
      <c r="D35" s="63" t="e">
        <f>SUM(N7:N18)/26*100/13</f>
        <v>#REF!</v>
      </c>
      <c r="E35" s="65">
        <f>((13*26)-(7+2+3+1+13+9+4+10+6+10+13+10))/26*100/13</f>
        <v>73.964497041420117</v>
      </c>
      <c r="G35" s="1"/>
      <c r="H35" s="99"/>
      <c r="I35" s="68" t="s">
        <v>394</v>
      </c>
      <c r="J35" s="79">
        <v>77</v>
      </c>
      <c r="K35" s="65">
        <f>(51-(10+10))/51*100</f>
        <v>60.784313725490193</v>
      </c>
      <c r="M35" s="1"/>
      <c r="N35" s="1"/>
      <c r="O35" s="1"/>
      <c r="P35" s="1"/>
      <c r="Q35" s="5"/>
      <c r="R35" s="5"/>
      <c r="V35" s="1"/>
      <c r="W35" s="1"/>
      <c r="X35" s="1"/>
      <c r="Y35" s="1"/>
      <c r="Z35" s="1"/>
      <c r="AA35" s="1"/>
      <c r="AC35" s="1"/>
    </row>
    <row r="36" spans="1:29" ht="22.5">
      <c r="A36" s="99"/>
      <c r="B36" s="99"/>
      <c r="C36" s="68" t="s">
        <v>201</v>
      </c>
      <c r="D36" s="63" t="e">
        <f>SUM(O7:O19)/24*100/13</f>
        <v>#REF!</v>
      </c>
      <c r="E36" s="65">
        <f>((13*25)-(6+7+9+9+12+9+1+6+10+6+10+12+13))/25*100/13</f>
        <v>66.15384615384616</v>
      </c>
      <c r="G36" s="1"/>
      <c r="H36" s="99"/>
      <c r="I36" s="68" t="s">
        <v>395</v>
      </c>
      <c r="J36" s="79">
        <v>50</v>
      </c>
      <c r="K36" s="65">
        <f>(51-(22+16))/51*100</f>
        <v>25.490196078431371</v>
      </c>
      <c r="M36" s="1"/>
      <c r="N36" s="1"/>
      <c r="O36" s="1"/>
      <c r="P36" s="1"/>
      <c r="Q36" s="5"/>
      <c r="R36" s="5"/>
      <c r="V36" s="1"/>
      <c r="W36" s="1"/>
      <c r="X36" s="1"/>
      <c r="Y36" s="1"/>
      <c r="Z36" s="1"/>
      <c r="AA36" s="1"/>
      <c r="AC36" s="1"/>
    </row>
    <row r="37" spans="1:29" ht="22.5">
      <c r="A37" s="99"/>
      <c r="B37" s="99"/>
      <c r="C37" s="68" t="s">
        <v>202</v>
      </c>
      <c r="D37" s="63" t="e">
        <f>SUM(P7:P19)/25*100/13</f>
        <v>#REF!</v>
      </c>
      <c r="E37" s="65"/>
      <c r="G37" s="1"/>
      <c r="H37" s="99" t="s">
        <v>390</v>
      </c>
      <c r="I37" s="68" t="s">
        <v>396</v>
      </c>
      <c r="J37" s="79">
        <v>75</v>
      </c>
      <c r="K37" s="65">
        <f>(51-(21+21))/51*100</f>
        <v>17.647058823529413</v>
      </c>
      <c r="M37" s="1"/>
      <c r="N37" s="1"/>
      <c r="O37" s="1"/>
      <c r="P37" s="1"/>
      <c r="Q37" s="5"/>
      <c r="R37" s="5"/>
      <c r="V37" s="1"/>
      <c r="W37" s="1"/>
      <c r="X37" s="1"/>
      <c r="Y37" s="1"/>
      <c r="Z37" s="1"/>
      <c r="AA37" s="1"/>
      <c r="AC37" s="1"/>
    </row>
    <row r="38" spans="1:29" ht="22.5">
      <c r="A38" s="99"/>
      <c r="B38" s="100" t="s">
        <v>1</v>
      </c>
      <c r="C38" s="68" t="s">
        <v>199</v>
      </c>
      <c r="D38" s="63" t="e">
        <f>SUM(S7:S181)/26*100/12</f>
        <v>#REF!</v>
      </c>
      <c r="E38" s="65"/>
      <c r="G38" s="1"/>
      <c r="H38" s="99"/>
      <c r="I38" s="68" t="s">
        <v>215</v>
      </c>
      <c r="J38" s="79">
        <v>80</v>
      </c>
      <c r="K38" s="65">
        <f>(51-(19+9))/51*100</f>
        <v>45.098039215686278</v>
      </c>
      <c r="M38" s="1"/>
      <c r="N38" s="1"/>
      <c r="O38" s="1"/>
      <c r="P38" s="1"/>
      <c r="Q38" s="5"/>
      <c r="R38" s="5"/>
      <c r="V38" s="1"/>
      <c r="W38" s="1"/>
      <c r="X38" s="1"/>
      <c r="Y38" s="1"/>
      <c r="Z38" s="1"/>
      <c r="AA38" s="1"/>
      <c r="AC38" s="1"/>
    </row>
    <row r="39" spans="1:29" ht="22.5">
      <c r="A39" s="99"/>
      <c r="B39" s="100"/>
      <c r="C39" s="68" t="s">
        <v>362</v>
      </c>
      <c r="D39" s="63" t="e">
        <f>SUM(T7:T18)/26*100/12</f>
        <v>#REF!</v>
      </c>
      <c r="E39" s="65">
        <f>((3*26)-(6+22+2))/26*100/3</f>
        <v>61.53846153846154</v>
      </c>
      <c r="G39" s="1"/>
      <c r="H39" s="99"/>
      <c r="I39" s="68" t="s">
        <v>59</v>
      </c>
      <c r="J39" s="79"/>
      <c r="K39" s="65">
        <f>(51-(8+8))/51*100</f>
        <v>68.627450980392155</v>
      </c>
      <c r="M39" s="1"/>
      <c r="N39" s="1"/>
      <c r="O39" s="1"/>
      <c r="P39" s="1"/>
      <c r="Q39" s="5"/>
      <c r="R39" s="5"/>
      <c r="V39" s="1"/>
      <c r="W39" s="1"/>
      <c r="X39" s="1"/>
      <c r="Y39" s="1"/>
      <c r="Z39" s="1"/>
      <c r="AA39" s="1"/>
      <c r="AC39" s="1"/>
    </row>
    <row r="40" spans="1:29" ht="22.5">
      <c r="A40" s="99"/>
      <c r="B40" s="100"/>
      <c r="C40" s="68" t="s">
        <v>201</v>
      </c>
      <c r="D40" s="63" t="e">
        <f>SUM(U7:U18)/24*100/12</f>
        <v>#REF!</v>
      </c>
      <c r="E40" s="65">
        <f>((3*25)-(5+6+4))/25*100/3</f>
        <v>80</v>
      </c>
      <c r="G40" s="1"/>
      <c r="H40" s="99"/>
      <c r="I40" s="68" t="s">
        <v>397</v>
      </c>
      <c r="J40" s="79"/>
      <c r="K40" s="65">
        <f>(51-(13+5))/51*100</f>
        <v>64.705882352941174</v>
      </c>
      <c r="M40" s="1"/>
      <c r="N40" s="1"/>
      <c r="O40" s="1"/>
      <c r="P40" s="1"/>
      <c r="Q40" s="5"/>
      <c r="R40" s="5"/>
      <c r="V40" s="1"/>
      <c r="W40" s="1"/>
      <c r="X40" s="1"/>
      <c r="Y40" s="1"/>
      <c r="Z40" s="1"/>
      <c r="AA40" s="1"/>
      <c r="AC40" s="1"/>
    </row>
    <row r="41" spans="1:29" ht="22.5">
      <c r="A41" s="99"/>
      <c r="B41" s="100"/>
      <c r="C41" s="68" t="s">
        <v>202</v>
      </c>
      <c r="D41" s="63" t="e">
        <f>SUM(V7:V18)/25*100/12</f>
        <v>#REF!</v>
      </c>
      <c r="E41" s="65"/>
      <c r="G41" s="1"/>
      <c r="H41" s="74"/>
      <c r="I41" s="76"/>
      <c r="J41" s="77"/>
      <c r="K41" s="77"/>
      <c r="M41" s="1"/>
      <c r="N41" s="1"/>
      <c r="O41" s="1"/>
      <c r="P41" s="1"/>
      <c r="Q41" s="5"/>
      <c r="R41" s="5"/>
      <c r="V41" s="1"/>
      <c r="W41" s="1"/>
      <c r="X41" s="1"/>
      <c r="Y41" s="1"/>
      <c r="Z41" s="1"/>
      <c r="AA41" s="1"/>
      <c r="AC41" s="1"/>
    </row>
    <row r="42" spans="1:29" ht="22.5">
      <c r="A42" s="99" t="s">
        <v>365</v>
      </c>
      <c r="B42" s="99" t="s">
        <v>0</v>
      </c>
      <c r="C42" s="68" t="s">
        <v>199</v>
      </c>
      <c r="D42" s="63" t="e">
        <f>SUM(X7:X18)/26*100/12</f>
        <v>#REF!</v>
      </c>
      <c r="E42" s="65">
        <f>((6*25)-(8+21+6+7+4+19))/25*100/6</f>
        <v>56.666666666666664</v>
      </c>
      <c r="G42" s="1"/>
      <c r="H42" s="1"/>
      <c r="I42" s="1"/>
      <c r="M42" s="1"/>
      <c r="N42" s="1"/>
      <c r="O42" s="1"/>
      <c r="P42" s="1"/>
      <c r="Q42" s="5"/>
      <c r="R42" s="5"/>
      <c r="V42" s="1"/>
      <c r="W42" s="1"/>
      <c r="X42" s="1"/>
      <c r="Y42" s="1"/>
      <c r="Z42" s="1"/>
      <c r="AA42" s="1"/>
      <c r="AC42" s="1"/>
    </row>
    <row r="43" spans="1:29" ht="22.5">
      <c r="A43" s="99"/>
      <c r="B43" s="99"/>
      <c r="C43" s="68" t="s">
        <v>362</v>
      </c>
      <c r="D43" s="63" t="e">
        <f>SUM(Y7:Y18)/26*100/12</f>
        <v>#REF!</v>
      </c>
      <c r="E43" s="65"/>
      <c r="G43" s="1"/>
      <c r="H43" s="1"/>
      <c r="I43" s="1"/>
      <c r="M43" s="1"/>
      <c r="N43" s="1"/>
      <c r="O43" s="1"/>
      <c r="P43" s="1"/>
      <c r="Q43" s="5"/>
      <c r="R43" s="5"/>
      <c r="V43" s="1"/>
      <c r="W43" s="1"/>
      <c r="X43" s="1"/>
      <c r="Y43" s="1"/>
      <c r="Z43" s="1"/>
      <c r="AA43" s="1"/>
      <c r="AC43" s="1"/>
    </row>
    <row r="44" spans="1:29" ht="22.5">
      <c r="A44" s="99"/>
      <c r="B44" s="99"/>
      <c r="C44" s="68" t="s">
        <v>201</v>
      </c>
      <c r="D44" s="63" t="e">
        <f>SUM(Z7:Z18)/24*100/12</f>
        <v>#REF!</v>
      </c>
      <c r="E44" s="65"/>
      <c r="G44" s="1"/>
      <c r="H44" s="1"/>
      <c r="I44" s="1"/>
      <c r="M44" s="1"/>
      <c r="N44" s="1"/>
      <c r="O44" s="1"/>
      <c r="P44" s="1"/>
      <c r="Q44" s="5"/>
      <c r="R44" s="5"/>
      <c r="V44" s="1"/>
      <c r="W44" s="1"/>
      <c r="X44" s="1"/>
      <c r="Y44" s="1"/>
      <c r="Z44" s="1"/>
      <c r="AA44" s="1"/>
      <c r="AC44" s="1"/>
    </row>
    <row r="45" spans="1:29" ht="22.5">
      <c r="A45" s="99"/>
      <c r="B45" s="99"/>
      <c r="C45" s="68" t="s">
        <v>202</v>
      </c>
      <c r="D45" s="63" t="e">
        <f>SUM(AA7:AA18)/25*100/12</f>
        <v>#REF!</v>
      </c>
      <c r="E45" s="65">
        <f>((6*26)-(4+21+1+9))/26*100/6</f>
        <v>77.564102564102569</v>
      </c>
      <c r="G45" s="1"/>
      <c r="H45" s="1"/>
      <c r="I45" s="1"/>
      <c r="M45" s="1"/>
      <c r="N45" s="1"/>
      <c r="O45" s="1"/>
      <c r="P45" s="1"/>
      <c r="Q45" s="5"/>
      <c r="R45" s="5"/>
      <c r="V45" s="1"/>
      <c r="W45" s="1"/>
      <c r="X45" s="1"/>
      <c r="Y45" s="1"/>
      <c r="Z45" s="1"/>
      <c r="AA45" s="1"/>
      <c r="AC45" s="1"/>
    </row>
    <row r="46" spans="1:29" ht="22.5">
      <c r="A46" s="99"/>
      <c r="B46" s="100" t="s">
        <v>1</v>
      </c>
      <c r="C46" s="68" t="s">
        <v>199</v>
      </c>
      <c r="D46" s="63" t="e">
        <f>SUM(AD7:AD15)/26*100/9</f>
        <v>#REF!</v>
      </c>
      <c r="E46" s="65">
        <f>((3*26)-(7+8+13))/26*100/3</f>
        <v>64.102564102564102</v>
      </c>
      <c r="G46" s="1"/>
      <c r="H46" s="1"/>
      <c r="I46" s="1"/>
      <c r="M46" s="1"/>
      <c r="N46" s="1"/>
      <c r="O46" s="1"/>
      <c r="P46" s="1"/>
      <c r="Q46" s="5"/>
      <c r="R46" s="5"/>
      <c r="V46" s="1"/>
      <c r="W46" s="1"/>
      <c r="X46" s="1"/>
      <c r="Y46" s="1"/>
      <c r="Z46" s="1"/>
      <c r="AA46" s="1"/>
      <c r="AC46" s="1"/>
    </row>
    <row r="47" spans="1:29" ht="22.5">
      <c r="A47" s="99"/>
      <c r="B47" s="100"/>
      <c r="C47" s="68" t="s">
        <v>362</v>
      </c>
      <c r="D47" s="63" t="e">
        <f>SUM(AE7:AE15)/26*100/9</f>
        <v>#REF!</v>
      </c>
      <c r="E47" s="65"/>
      <c r="G47" s="1"/>
      <c r="H47" s="1"/>
      <c r="I47" s="1"/>
      <c r="M47" s="1"/>
      <c r="N47" s="1"/>
      <c r="O47" s="1"/>
      <c r="P47" s="1"/>
      <c r="Q47" s="5"/>
      <c r="R47" s="5"/>
      <c r="V47" s="1"/>
      <c r="W47" s="1"/>
      <c r="X47" s="1"/>
      <c r="Y47" s="1"/>
      <c r="Z47" s="1"/>
      <c r="AA47" s="1"/>
      <c r="AC47" s="1"/>
    </row>
    <row r="48" spans="1:29" ht="22.5">
      <c r="A48" s="99"/>
      <c r="B48" s="100"/>
      <c r="C48" s="68" t="s">
        <v>201</v>
      </c>
      <c r="D48" s="63" t="e">
        <f>SUM(AF7:AF15)/24*100/9</f>
        <v>#REF!</v>
      </c>
      <c r="E48" s="65"/>
      <c r="G48" s="1"/>
      <c r="H48" s="1"/>
      <c r="I48" s="1"/>
      <c r="M48" s="1"/>
      <c r="N48" s="1"/>
      <c r="O48" s="1"/>
      <c r="P48" s="1"/>
      <c r="Q48" s="5"/>
      <c r="R48" s="5"/>
      <c r="V48" s="1"/>
      <c r="W48" s="1"/>
      <c r="X48" s="1"/>
      <c r="Y48" s="1"/>
      <c r="Z48" s="1"/>
      <c r="AA48" s="1"/>
      <c r="AC48" s="1"/>
    </row>
    <row r="49" spans="1:29" ht="22.5">
      <c r="A49" s="99"/>
      <c r="B49" s="100"/>
      <c r="C49" s="68" t="s">
        <v>202</v>
      </c>
      <c r="D49" s="63" t="e">
        <f>SUM(AG7:AG15)/25*100/9</f>
        <v>#REF!</v>
      </c>
      <c r="E49" s="65">
        <f>((3*25)-(4+8+5))/25*100/3</f>
        <v>77.333333333333329</v>
      </c>
      <c r="G49" s="1"/>
      <c r="H49" s="1"/>
      <c r="I49" s="1"/>
      <c r="M49" s="1"/>
      <c r="N49" s="1"/>
      <c r="O49" s="1"/>
      <c r="P49" s="1"/>
      <c r="Q49" s="5"/>
      <c r="R49" s="5"/>
      <c r="V49" s="1"/>
      <c r="W49" s="1"/>
      <c r="X49" s="1"/>
      <c r="Y49" s="1"/>
      <c r="Z49" s="1"/>
      <c r="AA49" s="1"/>
      <c r="AC49" s="1"/>
    </row>
  </sheetData>
  <mergeCells count="27">
    <mergeCell ref="A2:K2"/>
    <mergeCell ref="L2:V2"/>
    <mergeCell ref="W2:AG2"/>
    <mergeCell ref="A1:K1"/>
    <mergeCell ref="L1:V1"/>
    <mergeCell ref="W1:AG1"/>
    <mergeCell ref="W5:AA5"/>
    <mergeCell ref="AC5:AG5"/>
    <mergeCell ref="A3:K3"/>
    <mergeCell ref="L3:V3"/>
    <mergeCell ref="W3:AG3"/>
    <mergeCell ref="H26:H30"/>
    <mergeCell ref="A5:E5"/>
    <mergeCell ref="G5:K5"/>
    <mergeCell ref="L5:P5"/>
    <mergeCell ref="R5:V5"/>
    <mergeCell ref="A42:A49"/>
    <mergeCell ref="B42:B45"/>
    <mergeCell ref="B46:B49"/>
    <mergeCell ref="A25:A33"/>
    <mergeCell ref="B26:B29"/>
    <mergeCell ref="B30:B33"/>
    <mergeCell ref="H37:H40"/>
    <mergeCell ref="H31:H36"/>
    <mergeCell ref="A34:A41"/>
    <mergeCell ref="B34:B37"/>
    <mergeCell ref="B38:B41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26"/>
  <dimension ref="A1:AS49"/>
  <sheetViews>
    <sheetView topLeftCell="A24" zoomScale="70" zoomScaleNormal="70" workbookViewId="0">
      <selection activeCell="M42" sqref="M42"/>
    </sheetView>
  </sheetViews>
  <sheetFormatPr defaultRowHeight="19.5"/>
  <cols>
    <col min="1" max="1" width="10.75" style="5" customWidth="1"/>
    <col min="2" max="5" width="5.125" style="5" customWidth="1"/>
    <col min="6" max="6" width="5.375" style="5" customWidth="1"/>
    <col min="7" max="7" width="6.25" style="5" customWidth="1"/>
    <col min="8" max="8" width="3.875" style="1" customWidth="1"/>
    <col min="9" max="9" width="9.75" style="5" customWidth="1"/>
    <col min="10" max="13" width="5.125" style="1" customWidth="1"/>
    <col min="14" max="14" width="5.375" style="5" customWidth="1"/>
    <col min="15" max="15" width="6.25" style="5" customWidth="1"/>
    <col min="16" max="16" width="10.75" style="5" customWidth="1"/>
    <col min="17" max="20" width="5.125" style="5" customWidth="1"/>
    <col min="21" max="21" width="5.375" style="5" customWidth="1"/>
    <col min="22" max="22" width="6.25" style="5" customWidth="1"/>
    <col min="23" max="23" width="3.875" style="1" customWidth="1"/>
    <col min="24" max="24" width="9.875" style="1" customWidth="1"/>
    <col min="25" max="28" width="5.125" style="1" customWidth="1"/>
    <col min="29" max="29" width="5.375" style="5" customWidth="1"/>
    <col min="30" max="30" width="6.25" style="5" customWidth="1"/>
    <col min="31" max="31" width="10.75" style="5" customWidth="1"/>
    <col min="32" max="35" width="5.125" style="5" customWidth="1"/>
    <col min="36" max="36" width="5.375" style="5" customWidth="1"/>
    <col min="37" max="37" width="6.25" style="5" customWidth="1"/>
    <col min="38" max="38" width="3.875" style="1" customWidth="1"/>
    <col min="39" max="39" width="9.875" style="1" customWidth="1"/>
    <col min="40" max="43" width="5.125" style="1" customWidth="1"/>
    <col min="44" max="44" width="5.375" style="5" customWidth="1"/>
    <col min="45" max="45" width="6.25" style="5" customWidth="1"/>
    <col min="46" max="16384" width="9" style="1"/>
  </cols>
  <sheetData>
    <row r="1" spans="1:45">
      <c r="A1" s="102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 t="s">
        <v>2</v>
      </c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 t="s">
        <v>2</v>
      </c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</row>
    <row r="2" spans="1:45">
      <c r="A2" s="102" t="s">
        <v>114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 t="s">
        <v>180</v>
      </c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 t="s">
        <v>134</v>
      </c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</row>
    <row r="3" spans="1:45">
      <c r="A3" s="101" t="s">
        <v>167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 t="s">
        <v>167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 t="s">
        <v>167</v>
      </c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1"/>
      <c r="AR3" s="101"/>
      <c r="AS3" s="101"/>
    </row>
    <row r="4" spans="1:45" ht="21" customHeight="1"/>
    <row r="5" spans="1:45">
      <c r="A5" s="104" t="s">
        <v>159</v>
      </c>
      <c r="B5" s="104"/>
      <c r="C5" s="104"/>
      <c r="D5" s="104"/>
      <c r="E5" s="104"/>
      <c r="F5" s="104"/>
      <c r="G5" s="104"/>
      <c r="H5" s="2"/>
      <c r="I5" s="104" t="s">
        <v>160</v>
      </c>
      <c r="J5" s="104"/>
      <c r="K5" s="104"/>
      <c r="L5" s="104"/>
      <c r="M5" s="104"/>
      <c r="N5" s="104"/>
      <c r="O5" s="104"/>
      <c r="P5" s="111" t="s">
        <v>159</v>
      </c>
      <c r="Q5" s="104"/>
      <c r="R5" s="104"/>
      <c r="S5" s="104"/>
      <c r="T5" s="104"/>
      <c r="U5" s="104"/>
      <c r="V5" s="104"/>
      <c r="W5" s="2"/>
      <c r="X5" s="104" t="s">
        <v>160</v>
      </c>
      <c r="Y5" s="104"/>
      <c r="Z5" s="104"/>
      <c r="AA5" s="104"/>
      <c r="AB5" s="104"/>
      <c r="AC5" s="104"/>
      <c r="AD5" s="104"/>
      <c r="AE5" s="111" t="s">
        <v>159</v>
      </c>
      <c r="AF5" s="104"/>
      <c r="AG5" s="104"/>
      <c r="AH5" s="104"/>
      <c r="AI5" s="104"/>
      <c r="AJ5" s="104"/>
      <c r="AK5" s="104"/>
      <c r="AL5" s="2"/>
      <c r="AM5" s="104" t="s">
        <v>160</v>
      </c>
      <c r="AN5" s="104"/>
      <c r="AO5" s="104"/>
      <c r="AP5" s="104"/>
      <c r="AQ5" s="104"/>
      <c r="AR5" s="104"/>
      <c r="AS5" s="104"/>
    </row>
    <row r="6" spans="1:45" ht="58.5" customHeight="1">
      <c r="A6" s="50" t="s">
        <v>161</v>
      </c>
      <c r="B6" s="50" t="s">
        <v>175</v>
      </c>
      <c r="C6" s="50" t="s">
        <v>176</v>
      </c>
      <c r="D6" s="50" t="s">
        <v>177</v>
      </c>
      <c r="E6" s="50" t="s">
        <v>178</v>
      </c>
      <c r="F6" s="103" t="s">
        <v>179</v>
      </c>
      <c r="G6" s="103"/>
      <c r="H6" s="2"/>
      <c r="I6" s="46"/>
      <c r="J6" s="50" t="s">
        <v>175</v>
      </c>
      <c r="K6" s="50" t="s">
        <v>176</v>
      </c>
      <c r="L6" s="50" t="s">
        <v>177</v>
      </c>
      <c r="M6" s="50" t="s">
        <v>178</v>
      </c>
      <c r="N6" s="103" t="s">
        <v>179</v>
      </c>
      <c r="O6" s="103"/>
      <c r="P6" s="53" t="s">
        <v>161</v>
      </c>
      <c r="Q6" s="50" t="s">
        <v>175</v>
      </c>
      <c r="R6" s="50" t="s">
        <v>176</v>
      </c>
      <c r="S6" s="50" t="s">
        <v>177</v>
      </c>
      <c r="T6" s="50" t="s">
        <v>178</v>
      </c>
      <c r="U6" s="103" t="s">
        <v>179</v>
      </c>
      <c r="V6" s="103"/>
      <c r="W6" s="2"/>
      <c r="X6" s="46"/>
      <c r="Y6" s="50" t="s">
        <v>175</v>
      </c>
      <c r="Z6" s="50" t="s">
        <v>176</v>
      </c>
      <c r="AA6" s="50" t="s">
        <v>177</v>
      </c>
      <c r="AB6" s="50" t="s">
        <v>178</v>
      </c>
      <c r="AC6" s="103" t="s">
        <v>179</v>
      </c>
      <c r="AD6" s="103"/>
      <c r="AE6" s="53" t="s">
        <v>161</v>
      </c>
      <c r="AF6" s="50" t="s">
        <v>175</v>
      </c>
      <c r="AG6" s="50" t="s">
        <v>176</v>
      </c>
      <c r="AH6" s="50" t="s">
        <v>177</v>
      </c>
      <c r="AI6" s="50" t="s">
        <v>178</v>
      </c>
      <c r="AJ6" s="103" t="s">
        <v>179</v>
      </c>
      <c r="AK6" s="103"/>
      <c r="AL6" s="2"/>
      <c r="AM6" s="46"/>
      <c r="AN6" s="50" t="s">
        <v>175</v>
      </c>
      <c r="AO6" s="50" t="s">
        <v>176</v>
      </c>
      <c r="AP6" s="50" t="s">
        <v>177</v>
      </c>
      <c r="AQ6" s="50" t="s">
        <v>178</v>
      </c>
      <c r="AR6" s="103" t="s">
        <v>179</v>
      </c>
      <c r="AS6" s="103"/>
    </row>
    <row r="7" spans="1:45" s="37" customFormat="1" ht="30" customHeight="1">
      <c r="A7" s="48" t="s">
        <v>115</v>
      </c>
      <c r="B7" s="9"/>
      <c r="C7" s="9"/>
      <c r="D7" s="9"/>
      <c r="E7" s="9"/>
      <c r="F7" s="48">
        <f t="shared" ref="F7:F14" si="0">SUM(B7:E7)</f>
        <v>0</v>
      </c>
      <c r="G7" s="18">
        <f>(F7/100)</f>
        <v>0</v>
      </c>
      <c r="H7" s="10"/>
      <c r="I7" s="59" t="s">
        <v>125</v>
      </c>
      <c r="J7" s="32"/>
      <c r="K7" s="32"/>
      <c r="L7" s="32"/>
      <c r="M7" s="32"/>
      <c r="N7" s="48">
        <f t="shared" ref="N7:N20" si="1">SUM(J7:M7)</f>
        <v>0</v>
      </c>
      <c r="O7" s="18">
        <f t="shared" ref="O7:O20" si="2">(N7/100)</f>
        <v>0</v>
      </c>
      <c r="P7" s="57" t="s">
        <v>113</v>
      </c>
      <c r="Q7" s="9"/>
      <c r="R7" s="9"/>
      <c r="S7" s="9"/>
      <c r="T7" s="9"/>
      <c r="U7" s="48">
        <f t="shared" ref="U7:U18" si="3">SUM(Q7:T7)</f>
        <v>0</v>
      </c>
      <c r="V7" s="18">
        <f>(U7/100)</f>
        <v>0</v>
      </c>
      <c r="W7" s="10"/>
      <c r="X7" s="59" t="s">
        <v>253</v>
      </c>
      <c r="Y7" s="32"/>
      <c r="Z7" s="32"/>
      <c r="AA7" s="32"/>
      <c r="AB7" s="32"/>
      <c r="AC7" s="48">
        <f t="shared" ref="AC7:AC26" si="4">SUM(Y7:AB7)</f>
        <v>0</v>
      </c>
      <c r="AD7" s="18">
        <f t="shared" ref="AD7:AD26" si="5">(AC7/100)</f>
        <v>0</v>
      </c>
      <c r="AE7" s="57" t="s">
        <v>117</v>
      </c>
      <c r="AF7" s="9"/>
      <c r="AG7" s="9"/>
      <c r="AH7" s="9"/>
      <c r="AI7" s="9"/>
      <c r="AJ7" s="48">
        <f t="shared" ref="AJ7:AJ22" si="6">SUM(AF7:AI7)</f>
        <v>0</v>
      </c>
      <c r="AK7" s="18">
        <f>(AJ7/100)</f>
        <v>0</v>
      </c>
      <c r="AL7" s="10"/>
      <c r="AM7" s="59" t="s">
        <v>137</v>
      </c>
      <c r="AN7" s="32"/>
      <c r="AO7" s="32"/>
      <c r="AP7" s="32"/>
      <c r="AQ7" s="32"/>
      <c r="AR7" s="48">
        <f t="shared" ref="AR7:AR16" si="7">SUM(AN7:AQ7)</f>
        <v>0</v>
      </c>
      <c r="AS7" s="18">
        <f t="shared" ref="AS7:AS16" si="8">(AR7/100)</f>
        <v>0</v>
      </c>
    </row>
    <row r="8" spans="1:45" s="37" customFormat="1" ht="30" customHeight="1">
      <c r="A8" s="48" t="s">
        <v>116</v>
      </c>
      <c r="B8" s="9"/>
      <c r="C8" s="9"/>
      <c r="D8" s="9"/>
      <c r="E8" s="9"/>
      <c r="F8" s="48">
        <f t="shared" si="0"/>
        <v>0</v>
      </c>
      <c r="G8" s="18">
        <f t="shared" ref="G8:G14" si="9">(F8/100)</f>
        <v>0</v>
      </c>
      <c r="H8" s="10"/>
      <c r="I8" s="48" t="s">
        <v>255</v>
      </c>
      <c r="J8" s="9"/>
      <c r="K8" s="9"/>
      <c r="L8" s="9"/>
      <c r="M8" s="9"/>
      <c r="N8" s="48">
        <f t="shared" si="1"/>
        <v>0</v>
      </c>
      <c r="O8" s="18">
        <f t="shared" si="2"/>
        <v>0</v>
      </c>
      <c r="P8" s="57" t="s">
        <v>263</v>
      </c>
      <c r="Q8" s="9"/>
      <c r="R8" s="9"/>
      <c r="S8" s="9"/>
      <c r="T8" s="9"/>
      <c r="U8" s="48">
        <f t="shared" si="3"/>
        <v>0</v>
      </c>
      <c r="V8" s="18">
        <f t="shared" ref="V8:V18" si="10">(U8/100)</f>
        <v>0</v>
      </c>
      <c r="W8" s="10"/>
      <c r="X8" s="48" t="s">
        <v>11</v>
      </c>
      <c r="Y8" s="9"/>
      <c r="Z8" s="9"/>
      <c r="AA8" s="9"/>
      <c r="AB8" s="9"/>
      <c r="AC8" s="48">
        <f t="shared" si="4"/>
        <v>0</v>
      </c>
      <c r="AD8" s="18">
        <f t="shared" si="5"/>
        <v>0</v>
      </c>
      <c r="AE8" s="57" t="s">
        <v>121</v>
      </c>
      <c r="AF8" s="9"/>
      <c r="AG8" s="9"/>
      <c r="AH8" s="9"/>
      <c r="AI8" s="9"/>
      <c r="AJ8" s="48">
        <f t="shared" si="6"/>
        <v>0</v>
      </c>
      <c r="AK8" s="18">
        <f t="shared" ref="AK8:AK22" si="11">(AJ8/100)</f>
        <v>0</v>
      </c>
      <c r="AL8" s="10"/>
      <c r="AM8" s="48" t="s">
        <v>280</v>
      </c>
      <c r="AN8" s="9"/>
      <c r="AO8" s="9"/>
      <c r="AP8" s="9"/>
      <c r="AQ8" s="9"/>
      <c r="AR8" s="48">
        <f t="shared" si="7"/>
        <v>0</v>
      </c>
      <c r="AS8" s="18">
        <f t="shared" si="8"/>
        <v>0</v>
      </c>
    </row>
    <row r="9" spans="1:45" s="37" customFormat="1" ht="30" customHeight="1">
      <c r="A9" s="48" t="s">
        <v>117</v>
      </c>
      <c r="B9" s="9"/>
      <c r="C9" s="9"/>
      <c r="D9" s="9"/>
      <c r="E9" s="9"/>
      <c r="F9" s="48">
        <f t="shared" si="0"/>
        <v>0</v>
      </c>
      <c r="G9" s="18">
        <f t="shared" si="9"/>
        <v>0</v>
      </c>
      <c r="H9" s="10"/>
      <c r="I9" s="59" t="s">
        <v>5</v>
      </c>
      <c r="J9" s="9"/>
      <c r="K9" s="9"/>
      <c r="L9" s="9"/>
      <c r="M9" s="9"/>
      <c r="N9" s="48">
        <f t="shared" si="1"/>
        <v>0</v>
      </c>
      <c r="O9" s="18">
        <f t="shared" si="2"/>
        <v>0</v>
      </c>
      <c r="P9" s="57" t="s">
        <v>264</v>
      </c>
      <c r="Q9" s="9"/>
      <c r="R9" s="9"/>
      <c r="S9" s="9"/>
      <c r="T9" s="9"/>
      <c r="U9" s="48">
        <f t="shared" si="3"/>
        <v>0</v>
      </c>
      <c r="V9" s="18">
        <f t="shared" si="10"/>
        <v>0</v>
      </c>
      <c r="W9" s="10"/>
      <c r="X9" s="59" t="s">
        <v>272</v>
      </c>
      <c r="Y9" s="9"/>
      <c r="Z9" s="9"/>
      <c r="AA9" s="9"/>
      <c r="AB9" s="9"/>
      <c r="AC9" s="48">
        <f t="shared" si="4"/>
        <v>0</v>
      </c>
      <c r="AD9" s="18">
        <f t="shared" si="5"/>
        <v>0</v>
      </c>
      <c r="AE9" s="57" t="s">
        <v>277</v>
      </c>
      <c r="AF9" s="9"/>
      <c r="AG9" s="9"/>
      <c r="AH9" s="9"/>
      <c r="AI9" s="9"/>
      <c r="AJ9" s="48">
        <f t="shared" si="6"/>
        <v>0</v>
      </c>
      <c r="AK9" s="18">
        <f t="shared" si="11"/>
        <v>0</v>
      </c>
      <c r="AL9" s="10"/>
      <c r="AM9" s="59" t="s">
        <v>138</v>
      </c>
      <c r="AN9" s="9"/>
      <c r="AO9" s="9"/>
      <c r="AP9" s="9"/>
      <c r="AQ9" s="9"/>
      <c r="AR9" s="48">
        <f t="shared" si="7"/>
        <v>0</v>
      </c>
      <c r="AS9" s="18">
        <f t="shared" si="8"/>
        <v>0</v>
      </c>
    </row>
    <row r="10" spans="1:45" s="37" customFormat="1" ht="30" customHeight="1">
      <c r="A10" s="48" t="s">
        <v>118</v>
      </c>
      <c r="B10" s="9"/>
      <c r="C10" s="9"/>
      <c r="D10" s="9"/>
      <c r="E10" s="9"/>
      <c r="F10" s="48">
        <f t="shared" si="0"/>
        <v>0</v>
      </c>
      <c r="G10" s="18">
        <f t="shared" si="9"/>
        <v>0</v>
      </c>
      <c r="H10" s="10"/>
      <c r="I10" s="48" t="s">
        <v>328</v>
      </c>
      <c r="J10" s="9"/>
      <c r="K10" s="9"/>
      <c r="L10" s="9"/>
      <c r="M10" s="9"/>
      <c r="N10" s="48">
        <f t="shared" si="1"/>
        <v>0</v>
      </c>
      <c r="O10" s="18">
        <f t="shared" si="2"/>
        <v>0</v>
      </c>
      <c r="P10" s="57" t="s">
        <v>216</v>
      </c>
      <c r="Q10" s="9"/>
      <c r="R10" s="9"/>
      <c r="S10" s="9"/>
      <c r="T10" s="9"/>
      <c r="U10" s="48">
        <f t="shared" si="3"/>
        <v>0</v>
      </c>
      <c r="V10" s="18">
        <f t="shared" si="10"/>
        <v>0</v>
      </c>
      <c r="W10" s="10"/>
      <c r="X10" s="48" t="s">
        <v>330</v>
      </c>
      <c r="Y10" s="9"/>
      <c r="Z10" s="9"/>
      <c r="AA10" s="9"/>
      <c r="AB10" s="9"/>
      <c r="AC10" s="48">
        <f t="shared" si="4"/>
        <v>0</v>
      </c>
      <c r="AD10" s="18">
        <f t="shared" si="5"/>
        <v>0</v>
      </c>
      <c r="AE10" s="57" t="s">
        <v>278</v>
      </c>
      <c r="AF10" s="9"/>
      <c r="AG10" s="9"/>
      <c r="AH10" s="9"/>
      <c r="AI10" s="9"/>
      <c r="AJ10" s="48">
        <f t="shared" si="6"/>
        <v>0</v>
      </c>
      <c r="AK10" s="18">
        <f t="shared" si="11"/>
        <v>0</v>
      </c>
      <c r="AL10" s="10"/>
      <c r="AM10" s="48" t="s">
        <v>332</v>
      </c>
      <c r="AN10" s="9"/>
      <c r="AO10" s="9"/>
      <c r="AP10" s="9"/>
      <c r="AQ10" s="9"/>
      <c r="AR10" s="48">
        <f t="shared" si="7"/>
        <v>0</v>
      </c>
      <c r="AS10" s="18">
        <f t="shared" si="8"/>
        <v>0</v>
      </c>
    </row>
    <row r="11" spans="1:45" s="37" customFormat="1" ht="30" customHeight="1">
      <c r="A11" s="48" t="s">
        <v>119</v>
      </c>
      <c r="B11" s="9"/>
      <c r="C11" s="9"/>
      <c r="D11" s="9"/>
      <c r="E11" s="9"/>
      <c r="F11" s="51">
        <f t="shared" si="0"/>
        <v>0</v>
      </c>
      <c r="G11" s="18">
        <f t="shared" si="9"/>
        <v>0</v>
      </c>
      <c r="H11" s="10"/>
      <c r="I11" s="59" t="s">
        <v>61</v>
      </c>
      <c r="J11" s="9"/>
      <c r="K11" s="9"/>
      <c r="L11" s="9"/>
      <c r="M11" s="9"/>
      <c r="N11" s="51">
        <f t="shared" si="1"/>
        <v>0</v>
      </c>
      <c r="O11" s="18">
        <f t="shared" si="2"/>
        <v>0</v>
      </c>
      <c r="P11" s="57" t="s">
        <v>265</v>
      </c>
      <c r="Q11" s="9"/>
      <c r="R11" s="9"/>
      <c r="S11" s="9"/>
      <c r="T11" s="9"/>
      <c r="U11" s="51">
        <f t="shared" si="3"/>
        <v>0</v>
      </c>
      <c r="V11" s="18">
        <f t="shared" si="10"/>
        <v>0</v>
      </c>
      <c r="W11" s="10"/>
      <c r="X11" s="59" t="s">
        <v>273</v>
      </c>
      <c r="Y11" s="9"/>
      <c r="Z11" s="9"/>
      <c r="AA11" s="9"/>
      <c r="AB11" s="9"/>
      <c r="AC11" s="51">
        <f t="shared" si="4"/>
        <v>0</v>
      </c>
      <c r="AD11" s="18">
        <f t="shared" si="5"/>
        <v>0</v>
      </c>
      <c r="AE11" s="57" t="s">
        <v>8</v>
      </c>
      <c r="AF11" s="9"/>
      <c r="AG11" s="9"/>
      <c r="AH11" s="9"/>
      <c r="AI11" s="9"/>
      <c r="AJ11" s="51">
        <f t="shared" si="6"/>
        <v>0</v>
      </c>
      <c r="AK11" s="18">
        <f t="shared" si="11"/>
        <v>0</v>
      </c>
      <c r="AL11" s="10"/>
      <c r="AM11" s="59" t="s">
        <v>65</v>
      </c>
      <c r="AN11" s="9"/>
      <c r="AO11" s="9"/>
      <c r="AP11" s="9"/>
      <c r="AQ11" s="9"/>
      <c r="AR11" s="51">
        <f t="shared" si="7"/>
        <v>0</v>
      </c>
      <c r="AS11" s="18">
        <f t="shared" si="8"/>
        <v>0</v>
      </c>
    </row>
    <row r="12" spans="1:45" s="37" customFormat="1" ht="30" customHeight="1">
      <c r="A12" s="48" t="s">
        <v>120</v>
      </c>
      <c r="B12" s="9"/>
      <c r="C12" s="9"/>
      <c r="D12" s="9"/>
      <c r="E12" s="9"/>
      <c r="F12" s="51">
        <f t="shared" si="0"/>
        <v>0</v>
      </c>
      <c r="G12" s="18">
        <f t="shared" si="9"/>
        <v>0</v>
      </c>
      <c r="H12" s="10"/>
      <c r="I12" s="48" t="s">
        <v>256</v>
      </c>
      <c r="J12" s="32"/>
      <c r="K12" s="32"/>
      <c r="L12" s="32"/>
      <c r="M12" s="32"/>
      <c r="N12" s="51">
        <f t="shared" si="1"/>
        <v>0</v>
      </c>
      <c r="O12" s="18">
        <f t="shared" si="2"/>
        <v>0</v>
      </c>
      <c r="P12" s="57" t="s">
        <v>131</v>
      </c>
      <c r="Q12" s="9"/>
      <c r="R12" s="9"/>
      <c r="S12" s="9"/>
      <c r="T12" s="9"/>
      <c r="U12" s="51">
        <f t="shared" si="3"/>
        <v>0</v>
      </c>
      <c r="V12" s="18">
        <f t="shared" si="10"/>
        <v>0</v>
      </c>
      <c r="W12" s="10"/>
      <c r="X12" s="48" t="s">
        <v>98</v>
      </c>
      <c r="Y12" s="32"/>
      <c r="Z12" s="32"/>
      <c r="AA12" s="32"/>
      <c r="AB12" s="32"/>
      <c r="AC12" s="51">
        <f t="shared" si="4"/>
        <v>0</v>
      </c>
      <c r="AD12" s="18">
        <f t="shared" si="5"/>
        <v>0</v>
      </c>
      <c r="AE12" s="57" t="s">
        <v>123</v>
      </c>
      <c r="AF12" s="9"/>
      <c r="AG12" s="9"/>
      <c r="AH12" s="9"/>
      <c r="AI12" s="9"/>
      <c r="AJ12" s="51">
        <f t="shared" si="6"/>
        <v>0</v>
      </c>
      <c r="AK12" s="18">
        <f t="shared" si="11"/>
        <v>0</v>
      </c>
      <c r="AL12" s="10"/>
      <c r="AM12" s="48" t="s">
        <v>281</v>
      </c>
      <c r="AN12" s="32"/>
      <c r="AO12" s="32"/>
      <c r="AP12" s="32"/>
      <c r="AQ12" s="32"/>
      <c r="AR12" s="51">
        <f t="shared" si="7"/>
        <v>0</v>
      </c>
      <c r="AS12" s="18">
        <f t="shared" si="8"/>
        <v>0</v>
      </c>
    </row>
    <row r="13" spans="1:45" s="37" customFormat="1" ht="30" customHeight="1">
      <c r="A13" s="48" t="s">
        <v>121</v>
      </c>
      <c r="B13" s="9"/>
      <c r="C13" s="9"/>
      <c r="D13" s="9"/>
      <c r="E13" s="9"/>
      <c r="F13" s="51">
        <f t="shared" si="0"/>
        <v>0</v>
      </c>
      <c r="G13" s="18">
        <f t="shared" si="9"/>
        <v>0</v>
      </c>
      <c r="H13" s="10"/>
      <c r="I13" s="59" t="s">
        <v>126</v>
      </c>
      <c r="J13" s="9"/>
      <c r="K13" s="9"/>
      <c r="L13" s="9"/>
      <c r="M13" s="9"/>
      <c r="N13" s="51">
        <f t="shared" si="1"/>
        <v>0</v>
      </c>
      <c r="O13" s="18">
        <f t="shared" si="2"/>
        <v>0</v>
      </c>
      <c r="P13" s="57" t="s">
        <v>127</v>
      </c>
      <c r="Q13" s="9"/>
      <c r="R13" s="9"/>
      <c r="S13" s="9"/>
      <c r="T13" s="9"/>
      <c r="U13" s="51">
        <f t="shared" si="3"/>
        <v>0</v>
      </c>
      <c r="V13" s="18">
        <f t="shared" si="10"/>
        <v>0</v>
      </c>
      <c r="W13" s="10"/>
      <c r="X13" s="59" t="s">
        <v>274</v>
      </c>
      <c r="Y13" s="9"/>
      <c r="Z13" s="9"/>
      <c r="AA13" s="9"/>
      <c r="AB13" s="9"/>
      <c r="AC13" s="51">
        <f t="shared" si="4"/>
        <v>0</v>
      </c>
      <c r="AD13" s="18">
        <f t="shared" si="5"/>
        <v>0</v>
      </c>
      <c r="AE13" s="57" t="s">
        <v>136</v>
      </c>
      <c r="AF13" s="9"/>
      <c r="AG13" s="9"/>
      <c r="AH13" s="9"/>
      <c r="AI13" s="9"/>
      <c r="AJ13" s="51">
        <f t="shared" si="6"/>
        <v>0</v>
      </c>
      <c r="AK13" s="18">
        <f t="shared" si="11"/>
        <v>0</v>
      </c>
      <c r="AL13" s="10"/>
      <c r="AM13" s="59" t="s">
        <v>139</v>
      </c>
      <c r="AN13" s="9"/>
      <c r="AO13" s="9"/>
      <c r="AP13" s="9"/>
      <c r="AQ13" s="9"/>
      <c r="AR13" s="51">
        <f t="shared" si="7"/>
        <v>0</v>
      </c>
      <c r="AS13" s="18">
        <f t="shared" si="8"/>
        <v>0</v>
      </c>
    </row>
    <row r="14" spans="1:45" s="37" customFormat="1" ht="30" customHeight="1">
      <c r="A14" s="48" t="s">
        <v>254</v>
      </c>
      <c r="B14" s="9"/>
      <c r="C14" s="9"/>
      <c r="D14" s="9"/>
      <c r="E14" s="9"/>
      <c r="F14" s="51">
        <f t="shared" si="0"/>
        <v>0</v>
      </c>
      <c r="G14" s="18">
        <f t="shared" si="9"/>
        <v>0</v>
      </c>
      <c r="H14" s="10"/>
      <c r="I14" s="48" t="s">
        <v>257</v>
      </c>
      <c r="J14" s="9"/>
      <c r="K14" s="9"/>
      <c r="L14" s="9"/>
      <c r="M14" s="9"/>
      <c r="N14" s="51">
        <f t="shared" si="1"/>
        <v>0</v>
      </c>
      <c r="O14" s="18">
        <f t="shared" si="2"/>
        <v>0</v>
      </c>
      <c r="P14" s="57" t="s">
        <v>129</v>
      </c>
      <c r="Q14" s="9"/>
      <c r="R14" s="9"/>
      <c r="S14" s="9"/>
      <c r="T14" s="9"/>
      <c r="U14" s="51">
        <f t="shared" si="3"/>
        <v>0</v>
      </c>
      <c r="V14" s="18">
        <f t="shared" si="10"/>
        <v>0</v>
      </c>
      <c r="W14" s="10"/>
      <c r="X14" s="48" t="s">
        <v>266</v>
      </c>
      <c r="Y14" s="9"/>
      <c r="Z14" s="9"/>
      <c r="AA14" s="9"/>
      <c r="AB14" s="9"/>
      <c r="AC14" s="51">
        <f t="shared" si="4"/>
        <v>0</v>
      </c>
      <c r="AD14" s="18">
        <f t="shared" si="5"/>
        <v>0</v>
      </c>
      <c r="AE14" s="57" t="s">
        <v>10</v>
      </c>
      <c r="AF14" s="9"/>
      <c r="AG14" s="9"/>
      <c r="AH14" s="9"/>
      <c r="AI14" s="9"/>
      <c r="AJ14" s="51">
        <f t="shared" si="6"/>
        <v>0</v>
      </c>
      <c r="AK14" s="18">
        <f t="shared" si="11"/>
        <v>0</v>
      </c>
      <c r="AL14" s="10"/>
      <c r="AM14" s="48" t="s">
        <v>282</v>
      </c>
      <c r="AN14" s="9"/>
      <c r="AO14" s="9"/>
      <c r="AP14" s="9"/>
      <c r="AQ14" s="9"/>
      <c r="AR14" s="51">
        <f t="shared" si="7"/>
        <v>0</v>
      </c>
      <c r="AS14" s="18">
        <f t="shared" si="8"/>
        <v>0</v>
      </c>
    </row>
    <row r="15" spans="1:45" s="37" customFormat="1" ht="30" customHeight="1">
      <c r="A15" s="48" t="s">
        <v>212</v>
      </c>
      <c r="B15" s="9"/>
      <c r="C15" s="9"/>
      <c r="D15" s="9"/>
      <c r="E15" s="9"/>
      <c r="F15" s="51">
        <f>SUM(B15:E15)</f>
        <v>0</v>
      </c>
      <c r="G15" s="18">
        <f>(F15/100)</f>
        <v>0</v>
      </c>
      <c r="H15" s="10"/>
      <c r="I15" s="59" t="s">
        <v>329</v>
      </c>
      <c r="J15" s="9"/>
      <c r="K15" s="9"/>
      <c r="L15" s="9"/>
      <c r="M15" s="9"/>
      <c r="N15" s="51">
        <f t="shared" si="1"/>
        <v>0</v>
      </c>
      <c r="O15" s="18">
        <f t="shared" si="2"/>
        <v>0</v>
      </c>
      <c r="P15" s="57" t="s">
        <v>130</v>
      </c>
      <c r="Q15" s="9"/>
      <c r="R15" s="9"/>
      <c r="S15" s="9"/>
      <c r="T15" s="9"/>
      <c r="U15" s="51">
        <f t="shared" si="3"/>
        <v>0</v>
      </c>
      <c r="V15" s="18">
        <f t="shared" si="10"/>
        <v>0</v>
      </c>
      <c r="W15" s="10"/>
      <c r="X15" s="59" t="s">
        <v>331</v>
      </c>
      <c r="Y15" s="9"/>
      <c r="Z15" s="9"/>
      <c r="AA15" s="9"/>
      <c r="AB15" s="9"/>
      <c r="AC15" s="51">
        <f t="shared" si="4"/>
        <v>0</v>
      </c>
      <c r="AD15" s="18">
        <f t="shared" si="5"/>
        <v>0</v>
      </c>
      <c r="AE15" s="57" t="s">
        <v>124</v>
      </c>
      <c r="AF15" s="9"/>
      <c r="AG15" s="9"/>
      <c r="AH15" s="9"/>
      <c r="AI15" s="9"/>
      <c r="AJ15" s="51">
        <f t="shared" si="6"/>
        <v>0</v>
      </c>
      <c r="AK15" s="18">
        <f t="shared" si="11"/>
        <v>0</v>
      </c>
      <c r="AL15" s="10"/>
      <c r="AM15" s="59" t="s">
        <v>333</v>
      </c>
      <c r="AN15" s="9"/>
      <c r="AO15" s="9"/>
      <c r="AP15" s="9"/>
      <c r="AQ15" s="9"/>
      <c r="AR15" s="51">
        <f t="shared" si="7"/>
        <v>0</v>
      </c>
      <c r="AS15" s="18">
        <f t="shared" si="8"/>
        <v>0</v>
      </c>
    </row>
    <row r="16" spans="1:45" s="37" customFormat="1" ht="30" customHeight="1">
      <c r="A16" s="57" t="s">
        <v>123</v>
      </c>
      <c r="B16" s="9"/>
      <c r="C16" s="9"/>
      <c r="D16" s="9"/>
      <c r="E16" s="9"/>
      <c r="F16" s="51">
        <f>SUM(B16:E16)</f>
        <v>0</v>
      </c>
      <c r="G16" s="18">
        <f>(F16/100)</f>
        <v>0</v>
      </c>
      <c r="H16" s="10"/>
      <c r="I16" s="48" t="s">
        <v>258</v>
      </c>
      <c r="J16" s="9"/>
      <c r="K16" s="9"/>
      <c r="L16" s="9"/>
      <c r="M16" s="9"/>
      <c r="N16" s="51">
        <f t="shared" si="1"/>
        <v>0</v>
      </c>
      <c r="O16" s="18">
        <f t="shared" si="2"/>
        <v>0</v>
      </c>
      <c r="P16" s="57" t="s">
        <v>128</v>
      </c>
      <c r="Q16" s="9"/>
      <c r="R16" s="9"/>
      <c r="S16" s="9"/>
      <c r="T16" s="9"/>
      <c r="U16" s="51">
        <f t="shared" si="3"/>
        <v>0</v>
      </c>
      <c r="V16" s="18">
        <f t="shared" si="10"/>
        <v>0</v>
      </c>
      <c r="W16" s="10"/>
      <c r="X16" s="48" t="s">
        <v>267</v>
      </c>
      <c r="Y16" s="9"/>
      <c r="Z16" s="9"/>
      <c r="AA16" s="9"/>
      <c r="AB16" s="9"/>
      <c r="AC16" s="51">
        <f t="shared" si="4"/>
        <v>0</v>
      </c>
      <c r="AD16" s="18">
        <f t="shared" si="5"/>
        <v>0</v>
      </c>
      <c r="AE16" s="57" t="s">
        <v>135</v>
      </c>
      <c r="AF16" s="9"/>
      <c r="AG16" s="9"/>
      <c r="AH16" s="9"/>
      <c r="AI16" s="9"/>
      <c r="AJ16" s="51">
        <f t="shared" si="6"/>
        <v>0</v>
      </c>
      <c r="AK16" s="18">
        <f t="shared" si="11"/>
        <v>0</v>
      </c>
      <c r="AL16" s="10"/>
      <c r="AM16" s="48" t="s">
        <v>283</v>
      </c>
      <c r="AN16" s="9"/>
      <c r="AO16" s="9"/>
      <c r="AP16" s="9"/>
      <c r="AQ16" s="9"/>
      <c r="AR16" s="51">
        <f t="shared" si="7"/>
        <v>0</v>
      </c>
      <c r="AS16" s="18">
        <f t="shared" si="8"/>
        <v>0</v>
      </c>
    </row>
    <row r="17" spans="1:45" s="37" customFormat="1" ht="30" customHeight="1">
      <c r="A17" s="57" t="s">
        <v>124</v>
      </c>
      <c r="B17" s="9"/>
      <c r="C17" s="9"/>
      <c r="D17" s="9"/>
      <c r="E17" s="9"/>
      <c r="F17" s="51">
        <f>SUM(B17:E17)</f>
        <v>0</v>
      </c>
      <c r="G17" s="18">
        <f>(F17/100)</f>
        <v>0</v>
      </c>
      <c r="H17" s="10"/>
      <c r="I17" s="59" t="s">
        <v>261</v>
      </c>
      <c r="J17" s="9"/>
      <c r="K17" s="9"/>
      <c r="L17" s="9"/>
      <c r="M17" s="9"/>
      <c r="N17" s="51">
        <f t="shared" si="1"/>
        <v>0</v>
      </c>
      <c r="O17" s="18">
        <f t="shared" si="2"/>
        <v>0</v>
      </c>
      <c r="P17" s="57" t="s">
        <v>58</v>
      </c>
      <c r="Q17" s="9"/>
      <c r="R17" s="9"/>
      <c r="S17" s="9"/>
      <c r="T17" s="9"/>
      <c r="U17" s="51">
        <f t="shared" si="3"/>
        <v>0</v>
      </c>
      <c r="V17" s="18">
        <f t="shared" si="10"/>
        <v>0</v>
      </c>
      <c r="W17" s="10"/>
      <c r="X17" s="59" t="s">
        <v>132</v>
      </c>
      <c r="Y17" s="9"/>
      <c r="Z17" s="9"/>
      <c r="AA17" s="9"/>
      <c r="AB17" s="9"/>
      <c r="AC17" s="51">
        <f t="shared" si="4"/>
        <v>0</v>
      </c>
      <c r="AD17" s="18">
        <f t="shared" si="5"/>
        <v>0</v>
      </c>
      <c r="AE17" s="57" t="s">
        <v>136</v>
      </c>
      <c r="AF17" s="9"/>
      <c r="AG17" s="9"/>
      <c r="AH17" s="9"/>
      <c r="AI17" s="9"/>
      <c r="AJ17" s="51">
        <f t="shared" si="6"/>
        <v>0</v>
      </c>
      <c r="AK17" s="18">
        <f t="shared" si="11"/>
        <v>0</v>
      </c>
      <c r="AL17" s="10"/>
      <c r="AM17" s="21"/>
      <c r="AN17" s="21"/>
      <c r="AO17" s="21"/>
      <c r="AP17" s="21"/>
      <c r="AQ17" s="21"/>
      <c r="AR17" s="23"/>
      <c r="AS17" s="27"/>
    </row>
    <row r="18" spans="1:45" s="37" customFormat="1" ht="30" customHeight="1">
      <c r="A18" s="57" t="s">
        <v>122</v>
      </c>
      <c r="B18" s="9"/>
      <c r="C18" s="9"/>
      <c r="D18" s="9"/>
      <c r="E18" s="9"/>
      <c r="F18" s="51">
        <f>SUM(B18:E18)</f>
        <v>0</v>
      </c>
      <c r="G18" s="18">
        <f>(F18/100)</f>
        <v>0</v>
      </c>
      <c r="H18" s="10"/>
      <c r="I18" s="48" t="s">
        <v>259</v>
      </c>
      <c r="J18" s="9"/>
      <c r="K18" s="9"/>
      <c r="L18" s="9"/>
      <c r="M18" s="9"/>
      <c r="N18" s="51">
        <f t="shared" si="1"/>
        <v>0</v>
      </c>
      <c r="O18" s="18">
        <f t="shared" si="2"/>
        <v>0</v>
      </c>
      <c r="P18" s="57" t="s">
        <v>72</v>
      </c>
      <c r="Q18" s="9"/>
      <c r="R18" s="9"/>
      <c r="S18" s="9"/>
      <c r="T18" s="9"/>
      <c r="U18" s="51">
        <f t="shared" si="3"/>
        <v>0</v>
      </c>
      <c r="V18" s="18">
        <f t="shared" si="10"/>
        <v>0</v>
      </c>
      <c r="W18" s="10"/>
      <c r="X18" s="48" t="s">
        <v>268</v>
      </c>
      <c r="Y18" s="9"/>
      <c r="Z18" s="9"/>
      <c r="AA18" s="9"/>
      <c r="AB18" s="9"/>
      <c r="AC18" s="51">
        <f t="shared" si="4"/>
        <v>0</v>
      </c>
      <c r="AD18" s="18">
        <f t="shared" si="5"/>
        <v>0</v>
      </c>
      <c r="AE18" s="57" t="s">
        <v>28</v>
      </c>
      <c r="AF18" s="9"/>
      <c r="AG18" s="9"/>
      <c r="AH18" s="9"/>
      <c r="AI18" s="9"/>
      <c r="AJ18" s="51">
        <f t="shared" si="6"/>
        <v>0</v>
      </c>
      <c r="AK18" s="18">
        <f t="shared" si="11"/>
        <v>0</v>
      </c>
      <c r="AL18" s="10"/>
      <c r="AM18" s="21"/>
      <c r="AN18" s="21"/>
      <c r="AO18" s="21"/>
      <c r="AP18" s="21"/>
      <c r="AQ18" s="21"/>
      <c r="AR18" s="25"/>
      <c r="AS18" s="31"/>
    </row>
    <row r="19" spans="1:45" s="37" customFormat="1" ht="30" customHeight="1">
      <c r="A19" s="13"/>
      <c r="B19" s="12"/>
      <c r="C19" s="12"/>
      <c r="D19" s="12"/>
      <c r="E19" s="12"/>
      <c r="F19" s="23"/>
      <c r="G19" s="27"/>
      <c r="H19" s="21"/>
      <c r="I19" s="59" t="s">
        <v>262</v>
      </c>
      <c r="J19" s="9"/>
      <c r="K19" s="9"/>
      <c r="L19" s="9"/>
      <c r="M19" s="9"/>
      <c r="N19" s="51">
        <f t="shared" si="1"/>
        <v>0</v>
      </c>
      <c r="O19" s="18">
        <f t="shared" si="2"/>
        <v>0</v>
      </c>
      <c r="P19" s="13"/>
      <c r="Q19" s="12"/>
      <c r="R19" s="12"/>
      <c r="S19" s="12"/>
      <c r="T19" s="12"/>
      <c r="U19" s="23"/>
      <c r="V19" s="27"/>
      <c r="W19" s="21"/>
      <c r="X19" s="59" t="s">
        <v>133</v>
      </c>
      <c r="Y19" s="9"/>
      <c r="Z19" s="9"/>
      <c r="AA19" s="9"/>
      <c r="AB19" s="9"/>
      <c r="AC19" s="51">
        <f t="shared" si="4"/>
        <v>0</v>
      </c>
      <c r="AD19" s="18">
        <f t="shared" si="5"/>
        <v>0</v>
      </c>
      <c r="AE19" s="57" t="s">
        <v>56</v>
      </c>
      <c r="AF19" s="9"/>
      <c r="AG19" s="9"/>
      <c r="AH19" s="9"/>
      <c r="AI19" s="9"/>
      <c r="AJ19" s="51">
        <f t="shared" si="6"/>
        <v>0</v>
      </c>
      <c r="AK19" s="18">
        <f t="shared" si="11"/>
        <v>0</v>
      </c>
      <c r="AL19" s="10"/>
      <c r="AM19" s="21"/>
      <c r="AN19" s="21"/>
      <c r="AO19" s="21"/>
      <c r="AP19" s="21"/>
      <c r="AQ19" s="21"/>
      <c r="AR19" s="25"/>
      <c r="AS19" s="31"/>
    </row>
    <row r="20" spans="1:45" s="37" customFormat="1" ht="30" customHeight="1">
      <c r="A20" s="11"/>
      <c r="B20" s="14"/>
      <c r="C20" s="14"/>
      <c r="D20" s="14"/>
      <c r="E20" s="14"/>
      <c r="F20" s="25"/>
      <c r="G20" s="31"/>
      <c r="H20" s="21"/>
      <c r="I20" s="48" t="s">
        <v>260</v>
      </c>
      <c r="J20" s="9"/>
      <c r="K20" s="9"/>
      <c r="L20" s="9"/>
      <c r="M20" s="9"/>
      <c r="N20" s="51">
        <f t="shared" si="1"/>
        <v>0</v>
      </c>
      <c r="O20" s="18">
        <f t="shared" si="2"/>
        <v>0</v>
      </c>
      <c r="P20" s="11"/>
      <c r="Q20" s="14"/>
      <c r="R20" s="14"/>
      <c r="S20" s="14"/>
      <c r="T20" s="14"/>
      <c r="U20" s="25"/>
      <c r="V20" s="31"/>
      <c r="W20" s="21"/>
      <c r="X20" s="48" t="s">
        <v>269</v>
      </c>
      <c r="Y20" s="9"/>
      <c r="Z20" s="9"/>
      <c r="AA20" s="9"/>
      <c r="AB20" s="9"/>
      <c r="AC20" s="51">
        <f t="shared" si="4"/>
        <v>0</v>
      </c>
      <c r="AD20" s="18">
        <f t="shared" si="5"/>
        <v>0</v>
      </c>
      <c r="AE20" s="57" t="s">
        <v>14</v>
      </c>
      <c r="AF20" s="9"/>
      <c r="AG20" s="9"/>
      <c r="AH20" s="9"/>
      <c r="AI20" s="9"/>
      <c r="AJ20" s="51">
        <f t="shared" si="6"/>
        <v>0</v>
      </c>
      <c r="AK20" s="18">
        <f t="shared" si="11"/>
        <v>0</v>
      </c>
      <c r="AL20" s="10"/>
      <c r="AM20" s="21"/>
      <c r="AN20" s="21"/>
      <c r="AO20" s="21"/>
      <c r="AP20" s="21"/>
      <c r="AQ20" s="21"/>
      <c r="AR20" s="25"/>
      <c r="AS20" s="31"/>
    </row>
    <row r="21" spans="1:45" s="37" customFormat="1" ht="30" customHeight="1">
      <c r="A21" s="11"/>
      <c r="B21" s="14"/>
      <c r="C21" s="14"/>
      <c r="D21" s="14"/>
      <c r="E21" s="14"/>
      <c r="F21" s="25"/>
      <c r="G21" s="31"/>
      <c r="H21" s="21"/>
      <c r="I21" s="11"/>
      <c r="J21" s="21"/>
      <c r="K21" s="21"/>
      <c r="L21" s="21"/>
      <c r="M21" s="21"/>
      <c r="N21" s="28"/>
      <c r="O21" s="29"/>
      <c r="P21" s="11"/>
      <c r="Q21" s="14"/>
      <c r="R21" s="14"/>
      <c r="S21" s="14"/>
      <c r="T21" s="14"/>
      <c r="U21" s="25"/>
      <c r="V21" s="31"/>
      <c r="W21" s="21"/>
      <c r="X21" s="59" t="s">
        <v>275</v>
      </c>
      <c r="Y21" s="9"/>
      <c r="Z21" s="9"/>
      <c r="AA21" s="9"/>
      <c r="AB21" s="9"/>
      <c r="AC21" s="51">
        <f t="shared" si="4"/>
        <v>0</v>
      </c>
      <c r="AD21" s="18">
        <f t="shared" si="5"/>
        <v>0</v>
      </c>
      <c r="AE21" s="57" t="s">
        <v>279</v>
      </c>
      <c r="AF21" s="9"/>
      <c r="AG21" s="9"/>
      <c r="AH21" s="9"/>
      <c r="AI21" s="9"/>
      <c r="AJ21" s="51">
        <f t="shared" si="6"/>
        <v>0</v>
      </c>
      <c r="AK21" s="18">
        <f t="shared" si="11"/>
        <v>0</v>
      </c>
      <c r="AL21" s="10"/>
      <c r="AM21" s="21"/>
      <c r="AN21" s="21"/>
      <c r="AO21" s="21"/>
      <c r="AP21" s="21"/>
      <c r="AQ21" s="21"/>
      <c r="AR21" s="28"/>
      <c r="AS21" s="29"/>
    </row>
    <row r="22" spans="1:45" s="37" customFormat="1" ht="30" customHeight="1">
      <c r="A22" s="11"/>
      <c r="B22" s="14"/>
      <c r="C22" s="14"/>
      <c r="D22" s="14"/>
      <c r="E22" s="14"/>
      <c r="F22" s="25"/>
      <c r="G22" s="31"/>
      <c r="H22" s="21"/>
      <c r="I22" s="11"/>
      <c r="J22" s="21"/>
      <c r="K22" s="21"/>
      <c r="L22" s="21"/>
      <c r="M22" s="21"/>
      <c r="N22" s="11"/>
      <c r="O22" s="31"/>
      <c r="P22" s="11"/>
      <c r="Q22" s="14"/>
      <c r="R22" s="14"/>
      <c r="S22" s="14"/>
      <c r="T22" s="14"/>
      <c r="U22" s="25"/>
      <c r="V22" s="31"/>
      <c r="W22" s="21"/>
      <c r="X22" s="48" t="s">
        <v>270</v>
      </c>
      <c r="Y22" s="9"/>
      <c r="Z22" s="9"/>
      <c r="AA22" s="9"/>
      <c r="AB22" s="9"/>
      <c r="AC22" s="51">
        <f t="shared" si="4"/>
        <v>0</v>
      </c>
      <c r="AD22" s="18">
        <f t="shared" si="5"/>
        <v>0</v>
      </c>
      <c r="AE22" s="57" t="s">
        <v>30</v>
      </c>
      <c r="AF22" s="9"/>
      <c r="AG22" s="9"/>
      <c r="AH22" s="9"/>
      <c r="AI22" s="9"/>
      <c r="AJ22" s="51">
        <f t="shared" si="6"/>
        <v>0</v>
      </c>
      <c r="AK22" s="18">
        <f t="shared" si="11"/>
        <v>0</v>
      </c>
      <c r="AL22" s="10"/>
      <c r="AM22" s="21"/>
      <c r="AN22" s="21"/>
      <c r="AO22" s="21"/>
      <c r="AP22" s="21"/>
      <c r="AQ22" s="21"/>
      <c r="AR22" s="11"/>
      <c r="AS22" s="31"/>
    </row>
    <row r="23" spans="1:45" s="37" customFormat="1" ht="30" customHeight="1">
      <c r="A23" s="11"/>
      <c r="B23" s="14"/>
      <c r="C23" s="14"/>
      <c r="D23" s="14"/>
      <c r="E23" s="14"/>
      <c r="F23" s="25"/>
      <c r="G23" s="31"/>
      <c r="H23" s="21"/>
      <c r="I23" s="11"/>
      <c r="J23" s="21"/>
      <c r="K23" s="21"/>
      <c r="L23" s="21"/>
      <c r="M23" s="21"/>
      <c r="N23" s="11"/>
      <c r="O23" s="31"/>
      <c r="P23" s="11"/>
      <c r="Q23" s="14"/>
      <c r="R23" s="14"/>
      <c r="S23" s="14"/>
      <c r="T23" s="14"/>
      <c r="U23" s="25"/>
      <c r="V23" s="31"/>
      <c r="W23" s="21"/>
      <c r="X23" s="59" t="s">
        <v>7</v>
      </c>
      <c r="Y23" s="9"/>
      <c r="Z23" s="9"/>
      <c r="AA23" s="9"/>
      <c r="AB23" s="9"/>
      <c r="AC23" s="51">
        <f t="shared" si="4"/>
        <v>0</v>
      </c>
      <c r="AD23" s="58">
        <f t="shared" si="5"/>
        <v>0</v>
      </c>
      <c r="AE23" s="13"/>
      <c r="AF23" s="12"/>
      <c r="AG23" s="12"/>
      <c r="AH23" s="12"/>
      <c r="AI23" s="12"/>
      <c r="AJ23" s="23"/>
      <c r="AK23" s="27"/>
      <c r="AL23" s="21"/>
      <c r="AM23" s="21"/>
      <c r="AN23" s="21"/>
      <c r="AO23" s="21"/>
      <c r="AP23" s="21"/>
      <c r="AQ23" s="21"/>
      <c r="AR23" s="11"/>
      <c r="AS23" s="31"/>
    </row>
    <row r="24" spans="1:45" s="3" customFormat="1" ht="30" customHeight="1">
      <c r="A24" s="1"/>
      <c r="B24" s="1"/>
      <c r="C24" s="1"/>
      <c r="D24" s="1"/>
      <c r="E24" s="1"/>
      <c r="F24" s="1"/>
      <c r="G24" s="5"/>
      <c r="H24" s="1"/>
      <c r="I24" s="5"/>
      <c r="J24" s="1"/>
      <c r="K24" s="1"/>
      <c r="L24" s="1"/>
      <c r="M24" s="1"/>
      <c r="N24" s="1"/>
      <c r="O24" s="5"/>
      <c r="P24" s="1"/>
      <c r="Q24" s="1"/>
      <c r="R24" s="1"/>
      <c r="S24" s="1"/>
      <c r="T24" s="1"/>
      <c r="U24" s="1"/>
      <c r="V24" s="17"/>
      <c r="W24" s="73"/>
      <c r="X24" s="48" t="s">
        <v>271</v>
      </c>
      <c r="Y24" s="9"/>
      <c r="Z24" s="9"/>
      <c r="AA24" s="9"/>
      <c r="AB24" s="9"/>
      <c r="AC24" s="51">
        <f t="shared" si="4"/>
        <v>0</v>
      </c>
      <c r="AD24" s="58">
        <f t="shared" si="5"/>
        <v>0</v>
      </c>
      <c r="AE24" s="52"/>
      <c r="AF24" s="54"/>
      <c r="AG24" s="54"/>
      <c r="AH24" s="54"/>
      <c r="AI24" s="54"/>
      <c r="AJ24" s="25"/>
      <c r="AK24" s="31"/>
      <c r="AL24" s="4"/>
      <c r="AM24" s="4"/>
      <c r="AN24" s="4"/>
      <c r="AO24" s="4"/>
      <c r="AP24" s="4"/>
      <c r="AQ24" s="4"/>
      <c r="AR24" s="54"/>
      <c r="AS24" s="54"/>
    </row>
    <row r="25" spans="1:45" ht="30" customHeight="1">
      <c r="A25" s="99" t="s">
        <v>366</v>
      </c>
      <c r="B25" s="69"/>
      <c r="C25" s="69"/>
      <c r="D25" s="70" t="s">
        <v>355</v>
      </c>
      <c r="E25" s="67" t="s">
        <v>356</v>
      </c>
      <c r="F25" s="1"/>
      <c r="I25" s="72"/>
      <c r="J25" s="69"/>
      <c r="K25" s="70" t="s">
        <v>355</v>
      </c>
      <c r="L25" s="67" t="s">
        <v>356</v>
      </c>
      <c r="N25" s="1"/>
      <c r="P25" s="1"/>
      <c r="Q25" s="1"/>
      <c r="R25" s="1"/>
      <c r="S25" s="1"/>
      <c r="T25" s="1"/>
      <c r="U25" s="1"/>
      <c r="V25" s="17"/>
      <c r="W25" s="73"/>
      <c r="X25" s="59" t="s">
        <v>15</v>
      </c>
      <c r="Y25" s="9"/>
      <c r="Z25" s="9"/>
      <c r="AA25" s="9"/>
      <c r="AB25" s="9"/>
      <c r="AC25" s="51">
        <f t="shared" si="4"/>
        <v>0</v>
      </c>
      <c r="AD25" s="18">
        <f t="shared" si="5"/>
        <v>0</v>
      </c>
      <c r="AE25" s="1"/>
      <c r="AF25" s="1"/>
      <c r="AG25" s="1"/>
      <c r="AH25" s="1"/>
      <c r="AI25" s="1"/>
      <c r="AJ25" s="1"/>
      <c r="AR25" s="1"/>
    </row>
    <row r="26" spans="1:45" ht="30" customHeight="1">
      <c r="A26" s="99"/>
      <c r="B26" s="99" t="s">
        <v>0</v>
      </c>
      <c r="C26" s="68" t="s">
        <v>195</v>
      </c>
      <c r="D26" s="63">
        <f>SUM(B7:B23)/26*100/17</f>
        <v>0</v>
      </c>
      <c r="E26" s="65">
        <f>((12*26)-(15+6+11+8+11+15+13+11+9+3+15+12))/26*100/12</f>
        <v>58.653846153846153</v>
      </c>
      <c r="F26" s="1"/>
      <c r="I26" s="99" t="s">
        <v>366</v>
      </c>
      <c r="J26" s="68" t="s">
        <v>401</v>
      </c>
      <c r="K26" s="63"/>
      <c r="L26" s="65">
        <f>(103-(15+10+9+13))/103*100</f>
        <v>54.368932038834949</v>
      </c>
      <c r="N26" s="1"/>
      <c r="P26" s="1"/>
      <c r="Q26" s="1"/>
      <c r="R26" s="1"/>
      <c r="S26" s="1"/>
      <c r="T26" s="1"/>
      <c r="U26" s="1"/>
      <c r="V26" s="17"/>
      <c r="W26" s="73"/>
      <c r="X26" s="48" t="s">
        <v>91</v>
      </c>
      <c r="Y26" s="9"/>
      <c r="Z26" s="9"/>
      <c r="AA26" s="9"/>
      <c r="AB26" s="9"/>
      <c r="AC26" s="51">
        <f t="shared" si="4"/>
        <v>0</v>
      </c>
      <c r="AD26" s="18">
        <f t="shared" si="5"/>
        <v>0</v>
      </c>
      <c r="AE26" s="1"/>
      <c r="AF26" s="1"/>
      <c r="AG26" s="1"/>
      <c r="AH26" s="1"/>
      <c r="AI26" s="1"/>
      <c r="AJ26" s="1"/>
      <c r="AR26" s="1"/>
    </row>
    <row r="27" spans="1:45" ht="30" customHeight="1">
      <c r="A27" s="99"/>
      <c r="B27" s="99"/>
      <c r="C27" s="68" t="s">
        <v>196</v>
      </c>
      <c r="D27" s="63">
        <f>SUM(C7:C23)/26*100/17</f>
        <v>0</v>
      </c>
      <c r="E27" s="65">
        <f>((12*26)-(7+1+5+7+8+10+10+5+7+8+1+9))/26*100/12</f>
        <v>75</v>
      </c>
      <c r="I27" s="99"/>
      <c r="J27" s="68" t="s">
        <v>261</v>
      </c>
      <c r="K27" s="63"/>
      <c r="L27" s="65">
        <f>(103-(16+9+13+11))/103*100</f>
        <v>52.427184466019419</v>
      </c>
      <c r="V27" s="17"/>
      <c r="W27" s="73"/>
      <c r="X27" s="59" t="s">
        <v>276</v>
      </c>
      <c r="Y27" s="9"/>
      <c r="Z27" s="9"/>
      <c r="AA27" s="9"/>
      <c r="AB27" s="9"/>
      <c r="AC27" s="51">
        <f>SUM(Y27:AB27)</f>
        <v>0</v>
      </c>
      <c r="AD27" s="18">
        <f>(AC27/100)</f>
        <v>0</v>
      </c>
      <c r="AE27" s="1"/>
      <c r="AF27" s="1"/>
      <c r="AG27" s="1"/>
      <c r="AH27" s="1"/>
      <c r="AI27" s="1"/>
      <c r="AJ27" s="1"/>
      <c r="AR27" s="1"/>
    </row>
    <row r="28" spans="1:45" ht="30" customHeight="1">
      <c r="A28" s="99"/>
      <c r="B28" s="99"/>
      <c r="C28" s="68" t="s">
        <v>197</v>
      </c>
      <c r="D28" s="63">
        <f>SUM(D7:D23)/25*100/17</f>
        <v>0</v>
      </c>
      <c r="E28" s="65">
        <f>((12*25)-(12+2+8+7+8+9+9+5+7+2+10+6))/25*100/12</f>
        <v>71.666666666666671</v>
      </c>
      <c r="I28" s="99"/>
      <c r="J28" s="68" t="s">
        <v>402</v>
      </c>
      <c r="K28" s="63"/>
      <c r="L28" s="65">
        <f>(103-(15+12+14+11))/103*100</f>
        <v>49.514563106796118</v>
      </c>
      <c r="V28" s="17"/>
      <c r="W28" s="73"/>
      <c r="X28" s="48" t="s">
        <v>13</v>
      </c>
      <c r="Y28" s="9"/>
      <c r="Z28" s="9"/>
      <c r="AA28" s="9"/>
      <c r="AB28" s="9"/>
      <c r="AC28" s="51">
        <f>SUM(Y28:AB28)</f>
        <v>0</v>
      </c>
      <c r="AD28" s="18">
        <f>(AC28/100)</f>
        <v>0</v>
      </c>
    </row>
    <row r="29" spans="1:45" ht="22.5">
      <c r="A29" s="99"/>
      <c r="B29" s="99"/>
      <c r="C29" s="68" t="s">
        <v>198</v>
      </c>
      <c r="D29" s="63">
        <f>SUM(E7:E23)/25*100/17</f>
        <v>0</v>
      </c>
      <c r="E29" s="65">
        <f>((12*26)-(12+2+12+13+9+13+7+3+6+2+9+6))/26*100/12</f>
        <v>69.871794871794876</v>
      </c>
      <c r="I29" s="99"/>
      <c r="J29" s="68" t="s">
        <v>126</v>
      </c>
      <c r="K29" s="63"/>
      <c r="L29" s="65">
        <f>(103-(17+15+15+13))/103*100</f>
        <v>41.747572815533978</v>
      </c>
      <c r="AC29" s="1"/>
    </row>
    <row r="30" spans="1:45" ht="22.5">
      <c r="A30" s="99"/>
      <c r="B30" s="100" t="s">
        <v>1</v>
      </c>
      <c r="C30" s="68" t="s">
        <v>195</v>
      </c>
      <c r="D30" s="63">
        <f>SUM(H7:H18)/26*100/12</f>
        <v>0</v>
      </c>
      <c r="E30" s="65">
        <f>((8*26)-(13+10+6+17+11+15+16+12))/26*100/8</f>
        <v>51.923076923076927</v>
      </c>
      <c r="I30" s="99"/>
      <c r="J30" s="68" t="s">
        <v>125</v>
      </c>
      <c r="K30" s="63"/>
      <c r="L30" s="65">
        <f>(103-(13+11+11+15))/103*100</f>
        <v>51.456310679611647</v>
      </c>
      <c r="AC30" s="1"/>
    </row>
    <row r="31" spans="1:45" ht="22.5">
      <c r="A31" s="99"/>
      <c r="B31" s="100"/>
      <c r="C31" s="68" t="s">
        <v>196</v>
      </c>
      <c r="D31" s="63">
        <f>SUM(I7:I18)/26*100/12</f>
        <v>0</v>
      </c>
      <c r="E31" s="65">
        <f>((8*26)-(11+7+5+15+9+12+9+5))/26*100/8</f>
        <v>64.90384615384616</v>
      </c>
      <c r="I31" s="99" t="s">
        <v>367</v>
      </c>
      <c r="J31" s="68" t="s">
        <v>263</v>
      </c>
      <c r="K31" s="78"/>
      <c r="L31" s="65">
        <f>(103-(10+12+10+13))/103*100</f>
        <v>56.310679611650485</v>
      </c>
      <c r="AC31" s="1"/>
    </row>
    <row r="32" spans="1:45" ht="22.5">
      <c r="A32" s="99"/>
      <c r="B32" s="100"/>
      <c r="C32" s="68" t="s">
        <v>197</v>
      </c>
      <c r="D32" s="63">
        <f>SUM(J7:J18)/25*100/12</f>
        <v>0</v>
      </c>
      <c r="E32" s="65">
        <f>((8*25)-(11+5+6+15+9+14+13+9))/25*100/8</f>
        <v>59</v>
      </c>
      <c r="I32" s="99"/>
      <c r="J32" s="68" t="s">
        <v>72</v>
      </c>
      <c r="K32" s="78"/>
      <c r="L32" s="65">
        <f>(103-(12+7+14+11))/103*100</f>
        <v>57.28155339805825</v>
      </c>
    </row>
    <row r="33" spans="1:12" ht="22.5">
      <c r="A33" s="99"/>
      <c r="B33" s="100"/>
      <c r="C33" s="68" t="s">
        <v>198</v>
      </c>
      <c r="D33" s="63">
        <f>SUM(K7:K18)/25*100/12</f>
        <v>0</v>
      </c>
      <c r="E33" s="65">
        <f>((8*26)-(15+7+5+13+9+11+11+10))/26*100/8</f>
        <v>61.057692307692314</v>
      </c>
      <c r="I33" s="99"/>
      <c r="J33" s="68" t="s">
        <v>253</v>
      </c>
      <c r="K33" s="78"/>
      <c r="L33" s="65">
        <f>(103-(15+12+21+17))/103*100</f>
        <v>36.893203883495147</v>
      </c>
    </row>
    <row r="34" spans="1:12" ht="22.5">
      <c r="A34" s="99" t="s">
        <v>367</v>
      </c>
      <c r="B34" s="99" t="s">
        <v>0</v>
      </c>
      <c r="C34" s="68" t="s">
        <v>195</v>
      </c>
      <c r="D34" s="63">
        <f>SUM(M7:M19)/26*100/13</f>
        <v>0</v>
      </c>
      <c r="E34" s="65">
        <f>((11*26)-(10+2+11+10+1+10+1+3+12+6+4))/26*100/11</f>
        <v>75.524475524475534</v>
      </c>
      <c r="I34" s="99"/>
      <c r="J34" s="68" t="s">
        <v>403</v>
      </c>
      <c r="K34" s="79"/>
      <c r="L34" s="65">
        <f>(103-(16+12+12+12))/103*100</f>
        <v>49.514563106796118</v>
      </c>
    </row>
    <row r="35" spans="1:12" ht="22.5">
      <c r="A35" s="99"/>
      <c r="B35" s="99"/>
      <c r="C35" s="68" t="s">
        <v>196</v>
      </c>
      <c r="D35" s="63">
        <f>SUM(N7:N18)/26*100/13</f>
        <v>0</v>
      </c>
      <c r="E35" s="65">
        <f>((11*26)-(11+2+9+6+4+12+2+4+7+9+2))/26*100/11</f>
        <v>76.223776223776227</v>
      </c>
      <c r="I35" s="99"/>
      <c r="J35" s="68" t="s">
        <v>276</v>
      </c>
      <c r="K35" s="79"/>
      <c r="L35" s="65">
        <f>(103-(8+11+12+13))/103*100</f>
        <v>57.28155339805825</v>
      </c>
    </row>
    <row r="36" spans="1:12" ht="22.5">
      <c r="A36" s="99"/>
      <c r="B36" s="99"/>
      <c r="C36" s="68" t="s">
        <v>197</v>
      </c>
      <c r="D36" s="63">
        <f>SUM(O7:O19)/24*100/13</f>
        <v>0</v>
      </c>
      <c r="E36" s="65">
        <f>((11*25)-(14+4+9+8+9+10+12+6+14+9+4))/25*100/11</f>
        <v>64</v>
      </c>
      <c r="I36" s="99" t="s">
        <v>398</v>
      </c>
      <c r="J36" s="68" t="s">
        <v>117</v>
      </c>
      <c r="K36" s="79"/>
      <c r="L36" s="65">
        <f>(103-(12+10+6+6))/103*100</f>
        <v>66.990291262135926</v>
      </c>
    </row>
    <row r="37" spans="1:12" ht="22.5">
      <c r="A37" s="99"/>
      <c r="B37" s="99"/>
      <c r="C37" s="68" t="s">
        <v>198</v>
      </c>
      <c r="D37" s="63">
        <f>SUM(P7:P19)/25*100/13</f>
        <v>0</v>
      </c>
      <c r="E37" s="65">
        <f>((11*26)-(8+2+11+8+4+13+7+7+11+10+2))/26*100/11</f>
        <v>70.979020979020973</v>
      </c>
      <c r="I37" s="99"/>
      <c r="J37" s="68" t="s">
        <v>404</v>
      </c>
      <c r="K37" s="79"/>
      <c r="L37" s="65">
        <f>(103-(12+9+7+6))/103*100</f>
        <v>66.990291262135926</v>
      </c>
    </row>
    <row r="38" spans="1:12" ht="22.5">
      <c r="A38" s="99"/>
      <c r="B38" s="100" t="s">
        <v>1</v>
      </c>
      <c r="C38" s="68" t="s">
        <v>195</v>
      </c>
      <c r="D38" s="63">
        <f>SUM(S7:S181)/26*100/12</f>
        <v>0</v>
      </c>
      <c r="E38" s="65">
        <f>((11*26)-(16+9+10+6+1+8+15+10+5+5))/26*100/11</f>
        <v>70.27972027972028</v>
      </c>
      <c r="I38" s="99"/>
      <c r="J38" s="68" t="s">
        <v>137</v>
      </c>
      <c r="K38" s="79"/>
      <c r="L38" s="65">
        <f>(103-(8+10+12+5))/103*100</f>
        <v>66.019417475728162</v>
      </c>
    </row>
    <row r="39" spans="1:12" ht="22.5">
      <c r="A39" s="99"/>
      <c r="B39" s="100"/>
      <c r="C39" s="68" t="s">
        <v>196</v>
      </c>
      <c r="D39" s="63">
        <f>SUM(T7:T18)/26*100/12</f>
        <v>0</v>
      </c>
      <c r="E39" s="65">
        <f>((11*26)-(12+8+9+6+2+4+11+12+8+6+5))/26*100/11</f>
        <v>70.979020979020973</v>
      </c>
      <c r="I39" s="99"/>
      <c r="J39" s="68" t="s">
        <v>138</v>
      </c>
      <c r="K39" s="79"/>
      <c r="L39" s="65">
        <f>(103-(9+9+9+6))/103*100</f>
        <v>67.961165048543691</v>
      </c>
    </row>
    <row r="40" spans="1:12" ht="22.5">
      <c r="A40" s="99"/>
      <c r="B40" s="100"/>
      <c r="C40" s="68" t="s">
        <v>197</v>
      </c>
      <c r="D40" s="63">
        <f>SUM(U7:U18)/24*100/12</f>
        <v>0</v>
      </c>
      <c r="E40" s="65">
        <f>((11*25)-(12+11+9+7+5+7+12+21+12+10+16))/25*100/11</f>
        <v>55.636363636363633</v>
      </c>
      <c r="I40" s="99"/>
      <c r="J40" s="68" t="s">
        <v>405</v>
      </c>
      <c r="K40" s="79"/>
      <c r="L40" s="65">
        <f>(103-(6+8+10+6))/103*100</f>
        <v>70.873786407766985</v>
      </c>
    </row>
    <row r="41" spans="1:12" ht="22.5">
      <c r="A41" s="99"/>
      <c r="B41" s="100"/>
      <c r="C41" s="68" t="s">
        <v>198</v>
      </c>
      <c r="D41" s="63">
        <f>SUM(V7:V18)/25*100/12</f>
        <v>0</v>
      </c>
      <c r="E41" s="65">
        <f>((11*26)-(12+13+11+9+3+5+13+17+9+10+9))/26*100/11</f>
        <v>61.188811188811194</v>
      </c>
    </row>
    <row r="42" spans="1:12" ht="22.5">
      <c r="A42" s="99" t="s">
        <v>368</v>
      </c>
      <c r="B42" s="99" t="s">
        <v>0</v>
      </c>
      <c r="C42" s="68" t="s">
        <v>195</v>
      </c>
      <c r="D42" s="63">
        <f>SUM(X7:X18)/26*100/12</f>
        <v>0</v>
      </c>
      <c r="E42" s="65">
        <f>((12*26)-(3+5+5+2+12+12+4+3+1+5+3))/26*100/12</f>
        <v>82.371794871794876</v>
      </c>
    </row>
    <row r="43" spans="1:12" ht="22.5">
      <c r="A43" s="99"/>
      <c r="B43" s="99"/>
      <c r="C43" s="68" t="s">
        <v>196</v>
      </c>
      <c r="D43" s="63">
        <f>SUM(Y7:Y18)/26*100/12</f>
        <v>0</v>
      </c>
      <c r="E43" s="65">
        <f>((12*26)-(3+2+7+2+10+9+10+7+1+2+1+1))/26*100/12</f>
        <v>82.371794871794876</v>
      </c>
    </row>
    <row r="44" spans="1:12" ht="22.5">
      <c r="A44" s="99"/>
      <c r="B44" s="99"/>
      <c r="C44" s="68" t="s">
        <v>197</v>
      </c>
      <c r="D44" s="63">
        <f>SUM(Z7:Z18)/24*100/12</f>
        <v>0</v>
      </c>
      <c r="E44" s="65">
        <f>((12*25)-(5+3+5+1+6+7+8+8+4+5+1))/25*100/12</f>
        <v>82.333333333333343</v>
      </c>
    </row>
    <row r="45" spans="1:12" ht="22.5">
      <c r="A45" s="99"/>
      <c r="B45" s="99"/>
      <c r="C45" s="68" t="s">
        <v>198</v>
      </c>
      <c r="D45" s="63">
        <f>SUM(AA7:AA18)/25*100/12</f>
        <v>0</v>
      </c>
      <c r="E45" s="65">
        <f>((12*26)-(4+2+3+1+6+6+6+3+2+3))/26*100/12</f>
        <v>88.461538461538453</v>
      </c>
    </row>
    <row r="46" spans="1:12" ht="22.5">
      <c r="A46" s="99"/>
      <c r="B46" s="100" t="s">
        <v>1</v>
      </c>
      <c r="C46" s="68" t="s">
        <v>195</v>
      </c>
      <c r="D46" s="63">
        <f>SUM(AD7:AD15)/26*100/9</f>
        <v>0</v>
      </c>
      <c r="E46" s="65">
        <f>((5*26)-(8+9+5+6+6))/26*100/5</f>
        <v>73.84615384615384</v>
      </c>
    </row>
    <row r="47" spans="1:12" ht="22.5">
      <c r="A47" s="99"/>
      <c r="B47" s="100"/>
      <c r="C47" s="68" t="s">
        <v>196</v>
      </c>
      <c r="D47" s="63">
        <f>SUM(AE7:AE15)/26*100/9</f>
        <v>0</v>
      </c>
      <c r="E47" s="65">
        <f>((5*26)-(10+9+6+8+7))/26*100/5</f>
        <v>69.230769230769241</v>
      </c>
    </row>
    <row r="48" spans="1:12" ht="22.5">
      <c r="A48" s="99"/>
      <c r="B48" s="100"/>
      <c r="C48" s="68" t="s">
        <v>197</v>
      </c>
      <c r="D48" s="63">
        <f>SUM(AF7:AF15)/24*100/9</f>
        <v>0</v>
      </c>
      <c r="E48" s="65">
        <f>((5*25)-(12+9+6+10+8))/25*100/5</f>
        <v>64</v>
      </c>
    </row>
    <row r="49" spans="1:5" ht="22.5">
      <c r="A49" s="99"/>
      <c r="B49" s="100"/>
      <c r="C49" s="68" t="s">
        <v>198</v>
      </c>
      <c r="D49" s="63">
        <f>SUM(AG7:AG15)/25*100/9</f>
        <v>0</v>
      </c>
      <c r="E49" s="65">
        <f>((5*26)-(5+6+2+6+3))/26*100/5</f>
        <v>83.07692307692308</v>
      </c>
    </row>
  </sheetData>
  <mergeCells count="33">
    <mergeCell ref="A1:O1"/>
    <mergeCell ref="P1:AD1"/>
    <mergeCell ref="AE1:AS1"/>
    <mergeCell ref="A3:O3"/>
    <mergeCell ref="P3:AD3"/>
    <mergeCell ref="AE3:AS3"/>
    <mergeCell ref="A2:O2"/>
    <mergeCell ref="P2:AD2"/>
    <mergeCell ref="AE2:AS2"/>
    <mergeCell ref="AR6:AS6"/>
    <mergeCell ref="A5:G5"/>
    <mergeCell ref="I5:O5"/>
    <mergeCell ref="P5:V5"/>
    <mergeCell ref="X5:AD5"/>
    <mergeCell ref="AE5:AK5"/>
    <mergeCell ref="AM5:AS5"/>
    <mergeCell ref="F6:G6"/>
    <mergeCell ref="N6:O6"/>
    <mergeCell ref="U6:V6"/>
    <mergeCell ref="AC6:AD6"/>
    <mergeCell ref="AJ6:AK6"/>
    <mergeCell ref="A42:A49"/>
    <mergeCell ref="B42:B45"/>
    <mergeCell ref="B46:B49"/>
    <mergeCell ref="I26:I30"/>
    <mergeCell ref="I31:I35"/>
    <mergeCell ref="I36:I40"/>
    <mergeCell ref="A25:A33"/>
    <mergeCell ref="B26:B29"/>
    <mergeCell ref="B30:B33"/>
    <mergeCell ref="A34:A41"/>
    <mergeCell ref="B34:B37"/>
    <mergeCell ref="B38:B41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27"/>
  <dimension ref="A1:AG50"/>
  <sheetViews>
    <sheetView topLeftCell="A25" zoomScale="70" zoomScaleNormal="70" workbookViewId="0">
      <selection activeCell="M43" sqref="M43"/>
    </sheetView>
  </sheetViews>
  <sheetFormatPr defaultRowHeight="24"/>
  <cols>
    <col min="1" max="1" width="10.75" style="5" customWidth="1"/>
    <col min="2" max="5" width="5.125" style="5" customWidth="1"/>
    <col min="6" max="6" width="3.875" style="1" customWidth="1"/>
    <col min="7" max="7" width="12.25" style="8" customWidth="1"/>
    <col min="8" max="11" width="5.125" style="1" customWidth="1"/>
    <col min="12" max="12" width="10.75" style="5" customWidth="1"/>
    <col min="13" max="16" width="5.125" style="5" customWidth="1"/>
    <col min="17" max="17" width="3.875" style="1" customWidth="1"/>
    <col min="18" max="18" width="12.625" style="8" customWidth="1"/>
    <col min="19" max="22" width="5.125" style="1" customWidth="1"/>
    <col min="23" max="23" width="10.75" style="5" customWidth="1"/>
    <col min="24" max="27" width="5.125" style="5" customWidth="1"/>
    <col min="28" max="28" width="3.875" style="1" customWidth="1"/>
    <col min="29" max="29" width="12.375" style="8" customWidth="1"/>
    <col min="30" max="33" width="5.125" style="1" customWidth="1"/>
    <col min="34" max="16384" width="9" style="1"/>
  </cols>
  <sheetData>
    <row r="1" spans="1:33" ht="19.5">
      <c r="A1" s="102" t="s">
        <v>2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 t="s">
        <v>2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 t="s">
        <v>2</v>
      </c>
      <c r="X1" s="102"/>
      <c r="Y1" s="102"/>
      <c r="Z1" s="102"/>
      <c r="AA1" s="102"/>
      <c r="AB1" s="102"/>
      <c r="AC1" s="102"/>
      <c r="AD1" s="102"/>
      <c r="AE1" s="102"/>
      <c r="AF1" s="102"/>
      <c r="AG1" s="102"/>
    </row>
    <row r="2" spans="1:33" ht="19.5">
      <c r="A2" s="102" t="s">
        <v>251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 t="s">
        <v>153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 t="s">
        <v>347</v>
      </c>
      <c r="X2" s="102"/>
      <c r="Y2" s="102"/>
      <c r="Z2" s="102"/>
      <c r="AA2" s="102"/>
      <c r="AB2" s="102"/>
      <c r="AC2" s="102"/>
      <c r="AD2" s="102"/>
      <c r="AE2" s="102"/>
      <c r="AF2" s="102"/>
      <c r="AG2" s="102"/>
    </row>
    <row r="3" spans="1:33" ht="19.5">
      <c r="A3" s="101" t="s">
        <v>168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 t="s">
        <v>168</v>
      </c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 t="s">
        <v>168</v>
      </c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21" customHeight="1"/>
    <row r="5" spans="1:33" ht="19.5">
      <c r="A5" s="104" t="s">
        <v>159</v>
      </c>
      <c r="B5" s="104"/>
      <c r="C5" s="104"/>
      <c r="D5" s="104"/>
      <c r="E5" s="104"/>
      <c r="F5" s="2"/>
      <c r="G5" s="104" t="s">
        <v>334</v>
      </c>
      <c r="H5" s="104"/>
      <c r="I5" s="104"/>
      <c r="J5" s="104"/>
      <c r="K5" s="104"/>
      <c r="L5" s="104" t="s">
        <v>159</v>
      </c>
      <c r="M5" s="104"/>
      <c r="N5" s="104"/>
      <c r="O5" s="104"/>
      <c r="P5" s="104"/>
      <c r="Q5" s="2"/>
      <c r="R5" s="104" t="s">
        <v>250</v>
      </c>
      <c r="S5" s="104"/>
      <c r="T5" s="104"/>
      <c r="U5" s="104"/>
      <c r="V5" s="104"/>
      <c r="W5" s="104" t="s">
        <v>159</v>
      </c>
      <c r="X5" s="104"/>
      <c r="Y5" s="104"/>
      <c r="Z5" s="104"/>
      <c r="AA5" s="104"/>
      <c r="AB5" s="2"/>
      <c r="AC5" s="104" t="s">
        <v>250</v>
      </c>
      <c r="AD5" s="104"/>
      <c r="AE5" s="104"/>
      <c r="AF5" s="104"/>
      <c r="AG5" s="104"/>
    </row>
    <row r="6" spans="1:33" ht="78" customHeight="1">
      <c r="A6" s="50" t="s">
        <v>161</v>
      </c>
      <c r="B6" s="50" t="s">
        <v>169</v>
      </c>
      <c r="C6" s="50" t="s">
        <v>170</v>
      </c>
      <c r="D6" s="50" t="s">
        <v>224</v>
      </c>
      <c r="E6" s="50" t="s">
        <v>225</v>
      </c>
      <c r="F6" s="2"/>
      <c r="G6" s="47"/>
      <c r="H6" s="50" t="s">
        <v>169</v>
      </c>
      <c r="I6" s="50" t="s">
        <v>170</v>
      </c>
      <c r="J6" s="50" t="s">
        <v>224</v>
      </c>
      <c r="K6" s="50" t="s">
        <v>225</v>
      </c>
      <c r="L6" s="50" t="s">
        <v>161</v>
      </c>
      <c r="M6" s="50" t="s">
        <v>169</v>
      </c>
      <c r="N6" s="50" t="s">
        <v>170</v>
      </c>
      <c r="O6" s="50" t="s">
        <v>224</v>
      </c>
      <c r="P6" s="50" t="s">
        <v>225</v>
      </c>
      <c r="Q6" s="2"/>
      <c r="R6" s="47"/>
      <c r="S6" s="50" t="s">
        <v>169</v>
      </c>
      <c r="T6" s="50" t="s">
        <v>170</v>
      </c>
      <c r="U6" s="50" t="s">
        <v>224</v>
      </c>
      <c r="V6" s="50" t="s">
        <v>225</v>
      </c>
      <c r="W6" s="50" t="s">
        <v>161</v>
      </c>
      <c r="X6" s="50" t="s">
        <v>169</v>
      </c>
      <c r="Y6" s="50" t="s">
        <v>170</v>
      </c>
      <c r="Z6" s="50" t="s">
        <v>224</v>
      </c>
      <c r="AA6" s="50" t="s">
        <v>225</v>
      </c>
      <c r="AB6" s="2"/>
      <c r="AC6" s="47"/>
      <c r="AD6" s="50" t="s">
        <v>169</v>
      </c>
      <c r="AE6" s="50" t="s">
        <v>170</v>
      </c>
      <c r="AF6" s="50" t="s">
        <v>224</v>
      </c>
      <c r="AG6" s="50" t="s">
        <v>225</v>
      </c>
    </row>
    <row r="7" spans="1:33" s="37" customFormat="1" ht="30" customHeight="1">
      <c r="A7" s="48" t="s">
        <v>284</v>
      </c>
      <c r="B7" s="9"/>
      <c r="C7" s="9"/>
      <c r="D7" s="9"/>
      <c r="E7" s="9"/>
      <c r="F7" s="10"/>
      <c r="G7" s="48" t="s">
        <v>335</v>
      </c>
      <c r="H7" s="22"/>
      <c r="I7" s="22"/>
      <c r="J7" s="22"/>
      <c r="K7" s="22"/>
      <c r="L7" s="48" t="s">
        <v>311</v>
      </c>
      <c r="M7" s="9"/>
      <c r="N7" s="9"/>
      <c r="O7" s="9"/>
      <c r="P7" s="9"/>
      <c r="Q7" s="10"/>
      <c r="R7" s="59" t="s">
        <v>304</v>
      </c>
      <c r="S7" s="22" t="e">
        <f>#REF!</f>
        <v>#REF!</v>
      </c>
      <c r="T7" s="22" t="e">
        <f>#REF!</f>
        <v>#REF!</v>
      </c>
      <c r="U7" s="22" t="e">
        <f>#REF!</f>
        <v>#REF!</v>
      </c>
      <c r="V7" s="22" t="e">
        <f>#REF!</f>
        <v>#REF!</v>
      </c>
      <c r="W7" s="48" t="s">
        <v>118</v>
      </c>
      <c r="X7" s="9"/>
      <c r="Y7" s="9"/>
      <c r="Z7" s="9"/>
      <c r="AA7" s="9"/>
      <c r="AB7" s="10"/>
      <c r="AC7" s="48" t="s">
        <v>346</v>
      </c>
      <c r="AD7" s="22" t="e">
        <f>#REF!</f>
        <v>#REF!</v>
      </c>
      <c r="AE7" s="22" t="e">
        <f>#REF!</f>
        <v>#REF!</v>
      </c>
      <c r="AF7" s="22" t="e">
        <f>#REF!</f>
        <v>#REF!</v>
      </c>
      <c r="AG7" s="22" t="e">
        <f>#REF!</f>
        <v>#REF!</v>
      </c>
    </row>
    <row r="8" spans="1:33" s="37" customFormat="1" ht="30" customHeight="1">
      <c r="A8" s="48" t="s">
        <v>285</v>
      </c>
      <c r="B8" s="9"/>
      <c r="C8" s="9"/>
      <c r="D8" s="9"/>
      <c r="E8" s="9"/>
      <c r="F8" s="10"/>
      <c r="G8" s="51" t="s">
        <v>299</v>
      </c>
      <c r="H8" s="22"/>
      <c r="I8" s="22"/>
      <c r="J8" s="22"/>
      <c r="K8" s="22"/>
      <c r="L8" s="48" t="s">
        <v>312</v>
      </c>
      <c r="M8" s="9"/>
      <c r="N8" s="9"/>
      <c r="O8" s="9"/>
      <c r="P8" s="9"/>
      <c r="Q8" s="10"/>
      <c r="R8" s="51" t="s">
        <v>302</v>
      </c>
      <c r="S8" s="22" t="e">
        <f>#REF!</f>
        <v>#REF!</v>
      </c>
      <c r="T8" s="22" t="e">
        <f>#REF!</f>
        <v>#REF!</v>
      </c>
      <c r="U8" s="22" t="e">
        <f>#REF!</f>
        <v>#REF!</v>
      </c>
      <c r="V8" s="22" t="e">
        <f>#REF!</f>
        <v>#REF!</v>
      </c>
      <c r="W8" s="48" t="s">
        <v>94</v>
      </c>
      <c r="X8" s="9"/>
      <c r="Y8" s="9"/>
      <c r="Z8" s="9"/>
      <c r="AA8" s="9"/>
      <c r="AB8" s="10"/>
      <c r="AC8" s="51" t="s">
        <v>325</v>
      </c>
      <c r="AD8" s="22" t="e">
        <f>#REF!</f>
        <v>#REF!</v>
      </c>
      <c r="AE8" s="22" t="e">
        <f>#REF!</f>
        <v>#REF!</v>
      </c>
      <c r="AF8" s="22" t="e">
        <f>#REF!</f>
        <v>#REF!</v>
      </c>
      <c r="AG8" s="22" t="e">
        <f>#REF!</f>
        <v>#REF!</v>
      </c>
    </row>
    <row r="9" spans="1:33" s="37" customFormat="1" ht="30" customHeight="1">
      <c r="A9" s="48" t="s">
        <v>286</v>
      </c>
      <c r="B9" s="9"/>
      <c r="C9" s="9"/>
      <c r="D9" s="9"/>
      <c r="E9" s="9"/>
      <c r="F9" s="10"/>
      <c r="G9" s="51" t="s">
        <v>322</v>
      </c>
      <c r="H9" s="22"/>
      <c r="I9" s="22"/>
      <c r="J9" s="22"/>
      <c r="K9" s="22"/>
      <c r="L9" s="48" t="s">
        <v>313</v>
      </c>
      <c r="M9" s="9"/>
      <c r="N9" s="9"/>
      <c r="O9" s="9"/>
      <c r="P9" s="9"/>
      <c r="Q9" s="10"/>
      <c r="R9" s="61" t="s">
        <v>305</v>
      </c>
      <c r="S9" s="22" t="e">
        <f>#REF!</f>
        <v>#REF!</v>
      </c>
      <c r="T9" s="22" t="e">
        <f>#REF!</f>
        <v>#REF!</v>
      </c>
      <c r="U9" s="22" t="e">
        <f>#REF!</f>
        <v>#REF!</v>
      </c>
      <c r="V9" s="22" t="e">
        <f>#REF!</f>
        <v>#REF!</v>
      </c>
      <c r="W9" s="48" t="s">
        <v>286</v>
      </c>
      <c r="X9" s="9"/>
      <c r="Y9" s="9"/>
      <c r="Z9" s="9"/>
      <c r="AA9" s="9"/>
      <c r="AB9" s="10"/>
      <c r="AC9" s="51" t="s">
        <v>321</v>
      </c>
      <c r="AD9" s="22" t="e">
        <f>#REF!</f>
        <v>#REF!</v>
      </c>
      <c r="AE9" s="22" t="e">
        <f>#REF!</f>
        <v>#REF!</v>
      </c>
      <c r="AF9" s="22" t="e">
        <f>#REF!</f>
        <v>#REF!</v>
      </c>
      <c r="AG9" s="22" t="e">
        <f>#REF!</f>
        <v>#REF!</v>
      </c>
    </row>
    <row r="10" spans="1:33" s="37" customFormat="1" ht="30" customHeight="1">
      <c r="A10" s="48" t="s">
        <v>287</v>
      </c>
      <c r="B10" s="9"/>
      <c r="C10" s="9"/>
      <c r="D10" s="9"/>
      <c r="E10" s="9"/>
      <c r="F10" s="10"/>
      <c r="G10" s="51" t="s">
        <v>135</v>
      </c>
      <c r="H10" s="22"/>
      <c r="I10" s="22"/>
      <c r="J10" s="22"/>
      <c r="K10" s="22"/>
      <c r="L10" s="48" t="s">
        <v>314</v>
      </c>
      <c r="M10" s="9"/>
      <c r="N10" s="9"/>
      <c r="O10" s="9"/>
      <c r="P10" s="9"/>
      <c r="Q10" s="10"/>
      <c r="R10" s="51" t="s">
        <v>81</v>
      </c>
      <c r="S10" s="22" t="e">
        <f>#REF!</f>
        <v>#REF!</v>
      </c>
      <c r="T10" s="22" t="e">
        <f>#REF!</f>
        <v>#REF!</v>
      </c>
      <c r="U10" s="22" t="e">
        <f>#REF!</f>
        <v>#REF!</v>
      </c>
      <c r="V10" s="22" t="e">
        <f>#REF!</f>
        <v>#REF!</v>
      </c>
      <c r="W10" s="48" t="s">
        <v>309</v>
      </c>
      <c r="X10" s="9"/>
      <c r="Y10" s="9"/>
      <c r="Z10" s="9"/>
      <c r="AA10" s="9"/>
      <c r="AB10" s="10"/>
      <c r="AC10" s="51" t="s">
        <v>131</v>
      </c>
      <c r="AD10" s="22" t="e">
        <f>#REF!</f>
        <v>#REF!</v>
      </c>
      <c r="AE10" s="22" t="e">
        <f>#REF!</f>
        <v>#REF!</v>
      </c>
      <c r="AF10" s="22" t="e">
        <f>#REF!</f>
        <v>#REF!</v>
      </c>
      <c r="AG10" s="22" t="e">
        <f>#REF!</f>
        <v>#REF!</v>
      </c>
    </row>
    <row r="11" spans="1:33" s="37" customFormat="1" ht="30" customHeight="1">
      <c r="A11" s="48" t="s">
        <v>288</v>
      </c>
      <c r="B11" s="9"/>
      <c r="C11" s="9"/>
      <c r="D11" s="9"/>
      <c r="E11" s="9"/>
      <c r="F11" s="10"/>
      <c r="G11" s="51" t="s">
        <v>323</v>
      </c>
      <c r="H11" s="22"/>
      <c r="I11" s="22"/>
      <c r="J11" s="22"/>
      <c r="K11" s="22"/>
      <c r="L11" s="48" t="s">
        <v>315</v>
      </c>
      <c r="M11" s="9"/>
      <c r="N11" s="9"/>
      <c r="O11" s="9"/>
      <c r="P11" s="9"/>
      <c r="Q11" s="10"/>
      <c r="R11" s="61" t="s">
        <v>306</v>
      </c>
      <c r="S11" s="22" t="e">
        <f>#REF!</f>
        <v>#REF!</v>
      </c>
      <c r="T11" s="22" t="e">
        <f>#REF!</f>
        <v>#REF!</v>
      </c>
      <c r="U11" s="22" t="e">
        <f>#REF!</f>
        <v>#REF!</v>
      </c>
      <c r="V11" s="22" t="e">
        <f>#REF!</f>
        <v>#REF!</v>
      </c>
      <c r="W11" s="48" t="s">
        <v>266</v>
      </c>
      <c r="X11" s="9"/>
      <c r="Y11" s="9"/>
      <c r="Z11" s="9"/>
      <c r="AA11" s="9"/>
      <c r="AB11" s="10"/>
      <c r="AC11" s="51" t="s">
        <v>326</v>
      </c>
      <c r="AD11" s="22" t="e">
        <f>#REF!</f>
        <v>#REF!</v>
      </c>
      <c r="AE11" s="22" t="e">
        <f>#REF!</f>
        <v>#REF!</v>
      </c>
      <c r="AF11" s="22" t="e">
        <f>#REF!</f>
        <v>#REF!</v>
      </c>
      <c r="AG11" s="22" t="e">
        <f>#REF!</f>
        <v>#REF!</v>
      </c>
    </row>
    <row r="12" spans="1:33" s="37" customFormat="1" ht="30" customHeight="1">
      <c r="A12" s="48" t="s">
        <v>290</v>
      </c>
      <c r="B12" s="9"/>
      <c r="C12" s="9"/>
      <c r="D12" s="9"/>
      <c r="E12" s="9"/>
      <c r="F12" s="10"/>
      <c r="G12" s="51" t="s">
        <v>324</v>
      </c>
      <c r="H12" s="22"/>
      <c r="I12" s="22"/>
      <c r="J12" s="22"/>
      <c r="K12" s="22"/>
      <c r="L12" s="48" t="s">
        <v>316</v>
      </c>
      <c r="M12" s="9"/>
      <c r="N12" s="9"/>
      <c r="O12" s="9"/>
      <c r="P12" s="9"/>
      <c r="Q12" s="10"/>
      <c r="R12" s="51" t="s">
        <v>59</v>
      </c>
      <c r="S12" s="22" t="e">
        <f>#REF!</f>
        <v>#REF!</v>
      </c>
      <c r="T12" s="22" t="e">
        <f>#REF!</f>
        <v>#REF!</v>
      </c>
      <c r="U12" s="22" t="e">
        <f>#REF!</f>
        <v>#REF!</v>
      </c>
      <c r="V12" s="22" t="e">
        <f>#REF!</f>
        <v>#REF!</v>
      </c>
      <c r="W12" s="48" t="s">
        <v>289</v>
      </c>
      <c r="X12" s="9"/>
      <c r="Y12" s="9"/>
      <c r="Z12" s="9"/>
      <c r="AA12" s="9"/>
      <c r="AB12" s="10"/>
      <c r="AC12" s="51" t="s">
        <v>301</v>
      </c>
      <c r="AD12" s="22" t="e">
        <f>#REF!</f>
        <v>#REF!</v>
      </c>
      <c r="AE12" s="22" t="e">
        <f>#REF!</f>
        <v>#REF!</v>
      </c>
      <c r="AF12" s="22" t="e">
        <f>#REF!</f>
        <v>#REF!</v>
      </c>
      <c r="AG12" s="22" t="e">
        <f>#REF!</f>
        <v>#REF!</v>
      </c>
    </row>
    <row r="13" spans="1:33" s="37" customFormat="1" ht="30" customHeight="1">
      <c r="A13" s="48" t="s">
        <v>289</v>
      </c>
      <c r="B13" s="9"/>
      <c r="C13" s="9"/>
      <c r="D13" s="9"/>
      <c r="E13" s="9"/>
      <c r="F13" s="10"/>
      <c r="G13" s="51" t="s">
        <v>64</v>
      </c>
      <c r="H13" s="22"/>
      <c r="I13" s="22"/>
      <c r="J13" s="22"/>
      <c r="K13" s="22"/>
      <c r="L13" s="48" t="s">
        <v>317</v>
      </c>
      <c r="M13" s="9"/>
      <c r="N13" s="9"/>
      <c r="O13" s="9"/>
      <c r="P13" s="9"/>
      <c r="Q13" s="10"/>
      <c r="R13" s="61" t="s">
        <v>307</v>
      </c>
      <c r="S13" s="22" t="e">
        <f>#REF!</f>
        <v>#REF!</v>
      </c>
      <c r="T13" s="22" t="e">
        <f>#REF!</f>
        <v>#REF!</v>
      </c>
      <c r="U13" s="22" t="e">
        <f>#REF!</f>
        <v>#REF!</v>
      </c>
      <c r="V13" s="22" t="e">
        <f>#REF!</f>
        <v>#REF!</v>
      </c>
      <c r="W13" s="48" t="s">
        <v>252</v>
      </c>
      <c r="X13" s="9"/>
      <c r="Y13" s="9"/>
      <c r="Z13" s="9"/>
      <c r="AA13" s="9"/>
      <c r="AB13" s="10"/>
      <c r="AC13" s="23"/>
      <c r="AD13" s="60"/>
      <c r="AE13" s="60"/>
      <c r="AF13" s="60"/>
      <c r="AG13" s="60"/>
    </row>
    <row r="14" spans="1:33" s="37" customFormat="1" ht="30" customHeight="1">
      <c r="A14" s="48" t="s">
        <v>291</v>
      </c>
      <c r="B14" s="9"/>
      <c r="C14" s="9"/>
      <c r="D14" s="9"/>
      <c r="E14" s="9"/>
      <c r="F14" s="10"/>
      <c r="G14" s="51" t="s">
        <v>300</v>
      </c>
      <c r="H14" s="22"/>
      <c r="I14" s="22"/>
      <c r="J14" s="22"/>
      <c r="K14" s="22"/>
      <c r="L14" s="48" t="s">
        <v>318</v>
      </c>
      <c r="M14" s="9"/>
      <c r="N14" s="9"/>
      <c r="O14" s="9"/>
      <c r="P14" s="9"/>
      <c r="Q14" s="10"/>
      <c r="R14" s="51" t="s">
        <v>303</v>
      </c>
      <c r="S14" s="22" t="e">
        <f>#REF!</f>
        <v>#REF!</v>
      </c>
      <c r="T14" s="22" t="e">
        <f>#REF!</f>
        <v>#REF!</v>
      </c>
      <c r="U14" s="22" t="e">
        <f>#REF!</f>
        <v>#REF!</v>
      </c>
      <c r="V14" s="22" t="e">
        <f>#REF!</f>
        <v>#REF!</v>
      </c>
      <c r="W14" s="48" t="s">
        <v>287</v>
      </c>
      <c r="X14" s="9"/>
      <c r="Y14" s="9"/>
      <c r="Z14" s="9"/>
      <c r="AA14" s="9"/>
      <c r="AB14" s="10"/>
      <c r="AC14" s="25"/>
      <c r="AD14" s="62"/>
      <c r="AE14" s="62"/>
      <c r="AF14" s="62"/>
      <c r="AG14" s="62"/>
    </row>
    <row r="15" spans="1:33" s="37" customFormat="1" ht="30" customHeight="1">
      <c r="A15" s="48" t="s">
        <v>292</v>
      </c>
      <c r="B15" s="9"/>
      <c r="C15" s="9"/>
      <c r="D15" s="9"/>
      <c r="E15" s="9"/>
      <c r="F15" s="10"/>
      <c r="G15" s="23"/>
      <c r="H15" s="60"/>
      <c r="I15" s="60"/>
      <c r="J15" s="60"/>
      <c r="K15" s="60"/>
      <c r="L15" s="48" t="s">
        <v>319</v>
      </c>
      <c r="M15" s="9"/>
      <c r="N15" s="9"/>
      <c r="O15" s="9"/>
      <c r="P15" s="9"/>
      <c r="Q15" s="10"/>
      <c r="R15" s="61" t="s">
        <v>308</v>
      </c>
      <c r="S15" s="22" t="e">
        <f>#REF!</f>
        <v>#REF!</v>
      </c>
      <c r="T15" s="22" t="e">
        <f>#REF!</f>
        <v>#REF!</v>
      </c>
      <c r="U15" s="22" t="e">
        <f>#REF!</f>
        <v>#REF!</v>
      </c>
      <c r="V15" s="22" t="e">
        <f>#REF!</f>
        <v>#REF!</v>
      </c>
      <c r="W15" s="48" t="s">
        <v>66</v>
      </c>
      <c r="X15" s="9"/>
      <c r="Y15" s="9"/>
      <c r="Z15" s="9"/>
      <c r="AA15" s="9"/>
      <c r="AB15" s="10"/>
      <c r="AC15" s="25"/>
      <c r="AD15" s="62"/>
      <c r="AE15" s="62"/>
      <c r="AF15" s="62"/>
      <c r="AG15" s="62"/>
    </row>
    <row r="16" spans="1:33" s="37" customFormat="1" ht="30" customHeight="1">
      <c r="A16" s="48" t="s">
        <v>293</v>
      </c>
      <c r="B16" s="9"/>
      <c r="C16" s="9"/>
      <c r="D16" s="9"/>
      <c r="E16" s="9"/>
      <c r="F16" s="10"/>
      <c r="G16" s="25"/>
      <c r="H16" s="14"/>
      <c r="I16" s="14"/>
      <c r="J16" s="14"/>
      <c r="K16" s="14"/>
      <c r="L16" s="48" t="s">
        <v>320</v>
      </c>
      <c r="M16" s="9"/>
      <c r="N16" s="9"/>
      <c r="O16" s="9"/>
      <c r="P16" s="9"/>
      <c r="Q16" s="10"/>
      <c r="R16" s="51" t="s">
        <v>336</v>
      </c>
      <c r="S16" s="22" t="e">
        <f>#REF!</f>
        <v>#REF!</v>
      </c>
      <c r="T16" s="22" t="e">
        <f>#REF!</f>
        <v>#REF!</v>
      </c>
      <c r="U16" s="22" t="e">
        <f>#REF!</f>
        <v>#REF!</v>
      </c>
      <c r="V16" s="22" t="e">
        <f>#REF!</f>
        <v>#REF!</v>
      </c>
      <c r="W16" s="48" t="s">
        <v>96</v>
      </c>
      <c r="X16" s="9"/>
      <c r="Y16" s="9"/>
      <c r="Z16" s="9"/>
      <c r="AA16" s="9"/>
      <c r="AB16" s="10"/>
      <c r="AC16" s="25"/>
      <c r="AD16" s="14"/>
      <c r="AE16" s="14"/>
      <c r="AF16" s="14"/>
      <c r="AG16" s="14"/>
    </row>
    <row r="17" spans="1:33" s="37" customFormat="1" ht="30" customHeight="1">
      <c r="A17" s="48" t="s">
        <v>149</v>
      </c>
      <c r="B17" s="9"/>
      <c r="C17" s="9"/>
      <c r="D17" s="9"/>
      <c r="E17" s="9"/>
      <c r="F17" s="10"/>
      <c r="G17" s="25"/>
      <c r="H17" s="21"/>
      <c r="I17" s="21"/>
      <c r="J17" s="21"/>
      <c r="K17" s="21"/>
      <c r="L17" s="48" t="s">
        <v>149</v>
      </c>
      <c r="M17" s="9"/>
      <c r="N17" s="9"/>
      <c r="O17" s="9"/>
      <c r="P17" s="9"/>
      <c r="Q17" s="10"/>
      <c r="R17" s="61" t="s">
        <v>337</v>
      </c>
      <c r="S17" s="22" t="e">
        <f>#REF!</f>
        <v>#REF!</v>
      </c>
      <c r="T17" s="22" t="e">
        <f>#REF!</f>
        <v>#REF!</v>
      </c>
      <c r="U17" s="22" t="e">
        <f>#REF!</f>
        <v>#REF!</v>
      </c>
      <c r="V17" s="22" t="e">
        <f>#REF!</f>
        <v>#REF!</v>
      </c>
      <c r="W17" s="48" t="s">
        <v>291</v>
      </c>
      <c r="X17" s="9"/>
      <c r="Y17" s="9"/>
      <c r="Z17" s="9"/>
      <c r="AA17" s="9"/>
      <c r="AB17" s="10"/>
      <c r="AC17" s="25"/>
      <c r="AD17" s="21"/>
      <c r="AE17" s="21"/>
      <c r="AF17" s="21"/>
      <c r="AG17" s="21"/>
    </row>
    <row r="18" spans="1:33" s="37" customFormat="1" ht="30" customHeight="1">
      <c r="A18" s="48" t="s">
        <v>294</v>
      </c>
      <c r="B18" s="9"/>
      <c r="C18" s="9"/>
      <c r="D18" s="9"/>
      <c r="E18" s="9"/>
      <c r="F18" s="10"/>
      <c r="G18" s="25"/>
      <c r="H18" s="21"/>
      <c r="I18" s="21"/>
      <c r="J18" s="21"/>
      <c r="K18" s="21"/>
      <c r="L18" s="48" t="s">
        <v>291</v>
      </c>
      <c r="M18" s="9"/>
      <c r="N18" s="9"/>
      <c r="O18" s="9"/>
      <c r="P18" s="9"/>
      <c r="Q18" s="10"/>
      <c r="R18" s="51" t="s">
        <v>338</v>
      </c>
      <c r="S18" s="22" t="e">
        <f>#REF!</f>
        <v>#REF!</v>
      </c>
      <c r="T18" s="22" t="e">
        <f>#REF!</f>
        <v>#REF!</v>
      </c>
      <c r="U18" s="22" t="e">
        <f>#REF!</f>
        <v>#REF!</v>
      </c>
      <c r="V18" s="22" t="e">
        <f>#REF!</f>
        <v>#REF!</v>
      </c>
      <c r="W18" s="48" t="s">
        <v>297</v>
      </c>
      <c r="X18" s="9"/>
      <c r="Y18" s="9"/>
      <c r="Z18" s="9"/>
      <c r="AA18" s="9"/>
      <c r="AB18" s="10"/>
      <c r="AC18" s="25"/>
      <c r="AD18" s="21"/>
      <c r="AE18" s="21"/>
      <c r="AF18" s="21"/>
      <c r="AG18" s="21"/>
    </row>
    <row r="19" spans="1:33" s="37" customFormat="1" ht="30" customHeight="1">
      <c r="A19" s="48" t="s">
        <v>295</v>
      </c>
      <c r="B19" s="9"/>
      <c r="C19" s="9"/>
      <c r="D19" s="9"/>
      <c r="E19" s="9"/>
      <c r="F19" s="10"/>
      <c r="G19" s="11"/>
      <c r="H19" s="21"/>
      <c r="I19" s="21"/>
      <c r="J19" s="21"/>
      <c r="K19" s="21"/>
      <c r="L19" s="48" t="s">
        <v>98</v>
      </c>
      <c r="M19" s="9"/>
      <c r="N19" s="9"/>
      <c r="O19" s="9"/>
      <c r="P19" s="9"/>
      <c r="Q19" s="10"/>
      <c r="R19" s="59" t="s">
        <v>339</v>
      </c>
      <c r="S19" s="22" t="e">
        <f>#REF!</f>
        <v>#REF!</v>
      </c>
      <c r="T19" s="22" t="e">
        <f>#REF!</f>
        <v>#REF!</v>
      </c>
      <c r="U19" s="22" t="e">
        <f>#REF!</f>
        <v>#REF!</v>
      </c>
      <c r="V19" s="22" t="e">
        <f>#REF!</f>
        <v>#REF!</v>
      </c>
      <c r="W19" s="48" t="s">
        <v>24</v>
      </c>
      <c r="X19" s="9"/>
      <c r="Y19" s="9"/>
      <c r="Z19" s="9"/>
      <c r="AA19" s="9"/>
      <c r="AB19" s="10"/>
      <c r="AC19" s="11"/>
      <c r="AD19" s="21"/>
      <c r="AE19" s="21"/>
      <c r="AF19" s="21"/>
      <c r="AG19" s="21"/>
    </row>
    <row r="20" spans="1:33" s="37" customFormat="1" ht="30" customHeight="1">
      <c r="A20" s="48" t="s">
        <v>296</v>
      </c>
      <c r="B20" s="9"/>
      <c r="C20" s="9"/>
      <c r="D20" s="9"/>
      <c r="E20" s="9"/>
      <c r="F20" s="10"/>
      <c r="G20" s="11"/>
      <c r="H20" s="21"/>
      <c r="I20" s="21"/>
      <c r="J20" s="21"/>
      <c r="K20" s="21"/>
      <c r="L20" s="48" t="s">
        <v>254</v>
      </c>
      <c r="M20" s="9"/>
      <c r="N20" s="9"/>
      <c r="O20" s="9"/>
      <c r="P20" s="9"/>
      <c r="Q20" s="10"/>
      <c r="R20" s="48" t="s">
        <v>340</v>
      </c>
      <c r="S20" s="22" t="e">
        <f>#REF!</f>
        <v>#REF!</v>
      </c>
      <c r="T20" s="22" t="e">
        <f>#REF!</f>
        <v>#REF!</v>
      </c>
      <c r="U20" s="22" t="e">
        <f>#REF!</f>
        <v>#REF!</v>
      </c>
      <c r="V20" s="22" t="e">
        <f>#REF!</f>
        <v>#REF!</v>
      </c>
      <c r="W20" s="48" t="s">
        <v>295</v>
      </c>
      <c r="X20" s="9"/>
      <c r="Y20" s="9"/>
      <c r="Z20" s="9"/>
      <c r="AA20" s="9"/>
      <c r="AB20" s="10"/>
      <c r="AC20" s="11"/>
      <c r="AD20" s="21"/>
      <c r="AE20" s="21"/>
      <c r="AF20" s="21"/>
      <c r="AG20" s="21"/>
    </row>
    <row r="21" spans="1:33" s="37" customFormat="1" ht="30" customHeight="1">
      <c r="A21" s="48" t="s">
        <v>297</v>
      </c>
      <c r="B21" s="9"/>
      <c r="C21" s="9"/>
      <c r="D21" s="9"/>
      <c r="E21" s="9"/>
      <c r="F21" s="10"/>
      <c r="G21" s="11"/>
      <c r="H21" s="21"/>
      <c r="I21" s="21"/>
      <c r="J21" s="21"/>
      <c r="K21" s="21"/>
      <c r="L21" s="48" t="s">
        <v>266</v>
      </c>
      <c r="M21" s="9"/>
      <c r="N21" s="9"/>
      <c r="O21" s="9"/>
      <c r="P21" s="9"/>
      <c r="Q21" s="10"/>
      <c r="R21" s="59" t="s">
        <v>341</v>
      </c>
      <c r="S21" s="22" t="e">
        <f>#REF!</f>
        <v>#REF!</v>
      </c>
      <c r="T21" s="22" t="e">
        <f>#REF!</f>
        <v>#REF!</v>
      </c>
      <c r="U21" s="22" t="e">
        <f>#REF!</f>
        <v>#REF!</v>
      </c>
      <c r="V21" s="22" t="e">
        <f>#REF!</f>
        <v>#REF!</v>
      </c>
      <c r="W21" s="48" t="s">
        <v>310</v>
      </c>
      <c r="X21" s="9"/>
      <c r="Y21" s="9"/>
      <c r="Z21" s="9"/>
      <c r="AA21" s="9"/>
      <c r="AB21" s="10"/>
      <c r="AC21" s="11"/>
      <c r="AD21" s="21"/>
      <c r="AE21" s="21"/>
      <c r="AF21" s="21"/>
      <c r="AG21" s="21"/>
    </row>
    <row r="22" spans="1:33" s="37" customFormat="1" ht="30" customHeight="1">
      <c r="A22" s="48" t="s">
        <v>298</v>
      </c>
      <c r="B22" s="9"/>
      <c r="C22" s="9"/>
      <c r="D22" s="9"/>
      <c r="E22" s="9"/>
      <c r="F22" s="10"/>
      <c r="G22" s="11"/>
      <c r="H22" s="21"/>
      <c r="I22" s="21"/>
      <c r="J22" s="21"/>
      <c r="K22" s="21"/>
      <c r="L22" s="48" t="s">
        <v>310</v>
      </c>
      <c r="M22" s="9"/>
      <c r="N22" s="9"/>
      <c r="O22" s="9"/>
      <c r="P22" s="9"/>
      <c r="Q22" s="10"/>
      <c r="R22" s="48" t="s">
        <v>343</v>
      </c>
      <c r="S22" s="22" t="e">
        <f>#REF!</f>
        <v>#REF!</v>
      </c>
      <c r="T22" s="22" t="e">
        <f>#REF!</f>
        <v>#REF!</v>
      </c>
      <c r="U22" s="22" t="e">
        <f>#REF!</f>
        <v>#REF!</v>
      </c>
      <c r="V22" s="22" t="e">
        <f>#REF!</f>
        <v>#REF!</v>
      </c>
      <c r="W22" s="48" t="s">
        <v>345</v>
      </c>
      <c r="X22" s="9"/>
      <c r="Y22" s="9"/>
      <c r="Z22" s="9"/>
      <c r="AA22" s="9"/>
      <c r="AB22" s="10"/>
      <c r="AC22" s="11"/>
      <c r="AD22" s="21"/>
      <c r="AE22" s="21"/>
      <c r="AF22" s="21"/>
      <c r="AG22" s="21"/>
    </row>
    <row r="23" spans="1:33" s="37" customFormat="1" ht="30" customHeight="1">
      <c r="A23" s="13"/>
      <c r="B23" s="12"/>
      <c r="C23" s="12"/>
      <c r="D23" s="12"/>
      <c r="E23" s="12"/>
      <c r="F23" s="21"/>
      <c r="G23" s="11"/>
      <c r="H23" s="21"/>
      <c r="I23" s="21"/>
      <c r="J23" s="21"/>
      <c r="K23" s="21"/>
      <c r="L23" s="13"/>
      <c r="M23" s="12"/>
      <c r="N23" s="12"/>
      <c r="O23" s="12"/>
      <c r="P23" s="12"/>
      <c r="Q23" s="21"/>
      <c r="R23" s="59" t="s">
        <v>342</v>
      </c>
      <c r="S23" s="22" t="e">
        <f>#REF!</f>
        <v>#REF!</v>
      </c>
      <c r="T23" s="22" t="e">
        <f>#REF!</f>
        <v>#REF!</v>
      </c>
      <c r="U23" s="22" t="e">
        <f>#REF!</f>
        <v>#REF!</v>
      </c>
      <c r="V23" s="22" t="e">
        <f>#REF!</f>
        <v>#REF!</v>
      </c>
      <c r="W23" s="13"/>
      <c r="X23" s="12"/>
      <c r="Y23" s="12"/>
      <c r="Z23" s="12"/>
      <c r="AA23" s="12"/>
      <c r="AB23" s="21"/>
      <c r="AC23" s="11"/>
      <c r="AD23" s="21"/>
      <c r="AE23" s="21"/>
      <c r="AF23" s="21"/>
      <c r="AG23" s="21"/>
    </row>
    <row r="24" spans="1:33" s="37" customFormat="1" ht="30" customHeight="1">
      <c r="A24" s="11"/>
      <c r="B24" s="14"/>
      <c r="C24" s="14"/>
      <c r="D24" s="14"/>
      <c r="E24" s="14"/>
      <c r="F24" s="21"/>
      <c r="G24" s="11"/>
      <c r="H24" s="21"/>
      <c r="I24" s="21"/>
      <c r="J24" s="21"/>
      <c r="K24" s="21"/>
      <c r="L24" s="11"/>
      <c r="M24" s="14"/>
      <c r="N24" s="14"/>
      <c r="O24" s="14"/>
      <c r="P24" s="14"/>
      <c r="Q24" s="21"/>
      <c r="R24" s="48" t="s">
        <v>344</v>
      </c>
      <c r="S24" s="22" t="e">
        <f>#REF!</f>
        <v>#REF!</v>
      </c>
      <c r="T24" s="22" t="e">
        <f>#REF!</f>
        <v>#REF!</v>
      </c>
      <c r="U24" s="22" t="e">
        <f>#REF!</f>
        <v>#REF!</v>
      </c>
      <c r="V24" s="22" t="e">
        <f>#REF!</f>
        <v>#REF!</v>
      </c>
      <c r="W24" s="11"/>
      <c r="X24" s="14"/>
      <c r="Y24" s="14"/>
      <c r="Z24" s="14"/>
      <c r="AA24" s="14"/>
      <c r="AB24" s="21"/>
      <c r="AC24" s="11"/>
      <c r="AD24" s="21"/>
      <c r="AE24" s="21"/>
      <c r="AF24" s="21"/>
      <c r="AG24" s="21"/>
    </row>
    <row r="25" spans="1:33" ht="24" customHeight="1"/>
    <row r="26" spans="1:33">
      <c r="A26" s="99" t="s">
        <v>369</v>
      </c>
      <c r="B26" s="69"/>
      <c r="C26" s="69"/>
      <c r="D26" s="70" t="s">
        <v>355</v>
      </c>
      <c r="E26" s="67" t="s">
        <v>356</v>
      </c>
      <c r="H26" s="72"/>
      <c r="I26" s="69"/>
      <c r="J26" s="70" t="s">
        <v>355</v>
      </c>
      <c r="K26" s="67" t="s">
        <v>356</v>
      </c>
      <c r="L26" s="1"/>
      <c r="M26" s="1"/>
      <c r="N26" s="1"/>
      <c r="O26" s="1"/>
      <c r="P26" s="1"/>
      <c r="W26" s="1"/>
      <c r="X26" s="1"/>
      <c r="Y26" s="1"/>
      <c r="Z26" s="1"/>
      <c r="AA26" s="1"/>
    </row>
    <row r="27" spans="1:33">
      <c r="A27" s="99"/>
      <c r="B27" s="99" t="s">
        <v>0</v>
      </c>
      <c r="C27" s="68" t="s">
        <v>199</v>
      </c>
      <c r="D27" s="63">
        <f>SUM(B8:B24)/26*100/17</f>
        <v>0</v>
      </c>
      <c r="E27" s="65">
        <f>((18*26)-(8+12+15+2+10+9+8+11+9+11+9+14+8+6+14+13+14+12))/26*100/18</f>
        <v>60.470085470085479</v>
      </c>
      <c r="H27" s="99" t="s">
        <v>399</v>
      </c>
      <c r="I27" s="68" t="s">
        <v>406</v>
      </c>
      <c r="J27" s="63"/>
      <c r="K27" s="65">
        <f>(103-(14+16+18+14))/103*100</f>
        <v>39.805825242718448</v>
      </c>
      <c r="L27" s="1"/>
      <c r="M27" s="1"/>
      <c r="N27" s="1"/>
      <c r="O27" s="1"/>
      <c r="P27" s="1"/>
      <c r="W27" s="1"/>
      <c r="X27" s="1"/>
      <c r="Y27" s="1"/>
      <c r="Z27" s="1"/>
      <c r="AA27" s="1"/>
    </row>
    <row r="28" spans="1:33">
      <c r="A28" s="99"/>
      <c r="B28" s="99"/>
      <c r="C28" s="68" t="s">
        <v>200</v>
      </c>
      <c r="D28" s="63">
        <f>SUM(C8:C24)/26*100/17</f>
        <v>0</v>
      </c>
      <c r="E28" s="65">
        <f>((18*26)-(10+15+17+6+9+5+7+13+8+12+12+16+6+1+11+13+14+14))/26*100/18</f>
        <v>59.615384615384613</v>
      </c>
      <c r="H28" s="99"/>
      <c r="I28" s="68" t="s">
        <v>407</v>
      </c>
      <c r="J28" s="63"/>
      <c r="K28" s="65">
        <f>(103-(14+14+15+12))/103*100</f>
        <v>46.601941747572816</v>
      </c>
    </row>
    <row r="29" spans="1:33">
      <c r="A29" s="99"/>
      <c r="B29" s="99"/>
      <c r="C29" s="68" t="s">
        <v>201</v>
      </c>
      <c r="D29" s="63">
        <f>SUM(D8:D24)/25*100/17</f>
        <v>0</v>
      </c>
      <c r="E29" s="65">
        <f>((18*25)-(10+15+18+8+12+5+6+13+11+11+12+18+10+4+15+13+15+15))/25*100/18</f>
        <v>53.111111111111114</v>
      </c>
      <c r="H29" s="99"/>
      <c r="I29" s="68" t="s">
        <v>408</v>
      </c>
      <c r="J29" s="63"/>
      <c r="K29" s="65">
        <f>(103-(13+15+17+14))/103*100</f>
        <v>42.718446601941743</v>
      </c>
    </row>
    <row r="30" spans="1:33">
      <c r="A30" s="99"/>
      <c r="B30" s="99"/>
      <c r="C30" s="68" t="s">
        <v>372</v>
      </c>
      <c r="D30" s="63">
        <f>SUM(E8:E24)/25*100/17</f>
        <v>0</v>
      </c>
      <c r="E30" s="65">
        <f>((18*25)-(7+13+17+1+9+3+2+10+8+10+2+14+7+3+12+9+12+12))/25*100/18</f>
        <v>66.444444444444443</v>
      </c>
      <c r="H30" s="99"/>
      <c r="I30" s="68" t="s">
        <v>290</v>
      </c>
      <c r="J30" s="63"/>
      <c r="K30" s="65">
        <f>(103-(15+17+18+17))/103*100</f>
        <v>34.95145631067961</v>
      </c>
    </row>
    <row r="31" spans="1:33">
      <c r="A31" s="99"/>
      <c r="B31" s="100" t="s">
        <v>1</v>
      </c>
      <c r="C31" s="68" t="s">
        <v>199</v>
      </c>
      <c r="D31" s="63">
        <f>SUM(H8:H19)/26*100/12</f>
        <v>0</v>
      </c>
      <c r="E31" s="65">
        <f>((4*26)-(5+13+10+10))/26*100/4</f>
        <v>63.46153846153846</v>
      </c>
      <c r="H31" s="99"/>
      <c r="I31" s="68" t="s">
        <v>288</v>
      </c>
      <c r="J31" s="63"/>
      <c r="K31" s="65">
        <f>(103-(12+15+15+13))/103*100</f>
        <v>46.601941747572816</v>
      </c>
    </row>
    <row r="32" spans="1:33">
      <c r="A32" s="99"/>
      <c r="B32" s="100"/>
      <c r="C32" s="68" t="s">
        <v>200</v>
      </c>
      <c r="D32" s="63">
        <f>SUM(I8:I19)/26*100/12</f>
        <v>0</v>
      </c>
      <c r="E32" s="65">
        <f>((4*26)-(9+15+13+12))/26*100/4</f>
        <v>52.884615384615387</v>
      </c>
      <c r="H32" s="99" t="s">
        <v>370</v>
      </c>
      <c r="I32" s="68"/>
      <c r="J32" s="78"/>
      <c r="K32" s="65"/>
    </row>
    <row r="33" spans="1:11">
      <c r="A33" s="99"/>
      <c r="B33" s="100"/>
      <c r="C33" s="68" t="s">
        <v>201</v>
      </c>
      <c r="D33" s="63">
        <f>SUM(J8:J19)/25*100/12</f>
        <v>0</v>
      </c>
      <c r="E33" s="65">
        <f>((4*25)-(7+17+11+10))/25*100/4</f>
        <v>55.000000000000007</v>
      </c>
      <c r="H33" s="99"/>
      <c r="I33" s="68"/>
      <c r="J33" s="78"/>
      <c r="K33" s="65"/>
    </row>
    <row r="34" spans="1:11">
      <c r="A34" s="99"/>
      <c r="B34" s="100"/>
      <c r="C34" s="68" t="s">
        <v>372</v>
      </c>
      <c r="D34" s="63">
        <f>SUM(K8:K19)/25*100/12</f>
        <v>0</v>
      </c>
      <c r="E34" s="65">
        <f>((4*25)-(2+14+5+9))/25*100/4</f>
        <v>70</v>
      </c>
      <c r="H34" s="99"/>
      <c r="I34" s="68"/>
      <c r="J34" s="78"/>
      <c r="K34" s="65"/>
    </row>
    <row r="35" spans="1:11">
      <c r="A35" s="99" t="s">
        <v>370</v>
      </c>
      <c r="B35" s="99" t="s">
        <v>0</v>
      </c>
      <c r="C35" s="68" t="s">
        <v>199</v>
      </c>
      <c r="D35" s="63">
        <f>SUM(M8:M20)/26*100/13</f>
        <v>0</v>
      </c>
      <c r="E35" s="65">
        <f>((18*26)-(12+9+6+14+2+3+14+21+17+5+11+13+10+6+3+5+21+15))/26*100/18</f>
        <v>60.042735042735053</v>
      </c>
      <c r="H35" s="99"/>
      <c r="I35" s="68"/>
      <c r="J35" s="79"/>
      <c r="K35" s="65"/>
    </row>
    <row r="36" spans="1:11">
      <c r="A36" s="99"/>
      <c r="B36" s="99"/>
      <c r="C36" s="68" t="s">
        <v>200</v>
      </c>
      <c r="D36" s="63">
        <f>SUM(N8:N19)/26*100/13</f>
        <v>0</v>
      </c>
      <c r="E36" s="65"/>
      <c r="H36" s="99"/>
      <c r="I36" s="68"/>
      <c r="J36" s="79"/>
      <c r="K36" s="65"/>
    </row>
    <row r="37" spans="1:11">
      <c r="A37" s="99"/>
      <c r="B37" s="99"/>
      <c r="C37" s="68" t="s">
        <v>201</v>
      </c>
      <c r="D37" s="63">
        <f>SUM(O8:O20)/24*100/13</f>
        <v>0</v>
      </c>
      <c r="E37" s="65">
        <f>((18*25)-(10+8+6+13+5+4+10+10+11+5+9+11+3+7+6+4+18+10))/25*100/18</f>
        <v>66.666666666666671</v>
      </c>
      <c r="H37" s="99" t="s">
        <v>400</v>
      </c>
      <c r="I37" s="68" t="s">
        <v>409</v>
      </c>
      <c r="J37" s="79"/>
      <c r="K37" s="65">
        <f>(103-(21+20+18+16))/103*100</f>
        <v>27.184466019417474</v>
      </c>
    </row>
    <row r="38" spans="1:11">
      <c r="A38" s="99"/>
      <c r="B38" s="99"/>
      <c r="C38" s="68" t="s">
        <v>372</v>
      </c>
      <c r="D38" s="63">
        <f>SUM(P8:P20)/25*100/13</f>
        <v>0</v>
      </c>
      <c r="E38" s="65">
        <f>((18*25)-(10+6+4+13+5+3+14+17+15+1+6+10+9+10+5+2+16+13))/25*100/18</f>
        <v>64.666666666666671</v>
      </c>
      <c r="H38" s="99"/>
      <c r="I38" s="68" t="s">
        <v>410</v>
      </c>
      <c r="J38" s="79"/>
      <c r="K38" s="65">
        <f>(103-(21+10+10+17))/103*100</f>
        <v>43.689320388349515</v>
      </c>
    </row>
    <row r="39" spans="1:11">
      <c r="A39" s="99"/>
      <c r="B39" s="100" t="s">
        <v>1</v>
      </c>
      <c r="C39" s="68" t="s">
        <v>199</v>
      </c>
      <c r="D39" s="63" t="e">
        <f>SUM(S8:S182)/26*100/12</f>
        <v>#REF!</v>
      </c>
      <c r="E39" s="65">
        <f>((3*26)-(23+23+20))/26*100/3</f>
        <v>15.384615384615385</v>
      </c>
      <c r="H39" s="99"/>
      <c r="I39" s="68" t="s">
        <v>411</v>
      </c>
      <c r="J39" s="79"/>
      <c r="K39" s="65">
        <f>(103-(23+19+20+17))/103*100</f>
        <v>23.300970873786408</v>
      </c>
    </row>
    <row r="40" spans="1:11">
      <c r="A40" s="99"/>
      <c r="B40" s="100"/>
      <c r="C40" s="68" t="s">
        <v>200</v>
      </c>
      <c r="D40" s="63" t="e">
        <f>SUM(T8:T19)/26*100/12</f>
        <v>#REF!</v>
      </c>
      <c r="E40" s="65"/>
      <c r="H40" s="99"/>
      <c r="I40" s="68" t="s">
        <v>412</v>
      </c>
      <c r="J40" s="79"/>
      <c r="K40" s="65">
        <f>(103-(23+17+19+18))/103*100</f>
        <v>25.242718446601941</v>
      </c>
    </row>
    <row r="41" spans="1:11">
      <c r="A41" s="99"/>
      <c r="B41" s="100"/>
      <c r="C41" s="68" t="s">
        <v>201</v>
      </c>
      <c r="D41" s="63" t="e">
        <f>SUM(U8:U19)/24*100/12</f>
        <v>#REF!</v>
      </c>
      <c r="E41" s="65">
        <f>((3*25)-(20+19+19))/25*100/3</f>
        <v>22.666666666666668</v>
      </c>
      <c r="H41" s="99"/>
      <c r="I41" s="68" t="s">
        <v>326</v>
      </c>
      <c r="J41" s="79"/>
      <c r="K41" s="65">
        <f>(103-(20+18+19+16))/103*100</f>
        <v>29.126213592233007</v>
      </c>
    </row>
    <row r="42" spans="1:11">
      <c r="A42" s="99"/>
      <c r="B42" s="100"/>
      <c r="C42" s="68" t="s">
        <v>372</v>
      </c>
      <c r="D42" s="63" t="e">
        <f>SUM(V8:V19)/25*100/12</f>
        <v>#REF!</v>
      </c>
      <c r="E42" s="65">
        <f>((3*25)-(17+18+16))/25*100/3</f>
        <v>32</v>
      </c>
    </row>
    <row r="43" spans="1:11">
      <c r="A43" s="99" t="s">
        <v>371</v>
      </c>
      <c r="B43" s="99" t="s">
        <v>0</v>
      </c>
      <c r="C43" s="68" t="s">
        <v>199</v>
      </c>
      <c r="D43" s="63">
        <f>SUM(X8:X19)/26*100/12</f>
        <v>0</v>
      </c>
      <c r="E43" s="65">
        <f>((10*26)-(11+8+6+13+9+11+9+12+13+12))/26*100/10</f>
        <v>60</v>
      </c>
    </row>
    <row r="44" spans="1:11">
      <c r="A44" s="99"/>
      <c r="B44" s="99"/>
      <c r="C44" s="68" t="s">
        <v>200</v>
      </c>
      <c r="D44" s="63">
        <f>SUM(Y8:Y19)/26*100/12</f>
        <v>0</v>
      </c>
      <c r="E44" s="65"/>
    </row>
    <row r="45" spans="1:11">
      <c r="A45" s="99"/>
      <c r="B45" s="99"/>
      <c r="C45" s="68" t="s">
        <v>201</v>
      </c>
      <c r="D45" s="63">
        <f>SUM(Z8:Z19)/24*100/12</f>
        <v>0</v>
      </c>
      <c r="E45" s="65">
        <f>((10*25)-(6+9+6+11+7+8+6+13+8+8))/25*100/10</f>
        <v>67.2</v>
      </c>
    </row>
    <row r="46" spans="1:11">
      <c r="A46" s="99"/>
      <c r="B46" s="99"/>
      <c r="C46" s="68" t="s">
        <v>372</v>
      </c>
      <c r="D46" s="63">
        <f>SUM(AA8:AA19)/25*100/12</f>
        <v>0</v>
      </c>
      <c r="E46" s="65">
        <f>((10*25)-(7+8+9+9+6+7+9+11+9+7))/25*100/10</f>
        <v>67.2</v>
      </c>
    </row>
    <row r="47" spans="1:11">
      <c r="A47" s="99"/>
      <c r="B47" s="100" t="s">
        <v>1</v>
      </c>
      <c r="C47" s="68" t="s">
        <v>199</v>
      </c>
      <c r="D47" s="63" t="e">
        <f>SUM(AD8:AD16)/26*100/9</f>
        <v>#REF!</v>
      </c>
      <c r="E47" s="65">
        <f>((20*26)-(11+14+17+13+13+13+17+18+13+12+15+14+12+14+15+12+11+12+11+10))/26*100/20</f>
        <v>48.653846153846146</v>
      </c>
    </row>
    <row r="48" spans="1:11">
      <c r="A48" s="99"/>
      <c r="B48" s="100"/>
      <c r="C48" s="68" t="s">
        <v>200</v>
      </c>
      <c r="D48" s="63" t="e">
        <f>SUM(AE8:AE16)/26*100/9</f>
        <v>#REF!</v>
      </c>
      <c r="E48" s="65"/>
    </row>
    <row r="49" spans="1:5">
      <c r="A49" s="99"/>
      <c r="B49" s="100"/>
      <c r="C49" s="68" t="s">
        <v>201</v>
      </c>
      <c r="D49" s="63" t="e">
        <f>SUM(AF8:AF16)/24*100/9</f>
        <v>#REF!</v>
      </c>
      <c r="E49" s="65">
        <f>((20*25)-(13+14+18+9+9+7+12+17+13+13+14+8+10+11+10+7+8+7+7+5))/25*100/20</f>
        <v>57.6</v>
      </c>
    </row>
    <row r="50" spans="1:5">
      <c r="A50" s="99"/>
      <c r="B50" s="100"/>
      <c r="C50" s="68" t="s">
        <v>372</v>
      </c>
      <c r="D50" s="63" t="e">
        <f>SUM(AG8:AG16)/25*100/9</f>
        <v>#REF!</v>
      </c>
      <c r="E50" s="65">
        <f>((20*25)-(9+7+12+3+4+4+7+15+10+8+6+7+10+11+9+6+4+6+7+6))/25*100/20</f>
        <v>69.8</v>
      </c>
    </row>
  </sheetData>
  <mergeCells count="27">
    <mergeCell ref="A2:K2"/>
    <mergeCell ref="L2:V2"/>
    <mergeCell ref="W2:AG2"/>
    <mergeCell ref="A1:K1"/>
    <mergeCell ref="L1:V1"/>
    <mergeCell ref="W1:AG1"/>
    <mergeCell ref="W5:AA5"/>
    <mergeCell ref="AC5:AG5"/>
    <mergeCell ref="A3:K3"/>
    <mergeCell ref="L3:V3"/>
    <mergeCell ref="W3:AG3"/>
    <mergeCell ref="H27:H31"/>
    <mergeCell ref="A5:E5"/>
    <mergeCell ref="G5:K5"/>
    <mergeCell ref="L5:P5"/>
    <mergeCell ref="R5:V5"/>
    <mergeCell ref="A43:A50"/>
    <mergeCell ref="B43:B46"/>
    <mergeCell ref="B47:B50"/>
    <mergeCell ref="A26:A34"/>
    <mergeCell ref="B27:B30"/>
    <mergeCell ref="B31:B34"/>
    <mergeCell ref="H32:H36"/>
    <mergeCell ref="H37:H41"/>
    <mergeCell ref="A35:A42"/>
    <mergeCell ref="B35:B38"/>
    <mergeCell ref="B39:B42"/>
  </mergeCells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N87"/>
  <sheetViews>
    <sheetView tabSelected="1" topLeftCell="O1" zoomScale="80" zoomScaleNormal="80" workbookViewId="0">
      <pane ySplit="1" topLeftCell="A2" activePane="bottomLeft" state="frozen"/>
      <selection pane="bottomLeft" activeCell="Z14" sqref="Z14"/>
    </sheetView>
  </sheetViews>
  <sheetFormatPr defaultRowHeight="15.75"/>
  <cols>
    <col min="1" max="1" width="0" hidden="1" customWidth="1"/>
    <col min="3" max="3" width="6.625" customWidth="1"/>
    <col min="4" max="4" width="6.5" customWidth="1"/>
    <col min="5" max="5" width="7" customWidth="1"/>
    <col min="6" max="6" width="8.25" customWidth="1"/>
    <col min="7" max="7" width="5.875" customWidth="1"/>
    <col min="8" max="8" width="6.625" customWidth="1"/>
    <col min="9" max="9" width="7.875" customWidth="1"/>
    <col min="10" max="10" width="8.25" customWidth="1"/>
    <col min="11" max="11" width="7" customWidth="1"/>
    <col min="12" max="12" width="8.25" customWidth="1"/>
    <col min="13" max="13" width="8.5" customWidth="1"/>
    <col min="14" max="14" width="8" customWidth="1"/>
    <col min="15" max="16" width="9" customWidth="1"/>
    <col min="17" max="17" width="7.75" customWidth="1"/>
    <col min="18" max="20" width="9" customWidth="1"/>
    <col min="21" max="21" width="7.75" customWidth="1"/>
    <col min="22" max="22" width="7.875" customWidth="1"/>
    <col min="23" max="24" width="9" customWidth="1"/>
    <col min="25" max="25" width="7.875" customWidth="1"/>
    <col min="26" max="26" width="7.75" customWidth="1"/>
    <col min="27" max="29" width="9" customWidth="1"/>
    <col min="30" max="30" width="7.625" customWidth="1"/>
    <col min="31" max="31" width="17.375" customWidth="1"/>
    <col min="32" max="32" width="18.75" customWidth="1"/>
    <col min="33" max="33" width="16.875" customWidth="1"/>
    <col min="34" max="34" width="14" customWidth="1"/>
    <col min="35" max="35" width="15.625" customWidth="1"/>
    <col min="36" max="36" width="13.625" customWidth="1"/>
    <col min="37" max="37" width="14.375" style="89" customWidth="1"/>
    <col min="38" max="38" width="15.5" customWidth="1"/>
    <col min="39" max="39" width="17" customWidth="1"/>
  </cols>
  <sheetData>
    <row r="1" spans="1:40" ht="19.5">
      <c r="A1" s="122" t="s">
        <v>504</v>
      </c>
      <c r="B1" s="122" t="s">
        <v>426</v>
      </c>
      <c r="C1" s="124" t="s">
        <v>418</v>
      </c>
      <c r="D1" s="124" t="s">
        <v>41</v>
      </c>
      <c r="E1" s="124" t="s">
        <v>5</v>
      </c>
      <c r="F1" s="124" t="s">
        <v>8</v>
      </c>
      <c r="G1" s="124" t="s">
        <v>42</v>
      </c>
      <c r="H1" s="124" t="s">
        <v>4</v>
      </c>
      <c r="I1" s="124" t="s">
        <v>16</v>
      </c>
      <c r="J1" s="124" t="s">
        <v>9</v>
      </c>
      <c r="K1" s="124" t="s">
        <v>15</v>
      </c>
      <c r="L1" s="124" t="s">
        <v>13</v>
      </c>
      <c r="M1" s="124" t="s">
        <v>523</v>
      </c>
      <c r="N1" s="124" t="s">
        <v>420</v>
      </c>
      <c r="O1" s="122" t="s">
        <v>512</v>
      </c>
      <c r="P1" s="122" t="s">
        <v>513</v>
      </c>
      <c r="Q1" s="124" t="s">
        <v>421</v>
      </c>
      <c r="R1" s="124" t="s">
        <v>422</v>
      </c>
      <c r="S1" s="124" t="s">
        <v>514</v>
      </c>
      <c r="T1" s="124" t="s">
        <v>515</v>
      </c>
      <c r="U1" s="124" t="s">
        <v>423</v>
      </c>
      <c r="V1" s="124" t="s">
        <v>93</v>
      </c>
      <c r="W1" s="124" t="s">
        <v>516</v>
      </c>
      <c r="X1" s="124" t="s">
        <v>517</v>
      </c>
      <c r="Y1" s="124" t="s">
        <v>419</v>
      </c>
      <c r="Z1" s="124" t="s">
        <v>327</v>
      </c>
      <c r="AA1" s="124" t="s">
        <v>518</v>
      </c>
      <c r="AB1" s="124" t="s">
        <v>519</v>
      </c>
      <c r="AC1" s="124" t="s">
        <v>424</v>
      </c>
      <c r="AD1" s="124" t="s">
        <v>56</v>
      </c>
      <c r="AE1" s="124" t="s">
        <v>545</v>
      </c>
      <c r="AF1" s="125" t="s">
        <v>546</v>
      </c>
      <c r="AG1" s="122" t="s">
        <v>547</v>
      </c>
      <c r="AH1" s="122" t="s">
        <v>520</v>
      </c>
      <c r="AI1" s="125" t="s">
        <v>522</v>
      </c>
      <c r="AJ1" s="122" t="s">
        <v>521</v>
      </c>
      <c r="AK1" s="126" t="s">
        <v>417</v>
      </c>
      <c r="AL1" s="125" t="s">
        <v>541</v>
      </c>
      <c r="AM1" s="122" t="s">
        <v>425</v>
      </c>
      <c r="AN1" s="96"/>
    </row>
    <row r="2" spans="1:40" ht="19.5">
      <c r="A2" s="123" t="s">
        <v>413</v>
      </c>
      <c r="B2" s="123" t="s">
        <v>427</v>
      </c>
      <c r="C2" s="87">
        <v>1</v>
      </c>
      <c r="D2" s="87">
        <v>1</v>
      </c>
      <c r="E2" s="87">
        <v>1</v>
      </c>
      <c r="F2" s="87">
        <v>0</v>
      </c>
      <c r="G2" s="87">
        <v>1</v>
      </c>
      <c r="H2" s="87">
        <v>1</v>
      </c>
      <c r="I2" s="87">
        <v>1</v>
      </c>
      <c r="J2" s="87">
        <v>0</v>
      </c>
      <c r="K2" s="87">
        <v>0</v>
      </c>
      <c r="L2" s="87">
        <v>1</v>
      </c>
      <c r="M2" s="87">
        <v>0</v>
      </c>
      <c r="N2" s="87">
        <v>0</v>
      </c>
      <c r="O2" s="87">
        <v>1</v>
      </c>
      <c r="P2" s="87">
        <v>0</v>
      </c>
      <c r="Q2" s="87">
        <v>1</v>
      </c>
      <c r="R2" s="87">
        <v>0</v>
      </c>
      <c r="S2" s="87">
        <v>1</v>
      </c>
      <c r="T2" s="87">
        <v>0</v>
      </c>
      <c r="U2" s="87">
        <v>1</v>
      </c>
      <c r="V2" s="87">
        <v>0</v>
      </c>
      <c r="W2" s="87">
        <v>0</v>
      </c>
      <c r="X2" s="87">
        <v>0</v>
      </c>
      <c r="Y2" s="87">
        <v>0</v>
      </c>
      <c r="Z2" s="87">
        <v>0</v>
      </c>
      <c r="AA2" s="87">
        <v>1</v>
      </c>
      <c r="AB2" s="87">
        <v>1</v>
      </c>
      <c r="AC2" s="87">
        <v>0</v>
      </c>
      <c r="AD2" s="87">
        <v>0</v>
      </c>
      <c r="AE2" s="87">
        <f>SUM(C2:N2)</f>
        <v>7</v>
      </c>
      <c r="AF2" s="119">
        <f>(AE2/12)*100</f>
        <v>58.333333333333336</v>
      </c>
      <c r="AG2" s="87">
        <f>IF(AF2&gt;=50,1,0)</f>
        <v>1</v>
      </c>
      <c r="AH2" s="87">
        <f t="shared" ref="AH2:AH63" si="0">SUM(O2:AD2)</f>
        <v>6</v>
      </c>
      <c r="AI2" s="119">
        <f>(AH2/16)*100</f>
        <v>37.5</v>
      </c>
      <c r="AJ2" s="87">
        <f>IF(AI2&gt;=50,1,0)</f>
        <v>0</v>
      </c>
      <c r="AK2" s="120">
        <f>SUM(C2:AD2)</f>
        <v>13</v>
      </c>
      <c r="AL2" s="119">
        <f>(AK2/28)*100</f>
        <v>46.428571428571431</v>
      </c>
      <c r="AM2" s="87">
        <f>IF(AL2&gt;=50,1,0)</f>
        <v>0</v>
      </c>
      <c r="AN2" s="121"/>
    </row>
    <row r="3" spans="1:40" ht="19.5">
      <c r="A3" s="123" t="s">
        <v>413</v>
      </c>
      <c r="B3" s="123" t="s">
        <v>428</v>
      </c>
      <c r="C3" s="87">
        <v>1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I3" s="87">
        <v>1</v>
      </c>
      <c r="J3" s="87">
        <v>0</v>
      </c>
      <c r="K3" s="87">
        <v>0</v>
      </c>
      <c r="L3" s="87">
        <v>1</v>
      </c>
      <c r="M3" s="87">
        <v>1</v>
      </c>
      <c r="N3" s="87">
        <v>1</v>
      </c>
      <c r="O3" s="87">
        <v>1</v>
      </c>
      <c r="P3" s="87">
        <v>1</v>
      </c>
      <c r="Q3" s="87">
        <v>1</v>
      </c>
      <c r="R3" s="87">
        <v>1</v>
      </c>
      <c r="S3" s="87">
        <v>1</v>
      </c>
      <c r="T3" s="87">
        <v>1</v>
      </c>
      <c r="U3" s="87">
        <v>1</v>
      </c>
      <c r="V3" s="87">
        <v>1</v>
      </c>
      <c r="W3" s="87">
        <v>1</v>
      </c>
      <c r="X3" s="87">
        <v>1</v>
      </c>
      <c r="Y3" s="87">
        <v>1</v>
      </c>
      <c r="Z3" s="87">
        <v>1</v>
      </c>
      <c r="AA3" s="87">
        <v>1</v>
      </c>
      <c r="AB3" s="87">
        <v>1</v>
      </c>
      <c r="AC3" s="87">
        <v>1</v>
      </c>
      <c r="AD3" s="87">
        <v>1</v>
      </c>
      <c r="AE3" s="87">
        <f t="shared" ref="AE3:AE50" si="1">SUM(C3:N3)</f>
        <v>10</v>
      </c>
      <c r="AF3" s="119">
        <f t="shared" ref="AF3:AF64" si="2">(AE3/12)*100</f>
        <v>83.333333333333343</v>
      </c>
      <c r="AG3" s="87">
        <f t="shared" ref="AG3:AG64" si="3">IF(AF3&gt;=50,1,0)</f>
        <v>1</v>
      </c>
      <c r="AH3" s="87">
        <f t="shared" si="0"/>
        <v>16</v>
      </c>
      <c r="AI3" s="119">
        <f t="shared" ref="AI3:AI64" si="4">(AH3/16)*100</f>
        <v>100</v>
      </c>
      <c r="AJ3" s="87">
        <f t="shared" ref="AJ3:AJ64" si="5">IF(AI3&gt;=50,1,0)</f>
        <v>1</v>
      </c>
      <c r="AK3" s="120">
        <f t="shared" ref="AK3:AK64" si="6">SUM(C3:AD3)</f>
        <v>26</v>
      </c>
      <c r="AL3" s="119">
        <f t="shared" ref="AL3:AL64" si="7">(AK3/28)*100</f>
        <v>92.857142857142861</v>
      </c>
      <c r="AM3" s="87">
        <f t="shared" ref="AM3:AM64" si="8">IF(AL3&gt;=50,1,0)</f>
        <v>1</v>
      </c>
      <c r="AN3" s="121"/>
    </row>
    <row r="4" spans="1:40" ht="19.5">
      <c r="A4" s="123" t="s">
        <v>413</v>
      </c>
      <c r="B4" s="123" t="s">
        <v>429</v>
      </c>
      <c r="C4" s="88">
        <v>1</v>
      </c>
      <c r="D4" s="88">
        <v>1</v>
      </c>
      <c r="E4" s="88">
        <v>1</v>
      </c>
      <c r="F4" s="88">
        <v>0</v>
      </c>
      <c r="G4" s="88">
        <v>1</v>
      </c>
      <c r="H4" s="88">
        <v>1</v>
      </c>
      <c r="I4" s="88">
        <v>0</v>
      </c>
      <c r="J4" s="88">
        <v>0</v>
      </c>
      <c r="K4" s="88">
        <v>0</v>
      </c>
      <c r="L4" s="88">
        <v>1</v>
      </c>
      <c r="M4" s="88">
        <v>0</v>
      </c>
      <c r="N4" s="88">
        <v>0</v>
      </c>
      <c r="O4" s="88">
        <v>1</v>
      </c>
      <c r="P4" s="88">
        <v>0</v>
      </c>
      <c r="Q4" s="88">
        <v>0</v>
      </c>
      <c r="R4" s="88">
        <v>0</v>
      </c>
      <c r="S4" s="88">
        <v>1</v>
      </c>
      <c r="T4" s="88">
        <v>1</v>
      </c>
      <c r="U4" s="88">
        <v>1</v>
      </c>
      <c r="V4" s="88">
        <v>0</v>
      </c>
      <c r="W4" s="88">
        <v>1</v>
      </c>
      <c r="X4" s="88">
        <v>1</v>
      </c>
      <c r="Y4" s="88">
        <v>0</v>
      </c>
      <c r="Z4" s="88">
        <v>0</v>
      </c>
      <c r="AA4" s="88">
        <v>1</v>
      </c>
      <c r="AB4" s="88">
        <v>1</v>
      </c>
      <c r="AC4" s="88">
        <v>1</v>
      </c>
      <c r="AD4" s="88">
        <v>0</v>
      </c>
      <c r="AE4" s="88">
        <f t="shared" si="1"/>
        <v>6</v>
      </c>
      <c r="AF4" s="97">
        <f t="shared" si="2"/>
        <v>50</v>
      </c>
      <c r="AG4" s="88">
        <f t="shared" si="3"/>
        <v>1</v>
      </c>
      <c r="AH4" s="88">
        <f t="shared" si="0"/>
        <v>9</v>
      </c>
      <c r="AI4" s="97">
        <f t="shared" si="4"/>
        <v>56.25</v>
      </c>
      <c r="AJ4" s="88">
        <f t="shared" si="5"/>
        <v>1</v>
      </c>
      <c r="AK4" s="98">
        <f t="shared" si="6"/>
        <v>15</v>
      </c>
      <c r="AL4" s="97">
        <f t="shared" si="7"/>
        <v>53.571428571428569</v>
      </c>
      <c r="AM4" s="88">
        <f t="shared" si="8"/>
        <v>1</v>
      </c>
      <c r="AN4" s="84"/>
    </row>
    <row r="5" spans="1:40" ht="19.5">
      <c r="A5" s="123" t="s">
        <v>413</v>
      </c>
      <c r="B5" s="123" t="s">
        <v>430</v>
      </c>
      <c r="C5" s="88">
        <v>1</v>
      </c>
      <c r="D5" s="88">
        <v>1</v>
      </c>
      <c r="E5" s="88">
        <v>1</v>
      </c>
      <c r="F5" s="88">
        <v>1</v>
      </c>
      <c r="G5" s="88">
        <v>1</v>
      </c>
      <c r="H5" s="88">
        <v>1</v>
      </c>
      <c r="I5" s="88">
        <v>0</v>
      </c>
      <c r="J5" s="88">
        <v>0</v>
      </c>
      <c r="K5" s="88">
        <v>0</v>
      </c>
      <c r="L5" s="88">
        <v>1</v>
      </c>
      <c r="M5" s="88">
        <v>1</v>
      </c>
      <c r="N5" s="88">
        <v>0</v>
      </c>
      <c r="O5" s="88">
        <v>1</v>
      </c>
      <c r="P5" s="88">
        <v>1</v>
      </c>
      <c r="Q5" s="88">
        <v>1</v>
      </c>
      <c r="R5" s="88">
        <v>0</v>
      </c>
      <c r="S5" s="88">
        <v>1</v>
      </c>
      <c r="T5" s="88">
        <v>1</v>
      </c>
      <c r="U5" s="88">
        <v>1</v>
      </c>
      <c r="V5" s="88">
        <v>0</v>
      </c>
      <c r="W5" s="88">
        <v>1</v>
      </c>
      <c r="X5" s="88">
        <v>0</v>
      </c>
      <c r="Y5" s="88">
        <v>1</v>
      </c>
      <c r="Z5" s="88">
        <v>0</v>
      </c>
      <c r="AA5" s="88">
        <v>1</v>
      </c>
      <c r="AB5" s="88">
        <v>1</v>
      </c>
      <c r="AC5" s="88">
        <v>1</v>
      </c>
      <c r="AD5" s="88">
        <v>0</v>
      </c>
      <c r="AE5" s="88">
        <f t="shared" si="1"/>
        <v>8</v>
      </c>
      <c r="AF5" s="97">
        <f t="shared" si="2"/>
        <v>66.666666666666657</v>
      </c>
      <c r="AG5" s="88">
        <f t="shared" si="3"/>
        <v>1</v>
      </c>
      <c r="AH5" s="88">
        <f t="shared" si="0"/>
        <v>11</v>
      </c>
      <c r="AI5" s="97">
        <f t="shared" si="4"/>
        <v>68.75</v>
      </c>
      <c r="AJ5" s="88">
        <f t="shared" si="5"/>
        <v>1</v>
      </c>
      <c r="AK5" s="98">
        <f t="shared" si="6"/>
        <v>19</v>
      </c>
      <c r="AL5" s="97">
        <f t="shared" si="7"/>
        <v>67.857142857142861</v>
      </c>
      <c r="AM5" s="88">
        <f t="shared" si="8"/>
        <v>1</v>
      </c>
      <c r="AN5" s="84"/>
    </row>
    <row r="6" spans="1:40" ht="19.5">
      <c r="A6" s="123" t="s">
        <v>413</v>
      </c>
      <c r="B6" s="123" t="s">
        <v>431</v>
      </c>
      <c r="C6" s="88">
        <v>1</v>
      </c>
      <c r="D6" s="88">
        <v>1</v>
      </c>
      <c r="E6" s="88">
        <v>1</v>
      </c>
      <c r="F6" s="88">
        <v>0</v>
      </c>
      <c r="G6" s="88">
        <v>1</v>
      </c>
      <c r="H6" s="88">
        <v>1</v>
      </c>
      <c r="I6" s="88">
        <v>0</v>
      </c>
      <c r="J6" s="88">
        <v>0</v>
      </c>
      <c r="K6" s="88">
        <v>0</v>
      </c>
      <c r="L6" s="88">
        <v>1</v>
      </c>
      <c r="M6" s="88">
        <v>0</v>
      </c>
      <c r="N6" s="88">
        <v>0</v>
      </c>
      <c r="O6" s="88">
        <v>1</v>
      </c>
      <c r="P6" s="88">
        <v>0</v>
      </c>
      <c r="Q6" s="88">
        <v>0</v>
      </c>
      <c r="R6" s="88">
        <v>0</v>
      </c>
      <c r="S6" s="88">
        <v>1</v>
      </c>
      <c r="T6" s="88">
        <v>0</v>
      </c>
      <c r="U6" s="88">
        <v>0</v>
      </c>
      <c r="V6" s="88">
        <v>0</v>
      </c>
      <c r="W6" s="88">
        <v>0</v>
      </c>
      <c r="X6" s="88">
        <v>0</v>
      </c>
      <c r="Y6" s="88">
        <v>0</v>
      </c>
      <c r="Z6" s="88">
        <v>0</v>
      </c>
      <c r="AA6" s="88">
        <v>1</v>
      </c>
      <c r="AB6" s="88">
        <v>0</v>
      </c>
      <c r="AC6" s="88">
        <v>0</v>
      </c>
      <c r="AD6" s="88">
        <v>0</v>
      </c>
      <c r="AE6" s="88">
        <f t="shared" si="1"/>
        <v>6</v>
      </c>
      <c r="AF6" s="97">
        <f t="shared" si="2"/>
        <v>50</v>
      </c>
      <c r="AG6" s="88">
        <f t="shared" si="3"/>
        <v>1</v>
      </c>
      <c r="AH6" s="88">
        <f t="shared" si="0"/>
        <v>3</v>
      </c>
      <c r="AI6" s="97">
        <f t="shared" si="4"/>
        <v>18.75</v>
      </c>
      <c r="AJ6" s="88">
        <f t="shared" si="5"/>
        <v>0</v>
      </c>
      <c r="AK6" s="98">
        <f t="shared" si="6"/>
        <v>9</v>
      </c>
      <c r="AL6" s="97">
        <f t="shared" si="7"/>
        <v>32.142857142857146</v>
      </c>
      <c r="AM6" s="88">
        <f t="shared" si="8"/>
        <v>0</v>
      </c>
      <c r="AN6" s="84"/>
    </row>
    <row r="7" spans="1:40" ht="19.5">
      <c r="A7" s="123" t="s">
        <v>413</v>
      </c>
      <c r="B7" s="123" t="s">
        <v>432</v>
      </c>
      <c r="C7" s="88">
        <v>0</v>
      </c>
      <c r="D7" s="88">
        <v>1</v>
      </c>
      <c r="E7" s="88">
        <v>1</v>
      </c>
      <c r="F7" s="88">
        <v>0</v>
      </c>
      <c r="G7" s="88">
        <v>0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1</v>
      </c>
      <c r="N7" s="88">
        <v>0</v>
      </c>
      <c r="O7" s="88">
        <v>1</v>
      </c>
      <c r="P7" s="88">
        <v>1</v>
      </c>
      <c r="Q7" s="88">
        <v>1</v>
      </c>
      <c r="R7" s="88">
        <v>1</v>
      </c>
      <c r="S7" s="88">
        <v>1</v>
      </c>
      <c r="T7" s="88">
        <v>0</v>
      </c>
      <c r="U7" s="88">
        <v>1</v>
      </c>
      <c r="V7" s="88">
        <v>0</v>
      </c>
      <c r="W7" s="88">
        <v>1</v>
      </c>
      <c r="X7" s="88">
        <v>0</v>
      </c>
      <c r="Y7" s="88">
        <v>0</v>
      </c>
      <c r="Z7" s="88">
        <v>0</v>
      </c>
      <c r="AA7" s="88">
        <v>1</v>
      </c>
      <c r="AB7" s="88">
        <v>0</v>
      </c>
      <c r="AC7" s="88">
        <v>1</v>
      </c>
      <c r="AD7" s="88">
        <v>0</v>
      </c>
      <c r="AE7" s="88">
        <f t="shared" si="1"/>
        <v>3</v>
      </c>
      <c r="AF7" s="97">
        <f t="shared" si="2"/>
        <v>25</v>
      </c>
      <c r="AG7" s="88">
        <f t="shared" si="3"/>
        <v>0</v>
      </c>
      <c r="AH7" s="88">
        <f t="shared" si="0"/>
        <v>9</v>
      </c>
      <c r="AI7" s="97">
        <f t="shared" si="4"/>
        <v>56.25</v>
      </c>
      <c r="AJ7" s="88">
        <f t="shared" si="5"/>
        <v>1</v>
      </c>
      <c r="AK7" s="98">
        <f t="shared" si="6"/>
        <v>12</v>
      </c>
      <c r="AL7" s="97">
        <f t="shared" si="7"/>
        <v>42.857142857142854</v>
      </c>
      <c r="AM7" s="88">
        <f t="shared" si="8"/>
        <v>0</v>
      </c>
      <c r="AN7" s="84"/>
    </row>
    <row r="8" spans="1:40" ht="19.5">
      <c r="A8" s="123" t="s">
        <v>413</v>
      </c>
      <c r="B8" s="123" t="s">
        <v>433</v>
      </c>
      <c r="C8" s="88">
        <v>1</v>
      </c>
      <c r="D8" s="88">
        <v>1</v>
      </c>
      <c r="E8" s="88">
        <v>1</v>
      </c>
      <c r="F8" s="88">
        <v>1</v>
      </c>
      <c r="G8" s="88">
        <v>1</v>
      </c>
      <c r="H8" s="88">
        <v>1</v>
      </c>
      <c r="I8" s="88">
        <v>0</v>
      </c>
      <c r="J8" s="88">
        <v>0</v>
      </c>
      <c r="K8" s="88">
        <v>0</v>
      </c>
      <c r="L8" s="88">
        <v>1</v>
      </c>
      <c r="M8" s="88">
        <v>0</v>
      </c>
      <c r="N8" s="88">
        <v>0</v>
      </c>
      <c r="O8" s="88">
        <v>0</v>
      </c>
      <c r="P8" s="88">
        <v>1</v>
      </c>
      <c r="Q8" s="88">
        <v>1</v>
      </c>
      <c r="R8" s="88">
        <v>0</v>
      </c>
      <c r="S8" s="88">
        <v>0</v>
      </c>
      <c r="T8" s="88">
        <v>1</v>
      </c>
      <c r="U8" s="88">
        <v>0</v>
      </c>
      <c r="V8" s="88">
        <v>1</v>
      </c>
      <c r="W8" s="88">
        <v>1</v>
      </c>
      <c r="X8" s="88">
        <v>0</v>
      </c>
      <c r="Y8" s="88">
        <v>1</v>
      </c>
      <c r="Z8" s="88">
        <v>1</v>
      </c>
      <c r="AA8" s="88">
        <v>0</v>
      </c>
      <c r="AB8" s="88">
        <v>0</v>
      </c>
      <c r="AC8" s="88">
        <v>0</v>
      </c>
      <c r="AD8" s="88">
        <v>0</v>
      </c>
      <c r="AE8" s="88">
        <f t="shared" si="1"/>
        <v>7</v>
      </c>
      <c r="AF8" s="97">
        <f t="shared" si="2"/>
        <v>58.333333333333336</v>
      </c>
      <c r="AG8" s="88">
        <f t="shared" si="3"/>
        <v>1</v>
      </c>
      <c r="AH8" s="88">
        <f t="shared" si="0"/>
        <v>7</v>
      </c>
      <c r="AI8" s="97">
        <f t="shared" si="4"/>
        <v>43.75</v>
      </c>
      <c r="AJ8" s="88">
        <f t="shared" si="5"/>
        <v>0</v>
      </c>
      <c r="AK8" s="98">
        <f t="shared" si="6"/>
        <v>14</v>
      </c>
      <c r="AL8" s="97">
        <f t="shared" si="7"/>
        <v>50</v>
      </c>
      <c r="AM8" s="88">
        <f t="shared" si="8"/>
        <v>1</v>
      </c>
      <c r="AN8" s="84"/>
    </row>
    <row r="9" spans="1:40" ht="19.5">
      <c r="A9" s="123" t="s">
        <v>413</v>
      </c>
      <c r="B9" s="123" t="s">
        <v>434</v>
      </c>
      <c r="C9" s="88">
        <v>0</v>
      </c>
      <c r="D9" s="88">
        <v>1</v>
      </c>
      <c r="E9" s="88">
        <v>1</v>
      </c>
      <c r="F9" s="88">
        <v>0</v>
      </c>
      <c r="G9" s="88">
        <v>1</v>
      </c>
      <c r="H9" s="88">
        <v>1</v>
      </c>
      <c r="I9" s="88">
        <v>1</v>
      </c>
      <c r="J9" s="88">
        <v>0</v>
      </c>
      <c r="K9" s="88">
        <v>0</v>
      </c>
      <c r="L9" s="88">
        <v>1</v>
      </c>
      <c r="M9" s="88">
        <v>1</v>
      </c>
      <c r="N9" s="88">
        <v>0</v>
      </c>
      <c r="O9" s="88">
        <v>1</v>
      </c>
      <c r="P9" s="88">
        <v>0</v>
      </c>
      <c r="Q9" s="88">
        <v>0</v>
      </c>
      <c r="R9" s="88">
        <v>0</v>
      </c>
      <c r="S9" s="88">
        <v>1</v>
      </c>
      <c r="T9" s="88">
        <v>1</v>
      </c>
      <c r="U9" s="88">
        <v>0</v>
      </c>
      <c r="V9" s="88">
        <v>1</v>
      </c>
      <c r="W9" s="88">
        <v>1</v>
      </c>
      <c r="X9" s="88">
        <v>0</v>
      </c>
      <c r="Y9" s="88">
        <v>1</v>
      </c>
      <c r="Z9" s="88">
        <v>0</v>
      </c>
      <c r="AA9" s="88">
        <v>1</v>
      </c>
      <c r="AB9" s="88">
        <v>0</v>
      </c>
      <c r="AC9" s="88">
        <v>1</v>
      </c>
      <c r="AD9" s="88">
        <v>0</v>
      </c>
      <c r="AE9" s="88">
        <f t="shared" si="1"/>
        <v>7</v>
      </c>
      <c r="AF9" s="97">
        <f t="shared" si="2"/>
        <v>58.333333333333336</v>
      </c>
      <c r="AG9" s="88">
        <f t="shared" si="3"/>
        <v>1</v>
      </c>
      <c r="AH9" s="88">
        <f t="shared" si="0"/>
        <v>8</v>
      </c>
      <c r="AI9" s="97">
        <f t="shared" si="4"/>
        <v>50</v>
      </c>
      <c r="AJ9" s="88">
        <f t="shared" si="5"/>
        <v>1</v>
      </c>
      <c r="AK9" s="98">
        <f t="shared" si="6"/>
        <v>15</v>
      </c>
      <c r="AL9" s="97">
        <f t="shared" si="7"/>
        <v>53.571428571428569</v>
      </c>
      <c r="AM9" s="88">
        <f t="shared" si="8"/>
        <v>1</v>
      </c>
      <c r="AN9" s="84"/>
    </row>
    <row r="10" spans="1:40" ht="19.5">
      <c r="A10" s="123" t="s">
        <v>413</v>
      </c>
      <c r="B10" s="123" t="s">
        <v>435</v>
      </c>
      <c r="C10" s="88">
        <v>1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  <c r="I10" s="88">
        <v>1</v>
      </c>
      <c r="J10" s="88">
        <v>0</v>
      </c>
      <c r="K10" s="88">
        <v>0</v>
      </c>
      <c r="L10" s="88">
        <v>1</v>
      </c>
      <c r="M10" s="88">
        <v>0</v>
      </c>
      <c r="N10" s="88">
        <v>0</v>
      </c>
      <c r="O10" s="88">
        <v>1</v>
      </c>
      <c r="P10" s="88">
        <v>1</v>
      </c>
      <c r="Q10" s="88">
        <v>1</v>
      </c>
      <c r="R10" s="88">
        <v>0</v>
      </c>
      <c r="S10" s="88">
        <v>1</v>
      </c>
      <c r="T10" s="88">
        <v>1</v>
      </c>
      <c r="U10" s="88">
        <v>1</v>
      </c>
      <c r="V10" s="88">
        <v>0</v>
      </c>
      <c r="W10" s="88">
        <v>1</v>
      </c>
      <c r="X10" s="88">
        <v>1</v>
      </c>
      <c r="Y10" s="88">
        <v>1</v>
      </c>
      <c r="Z10" s="88">
        <v>0</v>
      </c>
      <c r="AA10" s="88">
        <v>1</v>
      </c>
      <c r="AB10" s="88">
        <v>0</v>
      </c>
      <c r="AC10" s="88">
        <v>1</v>
      </c>
      <c r="AD10" s="88">
        <v>0</v>
      </c>
      <c r="AE10" s="88">
        <f t="shared" si="1"/>
        <v>8</v>
      </c>
      <c r="AF10" s="97">
        <f t="shared" si="2"/>
        <v>66.666666666666657</v>
      </c>
      <c r="AG10" s="88">
        <f t="shared" si="3"/>
        <v>1</v>
      </c>
      <c r="AH10" s="88">
        <f t="shared" si="0"/>
        <v>11</v>
      </c>
      <c r="AI10" s="97">
        <f t="shared" si="4"/>
        <v>68.75</v>
      </c>
      <c r="AJ10" s="88">
        <f t="shared" si="5"/>
        <v>1</v>
      </c>
      <c r="AK10" s="98">
        <f t="shared" si="6"/>
        <v>19</v>
      </c>
      <c r="AL10" s="97">
        <f t="shared" si="7"/>
        <v>67.857142857142861</v>
      </c>
      <c r="AM10" s="88">
        <f t="shared" si="8"/>
        <v>1</v>
      </c>
      <c r="AN10" s="84"/>
    </row>
    <row r="11" spans="1:40" ht="19.5">
      <c r="A11" s="123" t="s">
        <v>413</v>
      </c>
      <c r="B11" s="123" t="s">
        <v>436</v>
      </c>
      <c r="C11" s="88">
        <v>1</v>
      </c>
      <c r="D11" s="88">
        <v>1</v>
      </c>
      <c r="E11" s="88">
        <v>1</v>
      </c>
      <c r="F11" s="88">
        <v>0</v>
      </c>
      <c r="G11" s="88">
        <v>1</v>
      </c>
      <c r="H11" s="88">
        <v>1</v>
      </c>
      <c r="I11" s="88">
        <v>1</v>
      </c>
      <c r="J11" s="88">
        <v>0</v>
      </c>
      <c r="K11" s="88">
        <v>0</v>
      </c>
      <c r="L11" s="88">
        <v>1</v>
      </c>
      <c r="M11" s="88">
        <v>0</v>
      </c>
      <c r="N11" s="88">
        <v>0</v>
      </c>
      <c r="O11" s="88">
        <v>1</v>
      </c>
      <c r="P11" s="88">
        <v>0</v>
      </c>
      <c r="Q11" s="88">
        <v>0</v>
      </c>
      <c r="R11" s="88">
        <v>0</v>
      </c>
      <c r="S11" s="88">
        <v>1</v>
      </c>
      <c r="T11" s="88">
        <v>0</v>
      </c>
      <c r="U11" s="88">
        <v>1</v>
      </c>
      <c r="V11" s="88">
        <v>1</v>
      </c>
      <c r="W11" s="88">
        <v>1</v>
      </c>
      <c r="X11" s="88">
        <v>0</v>
      </c>
      <c r="Y11" s="88">
        <v>1</v>
      </c>
      <c r="Z11" s="88">
        <v>0</v>
      </c>
      <c r="AA11" s="88">
        <v>1</v>
      </c>
      <c r="AB11" s="88">
        <v>0</v>
      </c>
      <c r="AC11" s="88">
        <v>0</v>
      </c>
      <c r="AD11" s="88">
        <v>0</v>
      </c>
      <c r="AE11" s="88">
        <f t="shared" si="1"/>
        <v>7</v>
      </c>
      <c r="AF11" s="97">
        <f t="shared" si="2"/>
        <v>58.333333333333336</v>
      </c>
      <c r="AG11" s="88">
        <f t="shared" si="3"/>
        <v>1</v>
      </c>
      <c r="AH11" s="88">
        <f t="shared" si="0"/>
        <v>7</v>
      </c>
      <c r="AI11" s="97">
        <f t="shared" si="4"/>
        <v>43.75</v>
      </c>
      <c r="AJ11" s="88">
        <f t="shared" si="5"/>
        <v>0</v>
      </c>
      <c r="AK11" s="98">
        <f t="shared" si="6"/>
        <v>14</v>
      </c>
      <c r="AL11" s="97">
        <f t="shared" si="7"/>
        <v>50</v>
      </c>
      <c r="AM11" s="88">
        <f t="shared" si="8"/>
        <v>1</v>
      </c>
      <c r="AN11" s="84"/>
    </row>
    <row r="12" spans="1:40" ht="19.5">
      <c r="A12" s="123" t="s">
        <v>413</v>
      </c>
      <c r="B12" s="123" t="s">
        <v>437</v>
      </c>
      <c r="C12" s="88">
        <v>1</v>
      </c>
      <c r="D12" s="88">
        <v>1</v>
      </c>
      <c r="E12" s="88">
        <v>1</v>
      </c>
      <c r="F12" s="88">
        <v>1</v>
      </c>
      <c r="G12" s="88">
        <v>1</v>
      </c>
      <c r="H12" s="88">
        <v>1</v>
      </c>
      <c r="I12" s="88">
        <v>1</v>
      </c>
      <c r="J12" s="88">
        <v>1</v>
      </c>
      <c r="K12" s="88">
        <v>1</v>
      </c>
      <c r="L12" s="88">
        <v>1</v>
      </c>
      <c r="M12" s="88">
        <v>1</v>
      </c>
      <c r="N12" s="88">
        <v>1</v>
      </c>
      <c r="O12" s="88">
        <v>1</v>
      </c>
      <c r="P12" s="88">
        <v>1</v>
      </c>
      <c r="Q12" s="88">
        <v>1</v>
      </c>
      <c r="R12" s="88">
        <v>1</v>
      </c>
      <c r="S12" s="88">
        <v>1</v>
      </c>
      <c r="T12" s="88">
        <v>1</v>
      </c>
      <c r="U12" s="88">
        <v>1</v>
      </c>
      <c r="V12" s="88">
        <v>1</v>
      </c>
      <c r="W12" s="88">
        <v>1</v>
      </c>
      <c r="X12" s="88">
        <v>1</v>
      </c>
      <c r="Y12" s="88">
        <v>1</v>
      </c>
      <c r="Z12" s="88">
        <v>0</v>
      </c>
      <c r="AA12" s="88">
        <v>1</v>
      </c>
      <c r="AB12" s="88">
        <v>1</v>
      </c>
      <c r="AC12" s="88">
        <v>1</v>
      </c>
      <c r="AD12" s="88">
        <v>1</v>
      </c>
      <c r="AE12" s="88">
        <f t="shared" si="1"/>
        <v>12</v>
      </c>
      <c r="AF12" s="97">
        <f t="shared" si="2"/>
        <v>100</v>
      </c>
      <c r="AG12" s="88">
        <f t="shared" si="3"/>
        <v>1</v>
      </c>
      <c r="AH12" s="88">
        <f t="shared" si="0"/>
        <v>15</v>
      </c>
      <c r="AI12" s="97">
        <f t="shared" si="4"/>
        <v>93.75</v>
      </c>
      <c r="AJ12" s="88">
        <f t="shared" si="5"/>
        <v>1</v>
      </c>
      <c r="AK12" s="98">
        <f t="shared" si="6"/>
        <v>27</v>
      </c>
      <c r="AL12" s="97">
        <f t="shared" si="7"/>
        <v>96.428571428571431</v>
      </c>
      <c r="AM12" s="88">
        <f t="shared" si="8"/>
        <v>1</v>
      </c>
      <c r="AN12" s="84"/>
    </row>
    <row r="13" spans="1:40" ht="19.5">
      <c r="A13" s="123" t="s">
        <v>413</v>
      </c>
      <c r="B13" s="123" t="s">
        <v>438</v>
      </c>
      <c r="C13" s="88">
        <v>0</v>
      </c>
      <c r="D13" s="88">
        <v>0</v>
      </c>
      <c r="E13" s="88">
        <v>0</v>
      </c>
      <c r="F13" s="88">
        <v>0</v>
      </c>
      <c r="G13" s="88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1</v>
      </c>
      <c r="P13" s="88">
        <v>1</v>
      </c>
      <c r="Q13" s="88">
        <v>0</v>
      </c>
      <c r="R13" s="88">
        <v>0</v>
      </c>
      <c r="S13" s="88">
        <v>1</v>
      </c>
      <c r="T13" s="88">
        <v>1</v>
      </c>
      <c r="U13" s="88">
        <v>0</v>
      </c>
      <c r="V13" s="88">
        <v>0</v>
      </c>
      <c r="W13" s="88">
        <v>1</v>
      </c>
      <c r="X13" s="88">
        <v>0</v>
      </c>
      <c r="Y13" s="88">
        <v>0</v>
      </c>
      <c r="Z13" s="88">
        <v>0</v>
      </c>
      <c r="AA13" s="88">
        <v>1</v>
      </c>
      <c r="AB13" s="88">
        <v>0</v>
      </c>
      <c r="AC13" s="88">
        <v>0</v>
      </c>
      <c r="AD13" s="88">
        <v>0</v>
      </c>
      <c r="AE13" s="88">
        <f t="shared" si="1"/>
        <v>1</v>
      </c>
      <c r="AF13" s="97">
        <f t="shared" si="2"/>
        <v>8.3333333333333321</v>
      </c>
      <c r="AG13" s="88">
        <f t="shared" si="3"/>
        <v>0</v>
      </c>
      <c r="AH13" s="88">
        <f t="shared" si="0"/>
        <v>6</v>
      </c>
      <c r="AI13" s="97">
        <f t="shared" si="4"/>
        <v>37.5</v>
      </c>
      <c r="AJ13" s="88">
        <f t="shared" si="5"/>
        <v>0</v>
      </c>
      <c r="AK13" s="98">
        <f t="shared" si="6"/>
        <v>7</v>
      </c>
      <c r="AL13" s="97">
        <f t="shared" si="7"/>
        <v>25</v>
      </c>
      <c r="AM13" s="88">
        <f t="shared" si="8"/>
        <v>0</v>
      </c>
      <c r="AN13" s="84"/>
    </row>
    <row r="14" spans="1:40" ht="19.5">
      <c r="A14" s="123" t="s">
        <v>413</v>
      </c>
      <c r="B14" s="123" t="s">
        <v>439</v>
      </c>
      <c r="C14" s="88">
        <v>1</v>
      </c>
      <c r="D14" s="88">
        <v>1</v>
      </c>
      <c r="E14" s="88">
        <v>1</v>
      </c>
      <c r="F14" s="88">
        <v>1</v>
      </c>
      <c r="G14" s="88">
        <v>1</v>
      </c>
      <c r="H14" s="88">
        <v>1</v>
      </c>
      <c r="I14" s="88">
        <v>1</v>
      </c>
      <c r="J14" s="88">
        <v>1</v>
      </c>
      <c r="K14" s="88">
        <v>1</v>
      </c>
      <c r="L14" s="88">
        <v>1</v>
      </c>
      <c r="M14" s="88">
        <v>1</v>
      </c>
      <c r="N14" s="88">
        <v>1</v>
      </c>
      <c r="O14" s="88">
        <v>1</v>
      </c>
      <c r="P14" s="88">
        <v>1</v>
      </c>
      <c r="Q14" s="88">
        <v>1</v>
      </c>
      <c r="R14" s="88">
        <v>1</v>
      </c>
      <c r="S14" s="88">
        <v>1</v>
      </c>
      <c r="T14" s="88">
        <v>1</v>
      </c>
      <c r="U14" s="88">
        <v>1</v>
      </c>
      <c r="V14" s="88">
        <v>1</v>
      </c>
      <c r="W14" s="88">
        <v>1</v>
      </c>
      <c r="X14" s="88">
        <v>0</v>
      </c>
      <c r="Y14" s="88">
        <v>1</v>
      </c>
      <c r="Z14" s="88">
        <v>1</v>
      </c>
      <c r="AA14" s="88">
        <v>1</v>
      </c>
      <c r="AB14" s="88">
        <v>1</v>
      </c>
      <c r="AC14" s="88">
        <v>1</v>
      </c>
      <c r="AD14" s="88">
        <v>0</v>
      </c>
      <c r="AE14" s="88">
        <f t="shared" si="1"/>
        <v>12</v>
      </c>
      <c r="AF14" s="97">
        <f t="shared" si="2"/>
        <v>100</v>
      </c>
      <c r="AG14" s="88">
        <f t="shared" si="3"/>
        <v>1</v>
      </c>
      <c r="AH14" s="88">
        <f t="shared" si="0"/>
        <v>14</v>
      </c>
      <c r="AI14" s="97">
        <f t="shared" si="4"/>
        <v>87.5</v>
      </c>
      <c r="AJ14" s="88">
        <f t="shared" si="5"/>
        <v>1</v>
      </c>
      <c r="AK14" s="98">
        <f t="shared" si="6"/>
        <v>26</v>
      </c>
      <c r="AL14" s="97">
        <f t="shared" si="7"/>
        <v>92.857142857142861</v>
      </c>
      <c r="AM14" s="88">
        <f t="shared" si="8"/>
        <v>1</v>
      </c>
      <c r="AN14" s="84"/>
    </row>
    <row r="15" spans="1:40" ht="19.5">
      <c r="A15" s="123" t="s">
        <v>413</v>
      </c>
      <c r="B15" s="123" t="s">
        <v>440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8">
        <v>0</v>
      </c>
      <c r="I15" s="88">
        <v>0</v>
      </c>
      <c r="J15" s="88">
        <v>0</v>
      </c>
      <c r="K15" s="88">
        <v>0</v>
      </c>
      <c r="L15" s="88">
        <v>0</v>
      </c>
      <c r="M15" s="88">
        <v>0</v>
      </c>
      <c r="N15" s="88">
        <v>0</v>
      </c>
      <c r="O15" s="88">
        <v>1</v>
      </c>
      <c r="P15" s="88">
        <v>0</v>
      </c>
      <c r="Q15" s="88">
        <v>1</v>
      </c>
      <c r="R15" s="88">
        <v>0</v>
      </c>
      <c r="S15" s="88">
        <v>1</v>
      </c>
      <c r="T15" s="88">
        <v>0</v>
      </c>
      <c r="U15" s="88">
        <v>0</v>
      </c>
      <c r="V15" s="88">
        <v>0</v>
      </c>
      <c r="W15" s="88">
        <v>1</v>
      </c>
      <c r="X15" s="88">
        <v>0</v>
      </c>
      <c r="Y15" s="88">
        <v>0</v>
      </c>
      <c r="Z15" s="88">
        <v>0</v>
      </c>
      <c r="AA15" s="88">
        <v>1</v>
      </c>
      <c r="AB15" s="88">
        <v>0</v>
      </c>
      <c r="AC15" s="88">
        <v>0</v>
      </c>
      <c r="AD15" s="88">
        <v>0</v>
      </c>
      <c r="AE15" s="88">
        <f t="shared" si="1"/>
        <v>0</v>
      </c>
      <c r="AF15" s="97">
        <f t="shared" si="2"/>
        <v>0</v>
      </c>
      <c r="AG15" s="88">
        <f t="shared" si="3"/>
        <v>0</v>
      </c>
      <c r="AH15" s="88">
        <f t="shared" si="0"/>
        <v>5</v>
      </c>
      <c r="AI15" s="97">
        <f t="shared" si="4"/>
        <v>31.25</v>
      </c>
      <c r="AJ15" s="88">
        <f t="shared" si="5"/>
        <v>0</v>
      </c>
      <c r="AK15" s="98">
        <f t="shared" si="6"/>
        <v>5</v>
      </c>
      <c r="AL15" s="97">
        <f t="shared" si="7"/>
        <v>17.857142857142858</v>
      </c>
      <c r="AM15" s="88">
        <f t="shared" si="8"/>
        <v>0</v>
      </c>
      <c r="AN15" s="84"/>
    </row>
    <row r="16" spans="1:40" ht="19.5">
      <c r="A16" s="123" t="s">
        <v>413</v>
      </c>
      <c r="B16" s="123" t="s">
        <v>441</v>
      </c>
      <c r="C16" s="88">
        <v>1</v>
      </c>
      <c r="D16" s="88">
        <v>1</v>
      </c>
      <c r="E16" s="88">
        <v>1</v>
      </c>
      <c r="F16" s="88">
        <v>1</v>
      </c>
      <c r="G16" s="88">
        <v>1</v>
      </c>
      <c r="H16" s="88">
        <v>0</v>
      </c>
      <c r="I16" s="88">
        <v>1</v>
      </c>
      <c r="J16" s="88">
        <v>1</v>
      </c>
      <c r="K16" s="88">
        <v>0</v>
      </c>
      <c r="L16" s="88">
        <v>0</v>
      </c>
      <c r="M16" s="88">
        <v>0</v>
      </c>
      <c r="N16" s="88">
        <v>1</v>
      </c>
      <c r="O16" s="88">
        <v>1</v>
      </c>
      <c r="P16" s="88">
        <v>1</v>
      </c>
      <c r="Q16" s="88">
        <v>1</v>
      </c>
      <c r="R16" s="88">
        <v>1</v>
      </c>
      <c r="S16" s="88">
        <v>1</v>
      </c>
      <c r="T16" s="88">
        <v>1</v>
      </c>
      <c r="U16" s="88">
        <v>1</v>
      </c>
      <c r="V16" s="88">
        <v>1</v>
      </c>
      <c r="W16" s="88">
        <v>1</v>
      </c>
      <c r="X16" s="88">
        <v>0</v>
      </c>
      <c r="Y16" s="88">
        <v>1</v>
      </c>
      <c r="Z16" s="88">
        <v>1</v>
      </c>
      <c r="AA16" s="88">
        <v>1</v>
      </c>
      <c r="AB16" s="88">
        <v>1</v>
      </c>
      <c r="AC16" s="88">
        <v>1</v>
      </c>
      <c r="AD16" s="88">
        <v>0</v>
      </c>
      <c r="AE16" s="88">
        <f t="shared" si="1"/>
        <v>8</v>
      </c>
      <c r="AF16" s="97">
        <f t="shared" si="2"/>
        <v>66.666666666666657</v>
      </c>
      <c r="AG16" s="88">
        <f t="shared" si="3"/>
        <v>1</v>
      </c>
      <c r="AH16" s="88">
        <f t="shared" si="0"/>
        <v>14</v>
      </c>
      <c r="AI16" s="97">
        <f t="shared" si="4"/>
        <v>87.5</v>
      </c>
      <c r="AJ16" s="88">
        <f t="shared" si="5"/>
        <v>1</v>
      </c>
      <c r="AK16" s="98">
        <f t="shared" si="6"/>
        <v>22</v>
      </c>
      <c r="AL16" s="97">
        <f t="shared" si="7"/>
        <v>78.571428571428569</v>
      </c>
      <c r="AM16" s="88">
        <f t="shared" si="8"/>
        <v>1</v>
      </c>
      <c r="AN16" s="84"/>
    </row>
    <row r="17" spans="1:40" ht="19.5">
      <c r="A17" s="123" t="s">
        <v>413</v>
      </c>
      <c r="B17" s="123" t="s">
        <v>442</v>
      </c>
      <c r="C17" s="88">
        <v>0</v>
      </c>
      <c r="D17" s="88">
        <v>1</v>
      </c>
      <c r="E17" s="88">
        <v>0</v>
      </c>
      <c r="F17" s="88">
        <v>0</v>
      </c>
      <c r="G17" s="88">
        <v>1</v>
      </c>
      <c r="H17" s="88">
        <v>1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8">
        <v>1</v>
      </c>
      <c r="Q17" s="88">
        <v>0</v>
      </c>
      <c r="R17" s="88">
        <v>0</v>
      </c>
      <c r="S17" s="88">
        <v>1</v>
      </c>
      <c r="T17" s="88">
        <v>0</v>
      </c>
      <c r="U17" s="88">
        <v>1</v>
      </c>
      <c r="V17" s="88">
        <v>0</v>
      </c>
      <c r="W17" s="88">
        <v>0</v>
      </c>
      <c r="X17" s="88">
        <v>0</v>
      </c>
      <c r="Y17" s="88">
        <v>0</v>
      </c>
      <c r="Z17" s="88">
        <v>0</v>
      </c>
      <c r="AA17" s="88">
        <v>1</v>
      </c>
      <c r="AB17" s="88">
        <v>1</v>
      </c>
      <c r="AC17" s="88">
        <v>0</v>
      </c>
      <c r="AD17" s="88">
        <v>0</v>
      </c>
      <c r="AE17" s="88">
        <f t="shared" si="1"/>
        <v>3</v>
      </c>
      <c r="AF17" s="97">
        <f t="shared" si="2"/>
        <v>25</v>
      </c>
      <c r="AG17" s="88">
        <f t="shared" si="3"/>
        <v>0</v>
      </c>
      <c r="AH17" s="88">
        <f t="shared" si="0"/>
        <v>5</v>
      </c>
      <c r="AI17" s="97">
        <f t="shared" si="4"/>
        <v>31.25</v>
      </c>
      <c r="AJ17" s="88">
        <f t="shared" si="5"/>
        <v>0</v>
      </c>
      <c r="AK17" s="98">
        <f t="shared" si="6"/>
        <v>8</v>
      </c>
      <c r="AL17" s="97">
        <f t="shared" si="7"/>
        <v>28.571428571428569</v>
      </c>
      <c r="AM17" s="88">
        <f t="shared" si="8"/>
        <v>0</v>
      </c>
      <c r="AN17" s="84"/>
    </row>
    <row r="18" spans="1:40" ht="19.5">
      <c r="A18" s="123" t="s">
        <v>413</v>
      </c>
      <c r="B18" s="123" t="s">
        <v>443</v>
      </c>
      <c r="C18" s="88">
        <v>1</v>
      </c>
      <c r="D18" s="88">
        <v>1</v>
      </c>
      <c r="E18" s="88">
        <v>1</v>
      </c>
      <c r="F18" s="88">
        <v>1</v>
      </c>
      <c r="G18" s="88">
        <v>1</v>
      </c>
      <c r="H18" s="88">
        <v>1</v>
      </c>
      <c r="I18" s="88">
        <v>1</v>
      </c>
      <c r="J18" s="88">
        <v>1</v>
      </c>
      <c r="K18" s="88">
        <v>1</v>
      </c>
      <c r="L18" s="88">
        <v>1</v>
      </c>
      <c r="M18" s="88">
        <v>1</v>
      </c>
      <c r="N18" s="88">
        <v>1</v>
      </c>
      <c r="O18" s="88">
        <v>1</v>
      </c>
      <c r="P18" s="88">
        <v>1</v>
      </c>
      <c r="Q18" s="88">
        <v>1</v>
      </c>
      <c r="R18" s="88">
        <v>1</v>
      </c>
      <c r="S18" s="88">
        <v>1</v>
      </c>
      <c r="T18" s="88">
        <v>1</v>
      </c>
      <c r="U18" s="88">
        <v>1</v>
      </c>
      <c r="V18" s="88">
        <v>1</v>
      </c>
      <c r="W18" s="88">
        <v>1</v>
      </c>
      <c r="X18" s="88">
        <v>1</v>
      </c>
      <c r="Y18" s="88">
        <v>1</v>
      </c>
      <c r="Z18" s="88">
        <v>1</v>
      </c>
      <c r="AA18" s="88">
        <v>1</v>
      </c>
      <c r="AB18" s="88">
        <v>1</v>
      </c>
      <c r="AC18" s="88">
        <v>1</v>
      </c>
      <c r="AD18" s="88">
        <v>1</v>
      </c>
      <c r="AE18" s="88">
        <f t="shared" si="1"/>
        <v>12</v>
      </c>
      <c r="AF18" s="97">
        <f t="shared" si="2"/>
        <v>100</v>
      </c>
      <c r="AG18" s="88">
        <f t="shared" si="3"/>
        <v>1</v>
      </c>
      <c r="AH18" s="88">
        <f t="shared" si="0"/>
        <v>16</v>
      </c>
      <c r="AI18" s="97">
        <f t="shared" si="4"/>
        <v>100</v>
      </c>
      <c r="AJ18" s="88">
        <f t="shared" si="5"/>
        <v>1</v>
      </c>
      <c r="AK18" s="98">
        <f t="shared" si="6"/>
        <v>28</v>
      </c>
      <c r="AL18" s="97">
        <f t="shared" si="7"/>
        <v>100</v>
      </c>
      <c r="AM18" s="88">
        <f t="shared" si="8"/>
        <v>1</v>
      </c>
      <c r="AN18" s="84"/>
    </row>
    <row r="19" spans="1:40" ht="19.5">
      <c r="A19" s="123" t="s">
        <v>413</v>
      </c>
      <c r="B19" s="123" t="s">
        <v>444</v>
      </c>
      <c r="C19" s="88">
        <v>0</v>
      </c>
      <c r="D19" s="88">
        <v>1</v>
      </c>
      <c r="E19" s="88">
        <v>1</v>
      </c>
      <c r="F19" s="88">
        <v>0</v>
      </c>
      <c r="G19" s="88">
        <v>1</v>
      </c>
      <c r="H19" s="88">
        <v>0</v>
      </c>
      <c r="I19" s="88">
        <v>0</v>
      </c>
      <c r="J19" s="88">
        <v>0</v>
      </c>
      <c r="K19" s="88">
        <v>0</v>
      </c>
      <c r="L19" s="88">
        <v>1</v>
      </c>
      <c r="M19" s="88">
        <v>0</v>
      </c>
      <c r="N19" s="88">
        <v>0</v>
      </c>
      <c r="O19" s="88">
        <v>0</v>
      </c>
      <c r="P19" s="88">
        <v>0</v>
      </c>
      <c r="Q19" s="88">
        <v>0</v>
      </c>
      <c r="R19" s="88">
        <v>0</v>
      </c>
      <c r="S19" s="88">
        <v>1</v>
      </c>
      <c r="T19" s="88">
        <v>0</v>
      </c>
      <c r="U19" s="88">
        <v>0</v>
      </c>
      <c r="V19" s="88">
        <v>0</v>
      </c>
      <c r="W19" s="88">
        <v>0</v>
      </c>
      <c r="X19" s="88">
        <v>0</v>
      </c>
      <c r="Y19" s="88">
        <v>0</v>
      </c>
      <c r="Z19" s="88">
        <v>0</v>
      </c>
      <c r="AA19" s="88">
        <v>1</v>
      </c>
      <c r="AB19" s="88">
        <v>1</v>
      </c>
      <c r="AC19" s="88">
        <v>0</v>
      </c>
      <c r="AD19" s="88">
        <v>0</v>
      </c>
      <c r="AE19" s="88">
        <f t="shared" si="1"/>
        <v>4</v>
      </c>
      <c r="AF19" s="97">
        <f t="shared" si="2"/>
        <v>33.333333333333329</v>
      </c>
      <c r="AG19" s="88">
        <f t="shared" si="3"/>
        <v>0</v>
      </c>
      <c r="AH19" s="88">
        <f t="shared" si="0"/>
        <v>3</v>
      </c>
      <c r="AI19" s="97">
        <f t="shared" si="4"/>
        <v>18.75</v>
      </c>
      <c r="AJ19" s="88">
        <f t="shared" si="5"/>
        <v>0</v>
      </c>
      <c r="AK19" s="98">
        <f t="shared" si="6"/>
        <v>7</v>
      </c>
      <c r="AL19" s="97">
        <f t="shared" si="7"/>
        <v>25</v>
      </c>
      <c r="AM19" s="88">
        <f t="shared" si="8"/>
        <v>0</v>
      </c>
      <c r="AN19" s="84"/>
    </row>
    <row r="20" spans="1:40" ht="19.5">
      <c r="A20" s="123" t="s">
        <v>413</v>
      </c>
      <c r="B20" s="123" t="s">
        <v>445</v>
      </c>
      <c r="C20" s="88">
        <v>1</v>
      </c>
      <c r="D20" s="88">
        <v>0</v>
      </c>
      <c r="E20" s="88">
        <v>0</v>
      </c>
      <c r="F20" s="88">
        <v>0</v>
      </c>
      <c r="G20" s="88">
        <v>1</v>
      </c>
      <c r="H20" s="88">
        <v>0</v>
      </c>
      <c r="I20" s="88">
        <v>0</v>
      </c>
      <c r="J20" s="88">
        <v>0</v>
      </c>
      <c r="K20" s="88">
        <v>0</v>
      </c>
      <c r="L20" s="88">
        <v>1</v>
      </c>
      <c r="M20" s="88">
        <v>0</v>
      </c>
      <c r="N20" s="88">
        <v>0</v>
      </c>
      <c r="O20" s="88">
        <v>1</v>
      </c>
      <c r="P20" s="88">
        <v>0</v>
      </c>
      <c r="Q20" s="88">
        <v>0</v>
      </c>
      <c r="R20" s="88">
        <v>0</v>
      </c>
      <c r="S20" s="88">
        <v>1</v>
      </c>
      <c r="T20" s="88">
        <v>0</v>
      </c>
      <c r="U20" s="88">
        <v>0</v>
      </c>
      <c r="V20" s="88">
        <v>0</v>
      </c>
      <c r="W20" s="88">
        <v>0</v>
      </c>
      <c r="X20" s="88">
        <v>0</v>
      </c>
      <c r="Y20" s="88">
        <v>0</v>
      </c>
      <c r="Z20" s="88">
        <v>0</v>
      </c>
      <c r="AA20" s="88">
        <v>1</v>
      </c>
      <c r="AB20" s="88">
        <v>1</v>
      </c>
      <c r="AC20" s="88">
        <v>0</v>
      </c>
      <c r="AD20" s="88">
        <v>0</v>
      </c>
      <c r="AE20" s="88">
        <f t="shared" si="1"/>
        <v>3</v>
      </c>
      <c r="AF20" s="97">
        <f t="shared" si="2"/>
        <v>25</v>
      </c>
      <c r="AG20" s="88">
        <f t="shared" si="3"/>
        <v>0</v>
      </c>
      <c r="AH20" s="88">
        <f t="shared" si="0"/>
        <v>4</v>
      </c>
      <c r="AI20" s="97">
        <f t="shared" si="4"/>
        <v>25</v>
      </c>
      <c r="AJ20" s="88">
        <f t="shared" si="5"/>
        <v>0</v>
      </c>
      <c r="AK20" s="98">
        <f t="shared" si="6"/>
        <v>7</v>
      </c>
      <c r="AL20" s="97">
        <f t="shared" si="7"/>
        <v>25</v>
      </c>
      <c r="AM20" s="88">
        <f t="shared" si="8"/>
        <v>0</v>
      </c>
      <c r="AN20" s="84"/>
    </row>
    <row r="21" spans="1:40" ht="19.5">
      <c r="A21" s="123" t="s">
        <v>413</v>
      </c>
      <c r="B21" s="123" t="s">
        <v>446</v>
      </c>
      <c r="C21" s="88">
        <v>1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  <c r="I21" s="88">
        <v>0</v>
      </c>
      <c r="J21" s="88">
        <v>0</v>
      </c>
      <c r="K21" s="88">
        <v>0</v>
      </c>
      <c r="L21" s="88">
        <v>1</v>
      </c>
      <c r="M21" s="88">
        <v>0</v>
      </c>
      <c r="N21" s="88">
        <v>0</v>
      </c>
      <c r="O21" s="88">
        <v>1</v>
      </c>
      <c r="P21" s="88">
        <v>1</v>
      </c>
      <c r="Q21" s="88">
        <v>1</v>
      </c>
      <c r="R21" s="88">
        <v>0</v>
      </c>
      <c r="S21" s="88">
        <v>0</v>
      </c>
      <c r="T21" s="88">
        <v>1</v>
      </c>
      <c r="U21" s="88">
        <v>1</v>
      </c>
      <c r="V21" s="88">
        <v>0</v>
      </c>
      <c r="W21" s="88">
        <v>1</v>
      </c>
      <c r="X21" s="88">
        <v>0</v>
      </c>
      <c r="Y21" s="88">
        <v>0</v>
      </c>
      <c r="Z21" s="88">
        <v>0</v>
      </c>
      <c r="AA21" s="88">
        <v>0</v>
      </c>
      <c r="AB21" s="88">
        <v>1</v>
      </c>
      <c r="AC21" s="88">
        <v>0</v>
      </c>
      <c r="AD21" s="88">
        <v>0</v>
      </c>
      <c r="AE21" s="88">
        <f t="shared" si="1"/>
        <v>7</v>
      </c>
      <c r="AF21" s="97">
        <f t="shared" si="2"/>
        <v>58.333333333333336</v>
      </c>
      <c r="AG21" s="88">
        <f t="shared" si="3"/>
        <v>1</v>
      </c>
      <c r="AH21" s="88">
        <f t="shared" si="0"/>
        <v>7</v>
      </c>
      <c r="AI21" s="97">
        <f t="shared" si="4"/>
        <v>43.75</v>
      </c>
      <c r="AJ21" s="88">
        <f t="shared" si="5"/>
        <v>0</v>
      </c>
      <c r="AK21" s="98">
        <f t="shared" si="6"/>
        <v>14</v>
      </c>
      <c r="AL21" s="97">
        <f t="shared" si="7"/>
        <v>50</v>
      </c>
      <c r="AM21" s="88">
        <f t="shared" si="8"/>
        <v>1</v>
      </c>
      <c r="AN21" s="84"/>
    </row>
    <row r="22" spans="1:40" ht="19.5">
      <c r="A22" s="123" t="s">
        <v>413</v>
      </c>
      <c r="B22" s="123" t="s">
        <v>533</v>
      </c>
      <c r="C22" s="88">
        <v>0</v>
      </c>
      <c r="D22" s="88">
        <v>1</v>
      </c>
      <c r="E22" s="88">
        <v>1</v>
      </c>
      <c r="F22" s="88">
        <v>0</v>
      </c>
      <c r="G22" s="88">
        <v>0</v>
      </c>
      <c r="H22" s="88">
        <v>0</v>
      </c>
      <c r="I22" s="88">
        <v>0</v>
      </c>
      <c r="J22" s="88">
        <v>0</v>
      </c>
      <c r="K22" s="88">
        <v>0</v>
      </c>
      <c r="L22" s="88">
        <v>1</v>
      </c>
      <c r="M22" s="88">
        <v>1</v>
      </c>
      <c r="N22" s="88">
        <v>0</v>
      </c>
      <c r="O22" s="88">
        <v>1</v>
      </c>
      <c r="P22" s="88">
        <v>1</v>
      </c>
      <c r="Q22" s="88">
        <v>0</v>
      </c>
      <c r="R22" s="88">
        <v>0</v>
      </c>
      <c r="S22" s="88">
        <v>1</v>
      </c>
      <c r="T22" s="88">
        <v>0</v>
      </c>
      <c r="U22" s="88">
        <v>1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1</v>
      </c>
      <c r="AB22" s="88">
        <v>0</v>
      </c>
      <c r="AC22" s="88">
        <v>1</v>
      </c>
      <c r="AD22" s="88">
        <v>0</v>
      </c>
      <c r="AE22" s="88">
        <f t="shared" si="1"/>
        <v>4</v>
      </c>
      <c r="AF22" s="97">
        <f t="shared" si="2"/>
        <v>33.333333333333329</v>
      </c>
      <c r="AG22" s="88">
        <f t="shared" si="3"/>
        <v>0</v>
      </c>
      <c r="AH22" s="88">
        <f t="shared" si="0"/>
        <v>6</v>
      </c>
      <c r="AI22" s="97">
        <f t="shared" si="4"/>
        <v>37.5</v>
      </c>
      <c r="AJ22" s="88">
        <f t="shared" si="5"/>
        <v>0</v>
      </c>
      <c r="AK22" s="98">
        <f t="shared" si="6"/>
        <v>10</v>
      </c>
      <c r="AL22" s="97">
        <f t="shared" si="7"/>
        <v>35.714285714285715</v>
      </c>
      <c r="AM22" s="88">
        <f t="shared" si="8"/>
        <v>0</v>
      </c>
      <c r="AN22" s="84"/>
    </row>
    <row r="23" spans="1:40" ht="19.5">
      <c r="A23" s="123" t="s">
        <v>414</v>
      </c>
      <c r="B23" s="123" t="s">
        <v>447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8">
        <f t="shared" si="1"/>
        <v>0</v>
      </c>
      <c r="AF23" s="97">
        <f t="shared" si="2"/>
        <v>0</v>
      </c>
      <c r="AG23" s="88">
        <f t="shared" si="3"/>
        <v>0</v>
      </c>
      <c r="AH23" s="88">
        <f t="shared" si="0"/>
        <v>0</v>
      </c>
      <c r="AI23" s="97">
        <f t="shared" si="4"/>
        <v>0</v>
      </c>
      <c r="AJ23" s="88">
        <f t="shared" si="5"/>
        <v>0</v>
      </c>
      <c r="AK23" s="98">
        <f t="shared" si="6"/>
        <v>0</v>
      </c>
      <c r="AL23" s="97">
        <f t="shared" si="7"/>
        <v>0</v>
      </c>
      <c r="AM23" s="88">
        <f t="shared" si="8"/>
        <v>0</v>
      </c>
    </row>
    <row r="24" spans="1:40" ht="19.5">
      <c r="A24" s="123" t="s">
        <v>414</v>
      </c>
      <c r="B24" s="123" t="s">
        <v>450</v>
      </c>
      <c r="C24" s="87">
        <v>1</v>
      </c>
      <c r="D24" s="87">
        <v>1</v>
      </c>
      <c r="E24" s="87">
        <v>1</v>
      </c>
      <c r="F24" s="87">
        <v>0</v>
      </c>
      <c r="G24" s="87">
        <v>1</v>
      </c>
      <c r="H24" s="87">
        <v>0</v>
      </c>
      <c r="I24" s="87">
        <v>0</v>
      </c>
      <c r="J24" s="87">
        <v>0</v>
      </c>
      <c r="K24" s="87">
        <v>0</v>
      </c>
      <c r="L24" s="87">
        <v>1</v>
      </c>
      <c r="M24" s="87">
        <v>0</v>
      </c>
      <c r="N24" s="87">
        <v>0</v>
      </c>
      <c r="O24" s="87">
        <v>1</v>
      </c>
      <c r="P24" s="87">
        <v>1</v>
      </c>
      <c r="Q24" s="87">
        <v>0</v>
      </c>
      <c r="R24" s="87">
        <v>0</v>
      </c>
      <c r="S24" s="87">
        <v>1</v>
      </c>
      <c r="T24" s="87">
        <v>0</v>
      </c>
      <c r="U24" s="87">
        <v>1</v>
      </c>
      <c r="V24" s="87">
        <v>0</v>
      </c>
      <c r="W24" s="87">
        <v>1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8">
        <f>SUM(C24:Y24)</f>
        <v>10</v>
      </c>
      <c r="AF24" s="97">
        <f t="shared" si="2"/>
        <v>83.333333333333343</v>
      </c>
      <c r="AG24" s="88">
        <f t="shared" si="3"/>
        <v>1</v>
      </c>
      <c r="AH24" s="88">
        <f t="shared" si="0"/>
        <v>5</v>
      </c>
      <c r="AI24" s="97">
        <f t="shared" si="4"/>
        <v>31.25</v>
      </c>
      <c r="AJ24" s="88">
        <f t="shared" si="5"/>
        <v>0</v>
      </c>
      <c r="AK24" s="98">
        <f t="shared" si="6"/>
        <v>10</v>
      </c>
      <c r="AL24" s="97">
        <f t="shared" si="7"/>
        <v>35.714285714285715</v>
      </c>
      <c r="AM24" s="88">
        <f t="shared" si="8"/>
        <v>0</v>
      </c>
    </row>
    <row r="25" spans="1:40" ht="19.5">
      <c r="A25" s="123" t="s">
        <v>414</v>
      </c>
      <c r="B25" s="123" t="s">
        <v>451</v>
      </c>
      <c r="C25" s="87">
        <v>1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  <c r="I25" s="87">
        <v>1</v>
      </c>
      <c r="J25" s="87">
        <v>1</v>
      </c>
      <c r="K25" s="87">
        <v>1</v>
      </c>
      <c r="L25" s="87">
        <v>1</v>
      </c>
      <c r="M25" s="87">
        <v>1</v>
      </c>
      <c r="N25" s="87">
        <v>1</v>
      </c>
      <c r="O25" s="87">
        <v>1</v>
      </c>
      <c r="P25" s="87">
        <v>1</v>
      </c>
      <c r="Q25" s="87">
        <v>1</v>
      </c>
      <c r="R25" s="87">
        <v>1</v>
      </c>
      <c r="S25" s="87">
        <v>1</v>
      </c>
      <c r="T25" s="87">
        <v>1</v>
      </c>
      <c r="U25" s="87">
        <v>1</v>
      </c>
      <c r="V25" s="87">
        <v>1</v>
      </c>
      <c r="W25" s="87">
        <v>1</v>
      </c>
      <c r="X25" s="87">
        <v>0</v>
      </c>
      <c r="Y25" s="87">
        <v>1</v>
      </c>
      <c r="Z25" s="87">
        <v>1</v>
      </c>
      <c r="AA25" s="87">
        <v>1</v>
      </c>
      <c r="AB25" s="87">
        <v>1</v>
      </c>
      <c r="AC25" s="87">
        <v>1</v>
      </c>
      <c r="AD25" s="87">
        <v>0</v>
      </c>
      <c r="AE25" s="88">
        <f t="shared" si="1"/>
        <v>12</v>
      </c>
      <c r="AF25" s="97">
        <f t="shared" si="2"/>
        <v>100</v>
      </c>
      <c r="AG25" s="88">
        <f t="shared" si="3"/>
        <v>1</v>
      </c>
      <c r="AH25" s="88">
        <f t="shared" si="0"/>
        <v>14</v>
      </c>
      <c r="AI25" s="97">
        <f t="shared" si="4"/>
        <v>87.5</v>
      </c>
      <c r="AJ25" s="88">
        <f t="shared" si="5"/>
        <v>1</v>
      </c>
      <c r="AK25" s="98">
        <f t="shared" si="6"/>
        <v>26</v>
      </c>
      <c r="AL25" s="97">
        <f t="shared" si="7"/>
        <v>92.857142857142861</v>
      </c>
      <c r="AM25" s="88">
        <f t="shared" si="8"/>
        <v>1</v>
      </c>
    </row>
    <row r="26" spans="1:40" ht="19.5">
      <c r="A26" s="123" t="s">
        <v>414</v>
      </c>
      <c r="B26" s="123" t="s">
        <v>449</v>
      </c>
      <c r="C26" s="87">
        <v>1</v>
      </c>
      <c r="D26" s="87">
        <v>1</v>
      </c>
      <c r="E26" s="87">
        <v>1</v>
      </c>
      <c r="F26" s="87">
        <v>0</v>
      </c>
      <c r="G26" s="87">
        <v>0</v>
      </c>
      <c r="H26" s="87">
        <v>1</v>
      </c>
      <c r="I26" s="87">
        <v>1</v>
      </c>
      <c r="J26" s="87">
        <v>0</v>
      </c>
      <c r="K26" s="87">
        <v>0</v>
      </c>
      <c r="L26" s="87">
        <v>1</v>
      </c>
      <c r="M26" s="87">
        <v>0</v>
      </c>
      <c r="N26" s="87">
        <v>1</v>
      </c>
      <c r="O26" s="87">
        <v>1</v>
      </c>
      <c r="P26" s="87">
        <v>1</v>
      </c>
      <c r="Q26" s="87">
        <v>1</v>
      </c>
      <c r="R26" s="87">
        <v>1</v>
      </c>
      <c r="S26" s="87">
        <v>1</v>
      </c>
      <c r="T26" s="87">
        <v>1</v>
      </c>
      <c r="U26" s="87">
        <v>1</v>
      </c>
      <c r="V26" s="87">
        <v>1</v>
      </c>
      <c r="W26" s="87">
        <v>1</v>
      </c>
      <c r="X26" s="87">
        <v>0</v>
      </c>
      <c r="Y26" s="87">
        <v>1</v>
      </c>
      <c r="Z26" s="87">
        <v>1</v>
      </c>
      <c r="AA26" s="87">
        <v>1</v>
      </c>
      <c r="AB26" s="87">
        <v>0</v>
      </c>
      <c r="AC26" s="87">
        <v>1</v>
      </c>
      <c r="AD26" s="87">
        <v>0</v>
      </c>
      <c r="AE26" s="88">
        <f>SUM(C26:O26)</f>
        <v>8</v>
      </c>
      <c r="AF26" s="97">
        <f t="shared" si="2"/>
        <v>66.666666666666657</v>
      </c>
      <c r="AG26" s="88">
        <f t="shared" si="3"/>
        <v>1</v>
      </c>
      <c r="AH26" s="88">
        <f t="shared" si="0"/>
        <v>13</v>
      </c>
      <c r="AI26" s="97">
        <f t="shared" si="4"/>
        <v>81.25</v>
      </c>
      <c r="AJ26" s="88">
        <f t="shared" si="5"/>
        <v>1</v>
      </c>
      <c r="AK26" s="98">
        <f t="shared" si="6"/>
        <v>20</v>
      </c>
      <c r="AL26" s="97">
        <f t="shared" si="7"/>
        <v>71.428571428571431</v>
      </c>
      <c r="AM26" s="88">
        <f t="shared" si="8"/>
        <v>1</v>
      </c>
    </row>
    <row r="27" spans="1:40" ht="19.5">
      <c r="A27" s="123" t="s">
        <v>414</v>
      </c>
      <c r="B27" s="123" t="s">
        <v>452</v>
      </c>
      <c r="C27" s="87">
        <v>1</v>
      </c>
      <c r="D27" s="87">
        <v>1</v>
      </c>
      <c r="E27" s="87">
        <v>1</v>
      </c>
      <c r="F27" s="87">
        <v>1</v>
      </c>
      <c r="G27" s="87">
        <v>1</v>
      </c>
      <c r="H27" s="87">
        <v>1</v>
      </c>
      <c r="I27" s="87">
        <v>1</v>
      </c>
      <c r="J27" s="87">
        <v>0</v>
      </c>
      <c r="K27" s="87">
        <v>1</v>
      </c>
      <c r="L27" s="87">
        <v>1</v>
      </c>
      <c r="M27" s="87">
        <v>1</v>
      </c>
      <c r="N27" s="87">
        <v>1</v>
      </c>
      <c r="O27" s="87">
        <v>1</v>
      </c>
      <c r="P27" s="87">
        <v>1</v>
      </c>
      <c r="Q27" s="87">
        <v>1</v>
      </c>
      <c r="R27" s="87">
        <v>1</v>
      </c>
      <c r="S27" s="87">
        <v>1</v>
      </c>
      <c r="T27" s="87">
        <v>1</v>
      </c>
      <c r="U27" s="87">
        <v>1</v>
      </c>
      <c r="V27" s="87">
        <v>0</v>
      </c>
      <c r="W27" s="87">
        <v>1</v>
      </c>
      <c r="X27" s="87">
        <v>0</v>
      </c>
      <c r="Y27" s="87">
        <v>0</v>
      </c>
      <c r="Z27" s="87">
        <v>0</v>
      </c>
      <c r="AA27" s="87">
        <v>1</v>
      </c>
      <c r="AB27" s="87">
        <v>0</v>
      </c>
      <c r="AC27" s="87">
        <v>0</v>
      </c>
      <c r="AD27" s="87">
        <v>0</v>
      </c>
      <c r="AE27" s="88">
        <f t="shared" si="1"/>
        <v>11</v>
      </c>
      <c r="AF27" s="97">
        <f t="shared" si="2"/>
        <v>91.666666666666657</v>
      </c>
      <c r="AG27" s="88">
        <f t="shared" si="3"/>
        <v>1</v>
      </c>
      <c r="AH27" s="88">
        <f t="shared" si="0"/>
        <v>9</v>
      </c>
      <c r="AI27" s="97">
        <f t="shared" si="4"/>
        <v>56.25</v>
      </c>
      <c r="AJ27" s="88">
        <f t="shared" si="5"/>
        <v>1</v>
      </c>
      <c r="AK27" s="98">
        <f t="shared" si="6"/>
        <v>20</v>
      </c>
      <c r="AL27" s="97">
        <f t="shared" si="7"/>
        <v>71.428571428571431</v>
      </c>
      <c r="AM27" s="88">
        <f t="shared" si="8"/>
        <v>1</v>
      </c>
    </row>
    <row r="28" spans="1:40" ht="19.5">
      <c r="A28" s="123" t="s">
        <v>414</v>
      </c>
      <c r="B28" s="123" t="s">
        <v>453</v>
      </c>
      <c r="C28" s="87">
        <v>0</v>
      </c>
      <c r="D28" s="87">
        <v>1</v>
      </c>
      <c r="E28" s="87">
        <v>0</v>
      </c>
      <c r="F28" s="87">
        <v>0</v>
      </c>
      <c r="G28" s="87">
        <v>1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0</v>
      </c>
      <c r="N28" s="87">
        <v>0</v>
      </c>
      <c r="O28" s="87">
        <v>0</v>
      </c>
      <c r="P28" s="87">
        <v>1</v>
      </c>
      <c r="Q28" s="87">
        <v>0</v>
      </c>
      <c r="R28" s="87">
        <v>0</v>
      </c>
      <c r="S28" s="87">
        <v>1</v>
      </c>
      <c r="T28" s="87">
        <v>1</v>
      </c>
      <c r="U28" s="87">
        <v>0</v>
      </c>
      <c r="V28" s="87">
        <v>0</v>
      </c>
      <c r="W28" s="87">
        <v>0</v>
      </c>
      <c r="X28" s="87">
        <v>0</v>
      </c>
      <c r="Y28" s="87">
        <v>0</v>
      </c>
      <c r="Z28" s="87">
        <v>0</v>
      </c>
      <c r="AA28" s="87">
        <v>1</v>
      </c>
      <c r="AB28" s="87">
        <v>1</v>
      </c>
      <c r="AC28" s="87">
        <v>0</v>
      </c>
      <c r="AD28" s="87">
        <v>0</v>
      </c>
      <c r="AE28" s="88">
        <f>SUM(C28:AD28)</f>
        <v>8</v>
      </c>
      <c r="AF28" s="97">
        <f t="shared" si="2"/>
        <v>66.666666666666657</v>
      </c>
      <c r="AG28" s="88">
        <f t="shared" si="3"/>
        <v>1</v>
      </c>
      <c r="AH28" s="88">
        <f t="shared" si="0"/>
        <v>5</v>
      </c>
      <c r="AI28" s="97">
        <f t="shared" si="4"/>
        <v>31.25</v>
      </c>
      <c r="AJ28" s="88">
        <f t="shared" si="5"/>
        <v>0</v>
      </c>
      <c r="AK28" s="98">
        <f t="shared" si="6"/>
        <v>8</v>
      </c>
      <c r="AL28" s="97">
        <f t="shared" si="7"/>
        <v>28.571428571428569</v>
      </c>
      <c r="AM28" s="88">
        <f t="shared" si="8"/>
        <v>0</v>
      </c>
    </row>
    <row r="29" spans="1:40" ht="19.5">
      <c r="A29" s="123" t="s">
        <v>414</v>
      </c>
      <c r="B29" s="123" t="s">
        <v>448</v>
      </c>
      <c r="C29" s="87">
        <v>1</v>
      </c>
      <c r="D29" s="87">
        <v>1</v>
      </c>
      <c r="E29" s="87">
        <v>1</v>
      </c>
      <c r="F29" s="87">
        <v>1</v>
      </c>
      <c r="G29" s="87">
        <v>1</v>
      </c>
      <c r="H29" s="87">
        <v>1</v>
      </c>
      <c r="I29" s="87">
        <v>1</v>
      </c>
      <c r="J29" s="87">
        <v>1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  <c r="P29" s="87">
        <v>1</v>
      </c>
      <c r="Q29" s="87">
        <v>1</v>
      </c>
      <c r="R29" s="87">
        <v>1</v>
      </c>
      <c r="S29" s="87">
        <v>1</v>
      </c>
      <c r="T29" s="87">
        <v>1</v>
      </c>
      <c r="U29" s="87">
        <v>1</v>
      </c>
      <c r="V29" s="87">
        <v>1</v>
      </c>
      <c r="W29" s="87">
        <v>1</v>
      </c>
      <c r="X29" s="87">
        <v>1</v>
      </c>
      <c r="Y29" s="87">
        <v>1</v>
      </c>
      <c r="Z29" s="87">
        <v>1</v>
      </c>
      <c r="AA29" s="87">
        <v>1</v>
      </c>
      <c r="AB29" s="87">
        <v>1</v>
      </c>
      <c r="AC29" s="87">
        <v>0</v>
      </c>
      <c r="AD29" s="87">
        <v>1</v>
      </c>
      <c r="AE29" s="88">
        <f t="shared" si="1"/>
        <v>11</v>
      </c>
      <c r="AF29" s="97">
        <f t="shared" si="2"/>
        <v>91.666666666666657</v>
      </c>
      <c r="AG29" s="88">
        <f t="shared" si="3"/>
        <v>1</v>
      </c>
      <c r="AH29" s="88">
        <f t="shared" si="0"/>
        <v>15</v>
      </c>
      <c r="AI29" s="97">
        <f t="shared" si="4"/>
        <v>93.75</v>
      </c>
      <c r="AJ29" s="88">
        <f t="shared" si="5"/>
        <v>1</v>
      </c>
      <c r="AK29" s="98">
        <f t="shared" si="6"/>
        <v>26</v>
      </c>
      <c r="AL29" s="97">
        <f t="shared" si="7"/>
        <v>92.857142857142861</v>
      </c>
      <c r="AM29" s="88">
        <f t="shared" si="8"/>
        <v>1</v>
      </c>
    </row>
    <row r="30" spans="1:40" ht="19.5">
      <c r="A30" s="123" t="s">
        <v>414</v>
      </c>
      <c r="B30" s="123" t="s">
        <v>454</v>
      </c>
      <c r="C30" s="87">
        <v>1</v>
      </c>
      <c r="D30" s="87">
        <v>1</v>
      </c>
      <c r="E30" s="87">
        <v>1</v>
      </c>
      <c r="F30" s="87">
        <v>1</v>
      </c>
      <c r="G30" s="87">
        <v>1</v>
      </c>
      <c r="H30" s="87">
        <v>1</v>
      </c>
      <c r="I30" s="87">
        <v>1</v>
      </c>
      <c r="J30" s="87">
        <v>1</v>
      </c>
      <c r="K30" s="87">
        <v>1</v>
      </c>
      <c r="L30" s="87">
        <v>1</v>
      </c>
      <c r="M30" s="87">
        <v>1</v>
      </c>
      <c r="N30" s="87">
        <v>1</v>
      </c>
      <c r="O30" s="87">
        <v>1</v>
      </c>
      <c r="P30" s="87">
        <v>1</v>
      </c>
      <c r="Q30" s="87">
        <v>1</v>
      </c>
      <c r="R30" s="87">
        <v>1</v>
      </c>
      <c r="S30" s="87">
        <v>1</v>
      </c>
      <c r="T30" s="87">
        <v>1</v>
      </c>
      <c r="U30" s="87">
        <v>1</v>
      </c>
      <c r="V30" s="87">
        <v>1</v>
      </c>
      <c r="W30" s="87">
        <v>1</v>
      </c>
      <c r="X30" s="87">
        <v>0</v>
      </c>
      <c r="Y30" s="87">
        <v>0</v>
      </c>
      <c r="Z30" s="87">
        <v>1</v>
      </c>
      <c r="AA30" s="87">
        <v>1</v>
      </c>
      <c r="AB30" s="87">
        <v>1</v>
      </c>
      <c r="AC30" s="87">
        <v>1</v>
      </c>
      <c r="AD30" s="87">
        <v>1</v>
      </c>
      <c r="AE30" s="88">
        <f t="shared" si="1"/>
        <v>12</v>
      </c>
      <c r="AF30" s="97">
        <f t="shared" si="2"/>
        <v>100</v>
      </c>
      <c r="AG30" s="88">
        <f t="shared" si="3"/>
        <v>1</v>
      </c>
      <c r="AH30" s="88">
        <f t="shared" si="0"/>
        <v>14</v>
      </c>
      <c r="AI30" s="97">
        <f t="shared" si="4"/>
        <v>87.5</v>
      </c>
      <c r="AJ30" s="88">
        <f t="shared" si="5"/>
        <v>1</v>
      </c>
      <c r="AK30" s="98">
        <f t="shared" si="6"/>
        <v>26</v>
      </c>
      <c r="AL30" s="97">
        <f t="shared" si="7"/>
        <v>92.857142857142861</v>
      </c>
      <c r="AM30" s="88">
        <f t="shared" si="8"/>
        <v>1</v>
      </c>
    </row>
    <row r="31" spans="1:40" ht="19.5">
      <c r="A31" s="123" t="s">
        <v>414</v>
      </c>
      <c r="B31" s="123" t="s">
        <v>455</v>
      </c>
      <c r="C31" s="87">
        <v>1</v>
      </c>
      <c r="D31" s="87">
        <v>1</v>
      </c>
      <c r="E31" s="87">
        <v>1</v>
      </c>
      <c r="F31" s="87">
        <v>1</v>
      </c>
      <c r="G31" s="87">
        <v>1</v>
      </c>
      <c r="H31" s="87">
        <v>1</v>
      </c>
      <c r="I31" s="87">
        <v>1</v>
      </c>
      <c r="J31" s="87">
        <v>0</v>
      </c>
      <c r="K31" s="87">
        <v>0</v>
      </c>
      <c r="L31" s="87">
        <v>1</v>
      </c>
      <c r="M31" s="87">
        <v>0</v>
      </c>
      <c r="N31" s="87">
        <v>1</v>
      </c>
      <c r="O31" s="87">
        <v>1</v>
      </c>
      <c r="P31" s="87">
        <v>1</v>
      </c>
      <c r="Q31" s="87">
        <v>1</v>
      </c>
      <c r="R31" s="87">
        <v>0</v>
      </c>
      <c r="S31" s="87">
        <v>0</v>
      </c>
      <c r="T31" s="87">
        <v>1</v>
      </c>
      <c r="U31" s="87">
        <v>1</v>
      </c>
      <c r="V31" s="87">
        <v>0</v>
      </c>
      <c r="W31" s="87">
        <v>1</v>
      </c>
      <c r="X31" s="87">
        <v>0</v>
      </c>
      <c r="Y31" s="87">
        <v>1</v>
      </c>
      <c r="Z31" s="87">
        <v>0</v>
      </c>
      <c r="AA31" s="87">
        <v>0</v>
      </c>
      <c r="AB31" s="87">
        <v>1</v>
      </c>
      <c r="AC31" s="87">
        <v>0</v>
      </c>
      <c r="AD31" s="87">
        <v>0</v>
      </c>
      <c r="AE31" s="88">
        <f>SUM(C31:AD31)</f>
        <v>17</v>
      </c>
      <c r="AF31" s="97">
        <f t="shared" si="2"/>
        <v>141.66666666666669</v>
      </c>
      <c r="AG31" s="88">
        <f t="shared" si="3"/>
        <v>1</v>
      </c>
      <c r="AH31" s="88">
        <f t="shared" si="0"/>
        <v>8</v>
      </c>
      <c r="AI31" s="97">
        <f t="shared" si="4"/>
        <v>50</v>
      </c>
      <c r="AJ31" s="88">
        <f t="shared" si="5"/>
        <v>1</v>
      </c>
      <c r="AK31" s="98">
        <f t="shared" si="6"/>
        <v>17</v>
      </c>
      <c r="AL31" s="97">
        <f t="shared" si="7"/>
        <v>60.714285714285708</v>
      </c>
      <c r="AM31" s="88">
        <f t="shared" si="8"/>
        <v>1</v>
      </c>
    </row>
    <row r="32" spans="1:40" ht="19.5">
      <c r="A32" s="123" t="s">
        <v>414</v>
      </c>
      <c r="B32" s="123" t="s">
        <v>456</v>
      </c>
      <c r="C32" s="87">
        <v>0</v>
      </c>
      <c r="D32" s="87">
        <v>0</v>
      </c>
      <c r="E32" s="87">
        <v>0</v>
      </c>
      <c r="F32" s="87">
        <v>0</v>
      </c>
      <c r="G32" s="87">
        <v>1</v>
      </c>
      <c r="H32" s="87">
        <v>0</v>
      </c>
      <c r="I32" s="87">
        <v>0</v>
      </c>
      <c r="J32" s="87">
        <v>0</v>
      </c>
      <c r="K32" s="87">
        <v>0</v>
      </c>
      <c r="L32" s="87">
        <v>1</v>
      </c>
      <c r="M32" s="87">
        <v>0</v>
      </c>
      <c r="N32" s="87">
        <v>0</v>
      </c>
      <c r="O32" s="87">
        <v>1</v>
      </c>
      <c r="P32" s="87">
        <v>0</v>
      </c>
      <c r="Q32" s="87">
        <v>1</v>
      </c>
      <c r="R32" s="87">
        <v>0</v>
      </c>
      <c r="S32" s="87">
        <v>1</v>
      </c>
      <c r="T32" s="87">
        <v>1</v>
      </c>
      <c r="U32" s="87">
        <v>1</v>
      </c>
      <c r="V32" s="87">
        <v>0</v>
      </c>
      <c r="W32" s="87">
        <v>0</v>
      </c>
      <c r="X32" s="87">
        <v>0</v>
      </c>
      <c r="Y32" s="87">
        <v>1</v>
      </c>
      <c r="Z32" s="87">
        <v>0</v>
      </c>
      <c r="AA32" s="87">
        <v>0</v>
      </c>
      <c r="AB32" s="87">
        <v>1</v>
      </c>
      <c r="AC32" s="87">
        <v>0</v>
      </c>
      <c r="AD32" s="87">
        <v>0</v>
      </c>
      <c r="AE32" s="88">
        <f>SUM(C32:AD32)</f>
        <v>9</v>
      </c>
      <c r="AF32" s="97">
        <f t="shared" si="2"/>
        <v>75</v>
      </c>
      <c r="AG32" s="88">
        <f t="shared" si="3"/>
        <v>1</v>
      </c>
      <c r="AH32" s="88">
        <f t="shared" si="0"/>
        <v>7</v>
      </c>
      <c r="AI32" s="97">
        <f t="shared" si="4"/>
        <v>43.75</v>
      </c>
      <c r="AJ32" s="88">
        <f t="shared" si="5"/>
        <v>0</v>
      </c>
      <c r="AK32" s="98">
        <f t="shared" si="6"/>
        <v>9</v>
      </c>
      <c r="AL32" s="97">
        <f t="shared" si="7"/>
        <v>32.142857142857146</v>
      </c>
      <c r="AM32" s="88">
        <f t="shared" si="8"/>
        <v>0</v>
      </c>
    </row>
    <row r="33" spans="1:39" ht="19.5">
      <c r="A33" s="123" t="s">
        <v>414</v>
      </c>
      <c r="B33" s="123" t="s">
        <v>457</v>
      </c>
      <c r="C33" s="87">
        <v>1</v>
      </c>
      <c r="D33" s="87">
        <v>1</v>
      </c>
      <c r="E33" s="87">
        <v>1</v>
      </c>
      <c r="F33" s="87">
        <v>0</v>
      </c>
      <c r="G33" s="87">
        <v>1</v>
      </c>
      <c r="H33" s="87">
        <v>0</v>
      </c>
      <c r="I33" s="87">
        <v>0</v>
      </c>
      <c r="J33" s="87">
        <v>0</v>
      </c>
      <c r="K33" s="87">
        <v>0</v>
      </c>
      <c r="L33" s="87">
        <v>1</v>
      </c>
      <c r="M33" s="87">
        <v>1</v>
      </c>
      <c r="N33" s="87">
        <v>0</v>
      </c>
      <c r="O33" s="87">
        <v>1</v>
      </c>
      <c r="P33" s="87">
        <v>0</v>
      </c>
      <c r="Q33" s="87">
        <v>1</v>
      </c>
      <c r="R33" s="87">
        <v>0</v>
      </c>
      <c r="S33" s="87">
        <v>1</v>
      </c>
      <c r="T33" s="87">
        <v>1</v>
      </c>
      <c r="U33" s="87">
        <v>0</v>
      </c>
      <c r="V33" s="87">
        <v>1</v>
      </c>
      <c r="W33" s="87">
        <v>1</v>
      </c>
      <c r="X33" s="87">
        <v>0</v>
      </c>
      <c r="Y33" s="87">
        <v>1</v>
      </c>
      <c r="Z33" s="87">
        <v>0</v>
      </c>
      <c r="AA33" s="87">
        <v>1</v>
      </c>
      <c r="AB33" s="87">
        <v>1</v>
      </c>
      <c r="AC33" s="87">
        <v>1</v>
      </c>
      <c r="AD33" s="87">
        <v>0</v>
      </c>
      <c r="AE33" s="88">
        <f>SUM(C33:AD33)</f>
        <v>16</v>
      </c>
      <c r="AF33" s="97">
        <f t="shared" si="2"/>
        <v>133.33333333333331</v>
      </c>
      <c r="AG33" s="88">
        <f t="shared" si="3"/>
        <v>1</v>
      </c>
      <c r="AH33" s="88">
        <f t="shared" si="0"/>
        <v>10</v>
      </c>
      <c r="AI33" s="97">
        <f t="shared" si="4"/>
        <v>62.5</v>
      </c>
      <c r="AJ33" s="88">
        <f t="shared" si="5"/>
        <v>1</v>
      </c>
      <c r="AK33" s="98">
        <f t="shared" si="6"/>
        <v>16</v>
      </c>
      <c r="AL33" s="97">
        <f t="shared" si="7"/>
        <v>57.142857142857139</v>
      </c>
      <c r="AM33" s="88">
        <f t="shared" si="8"/>
        <v>1</v>
      </c>
    </row>
    <row r="34" spans="1:39" ht="19.5">
      <c r="A34" s="123" t="s">
        <v>414</v>
      </c>
      <c r="B34" s="123" t="s">
        <v>458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0</v>
      </c>
      <c r="K34" s="87">
        <v>0</v>
      </c>
      <c r="L34" s="87">
        <v>1</v>
      </c>
      <c r="M34" s="87">
        <v>1</v>
      </c>
      <c r="N34" s="87">
        <v>1</v>
      </c>
      <c r="O34" s="87">
        <v>1</v>
      </c>
      <c r="P34" s="87">
        <v>1</v>
      </c>
      <c r="Q34" s="87">
        <v>0</v>
      </c>
      <c r="R34" s="87">
        <v>1</v>
      </c>
      <c r="S34" s="87">
        <v>1</v>
      </c>
      <c r="T34" s="87">
        <v>1</v>
      </c>
      <c r="U34" s="87">
        <v>1</v>
      </c>
      <c r="V34" s="87">
        <v>1</v>
      </c>
      <c r="W34" s="87">
        <v>1</v>
      </c>
      <c r="X34" s="87">
        <v>0</v>
      </c>
      <c r="Y34" s="87">
        <v>0</v>
      </c>
      <c r="Z34" s="87">
        <v>0</v>
      </c>
      <c r="AA34" s="87">
        <v>0</v>
      </c>
      <c r="AB34" s="87">
        <v>1</v>
      </c>
      <c r="AC34" s="87">
        <v>0</v>
      </c>
      <c r="AD34" s="87">
        <v>0</v>
      </c>
      <c r="AE34" s="88">
        <f>SUM(C34:AD34)</f>
        <v>19</v>
      </c>
      <c r="AF34" s="97">
        <f t="shared" si="2"/>
        <v>158.33333333333331</v>
      </c>
      <c r="AG34" s="88">
        <f t="shared" si="3"/>
        <v>1</v>
      </c>
      <c r="AH34" s="88">
        <f t="shared" si="0"/>
        <v>9</v>
      </c>
      <c r="AI34" s="97">
        <f t="shared" si="4"/>
        <v>56.25</v>
      </c>
      <c r="AJ34" s="88">
        <f t="shared" si="5"/>
        <v>1</v>
      </c>
      <c r="AK34" s="98">
        <f t="shared" si="6"/>
        <v>19</v>
      </c>
      <c r="AL34" s="97">
        <f t="shared" si="7"/>
        <v>67.857142857142861</v>
      </c>
      <c r="AM34" s="88">
        <f t="shared" si="8"/>
        <v>1</v>
      </c>
    </row>
    <row r="35" spans="1:39" ht="19.5">
      <c r="A35" s="123" t="s">
        <v>414</v>
      </c>
      <c r="B35" s="123" t="s">
        <v>459</v>
      </c>
      <c r="C35" s="87">
        <v>1</v>
      </c>
      <c r="D35" s="87">
        <v>1</v>
      </c>
      <c r="E35" s="87">
        <v>0</v>
      </c>
      <c r="F35" s="87">
        <v>0</v>
      </c>
      <c r="G35" s="87">
        <v>0</v>
      </c>
      <c r="H35" s="87">
        <v>0</v>
      </c>
      <c r="I35" s="87">
        <v>0</v>
      </c>
      <c r="J35" s="87">
        <v>0</v>
      </c>
      <c r="K35" s="87">
        <v>0</v>
      </c>
      <c r="L35" s="87">
        <v>0</v>
      </c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87">
        <v>0</v>
      </c>
      <c r="T35" s="87">
        <v>0</v>
      </c>
      <c r="U35" s="87">
        <v>0</v>
      </c>
      <c r="V35" s="87">
        <v>0</v>
      </c>
      <c r="W35" s="87">
        <v>0</v>
      </c>
      <c r="X35" s="87">
        <v>0</v>
      </c>
      <c r="Y35" s="87">
        <v>0</v>
      </c>
      <c r="Z35" s="87">
        <v>0</v>
      </c>
      <c r="AA35" s="87">
        <v>1</v>
      </c>
      <c r="AB35" s="87">
        <v>0</v>
      </c>
      <c r="AC35" s="87">
        <v>0</v>
      </c>
      <c r="AD35" s="87">
        <v>0</v>
      </c>
      <c r="AE35" s="88">
        <f t="shared" si="1"/>
        <v>2</v>
      </c>
      <c r="AF35" s="97">
        <f t="shared" si="2"/>
        <v>16.666666666666664</v>
      </c>
      <c r="AG35" s="88">
        <f t="shared" si="3"/>
        <v>0</v>
      </c>
      <c r="AH35" s="88">
        <f t="shared" si="0"/>
        <v>1</v>
      </c>
      <c r="AI35" s="97">
        <f t="shared" si="4"/>
        <v>6.25</v>
      </c>
      <c r="AJ35" s="88">
        <f t="shared" si="5"/>
        <v>0</v>
      </c>
      <c r="AK35" s="98">
        <f t="shared" si="6"/>
        <v>3</v>
      </c>
      <c r="AL35" s="97">
        <f t="shared" si="7"/>
        <v>10.714285714285714</v>
      </c>
      <c r="AM35" s="88">
        <f t="shared" si="8"/>
        <v>0</v>
      </c>
    </row>
    <row r="36" spans="1:39" ht="19.5">
      <c r="A36" s="123" t="s">
        <v>414</v>
      </c>
      <c r="B36" s="123" t="s">
        <v>460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  <c r="P36" s="87">
        <v>1</v>
      </c>
      <c r="Q36" s="87">
        <v>1</v>
      </c>
      <c r="R36" s="87">
        <v>1</v>
      </c>
      <c r="S36" s="87">
        <v>1</v>
      </c>
      <c r="T36" s="87">
        <v>1</v>
      </c>
      <c r="U36" s="87">
        <v>1</v>
      </c>
      <c r="V36" s="87">
        <v>0</v>
      </c>
      <c r="W36" s="87">
        <v>1</v>
      </c>
      <c r="X36" s="87">
        <v>1</v>
      </c>
      <c r="Y36" s="87">
        <v>1</v>
      </c>
      <c r="Z36" s="87">
        <v>1</v>
      </c>
      <c r="AA36" s="87">
        <v>1</v>
      </c>
      <c r="AB36" s="87">
        <v>1</v>
      </c>
      <c r="AC36" s="87">
        <v>1</v>
      </c>
      <c r="AD36" s="87">
        <v>1</v>
      </c>
      <c r="AE36" s="88">
        <f t="shared" si="1"/>
        <v>12</v>
      </c>
      <c r="AF36" s="97">
        <f t="shared" si="2"/>
        <v>100</v>
      </c>
      <c r="AG36" s="88">
        <f t="shared" si="3"/>
        <v>1</v>
      </c>
      <c r="AH36" s="88">
        <f t="shared" si="0"/>
        <v>15</v>
      </c>
      <c r="AI36" s="97">
        <f t="shared" si="4"/>
        <v>93.75</v>
      </c>
      <c r="AJ36" s="88">
        <f t="shared" si="5"/>
        <v>1</v>
      </c>
      <c r="AK36" s="98">
        <f t="shared" si="6"/>
        <v>27</v>
      </c>
      <c r="AL36" s="97">
        <f t="shared" si="7"/>
        <v>96.428571428571431</v>
      </c>
      <c r="AM36" s="88">
        <f t="shared" si="8"/>
        <v>1</v>
      </c>
    </row>
    <row r="37" spans="1:39" ht="19.5">
      <c r="A37" s="123" t="s">
        <v>414</v>
      </c>
      <c r="B37" s="123" t="s">
        <v>461</v>
      </c>
      <c r="C37" s="87">
        <v>1</v>
      </c>
      <c r="D37" s="87">
        <v>1</v>
      </c>
      <c r="E37" s="87">
        <v>1</v>
      </c>
      <c r="F37" s="87">
        <v>0</v>
      </c>
      <c r="G37" s="87">
        <v>1</v>
      </c>
      <c r="H37" s="87">
        <v>1</v>
      </c>
      <c r="I37" s="87">
        <v>1</v>
      </c>
      <c r="J37" s="87">
        <v>0</v>
      </c>
      <c r="K37" s="87">
        <v>0</v>
      </c>
      <c r="L37" s="87">
        <v>1</v>
      </c>
      <c r="M37" s="87">
        <v>1</v>
      </c>
      <c r="N37" s="87">
        <v>1</v>
      </c>
      <c r="O37" s="87">
        <v>1</v>
      </c>
      <c r="P37" s="87">
        <v>1</v>
      </c>
      <c r="Q37" s="87">
        <v>1</v>
      </c>
      <c r="R37" s="87">
        <v>0</v>
      </c>
      <c r="S37" s="87">
        <v>1</v>
      </c>
      <c r="T37" s="87">
        <v>1</v>
      </c>
      <c r="U37" s="87">
        <v>1</v>
      </c>
      <c r="V37" s="87">
        <v>1</v>
      </c>
      <c r="W37" s="87">
        <v>1</v>
      </c>
      <c r="X37" s="87">
        <v>1</v>
      </c>
      <c r="Y37" s="87">
        <v>1</v>
      </c>
      <c r="Z37" s="87">
        <v>0</v>
      </c>
      <c r="AA37" s="87">
        <v>1</v>
      </c>
      <c r="AB37" s="87">
        <v>1</v>
      </c>
      <c r="AC37" s="87">
        <v>1</v>
      </c>
      <c r="AD37" s="87">
        <v>0</v>
      </c>
      <c r="AE37" s="88">
        <f>SUM(C37:AD37)</f>
        <v>22</v>
      </c>
      <c r="AF37" s="97">
        <f t="shared" si="2"/>
        <v>183.33333333333331</v>
      </c>
      <c r="AG37" s="88">
        <f t="shared" si="3"/>
        <v>1</v>
      </c>
      <c r="AH37" s="88">
        <f t="shared" si="0"/>
        <v>13</v>
      </c>
      <c r="AI37" s="97">
        <f t="shared" si="4"/>
        <v>81.25</v>
      </c>
      <c r="AJ37" s="88">
        <f t="shared" si="5"/>
        <v>1</v>
      </c>
      <c r="AK37" s="98">
        <f t="shared" si="6"/>
        <v>22</v>
      </c>
      <c r="AL37" s="97">
        <f t="shared" si="7"/>
        <v>78.571428571428569</v>
      </c>
      <c r="AM37" s="88">
        <f t="shared" si="8"/>
        <v>1</v>
      </c>
    </row>
    <row r="38" spans="1:39" ht="19.5">
      <c r="A38" s="123" t="s">
        <v>414</v>
      </c>
      <c r="B38" s="123" t="s">
        <v>462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0</v>
      </c>
      <c r="K38" s="87">
        <v>0</v>
      </c>
      <c r="L38" s="87">
        <v>0</v>
      </c>
      <c r="M38" s="87">
        <v>1</v>
      </c>
      <c r="N38" s="87">
        <v>0</v>
      </c>
      <c r="O38" s="87">
        <v>1</v>
      </c>
      <c r="P38" s="87">
        <v>1</v>
      </c>
      <c r="Q38" s="87">
        <v>0</v>
      </c>
      <c r="R38" s="87">
        <v>0</v>
      </c>
      <c r="S38" s="87">
        <v>1</v>
      </c>
      <c r="T38" s="87">
        <v>1</v>
      </c>
      <c r="U38" s="87">
        <v>0</v>
      </c>
      <c r="V38" s="87">
        <v>0</v>
      </c>
      <c r="W38" s="87">
        <v>1</v>
      </c>
      <c r="X38" s="87">
        <v>0</v>
      </c>
      <c r="Y38" s="87">
        <v>0</v>
      </c>
      <c r="Z38" s="87">
        <v>0</v>
      </c>
      <c r="AA38" s="87">
        <v>1</v>
      </c>
      <c r="AB38" s="87">
        <v>0</v>
      </c>
      <c r="AC38" s="87">
        <v>0</v>
      </c>
      <c r="AD38" s="87">
        <v>0</v>
      </c>
      <c r="AE38" s="88">
        <f t="shared" si="1"/>
        <v>8</v>
      </c>
      <c r="AF38" s="97">
        <f t="shared" si="2"/>
        <v>66.666666666666657</v>
      </c>
      <c r="AG38" s="88">
        <f t="shared" si="3"/>
        <v>1</v>
      </c>
      <c r="AH38" s="88">
        <f t="shared" si="0"/>
        <v>6</v>
      </c>
      <c r="AI38" s="97">
        <f t="shared" si="4"/>
        <v>37.5</v>
      </c>
      <c r="AJ38" s="88">
        <f t="shared" si="5"/>
        <v>0</v>
      </c>
      <c r="AK38" s="98">
        <f t="shared" si="6"/>
        <v>14</v>
      </c>
      <c r="AL38" s="97">
        <f t="shared" si="7"/>
        <v>50</v>
      </c>
      <c r="AM38" s="88">
        <f t="shared" si="8"/>
        <v>1</v>
      </c>
    </row>
    <row r="39" spans="1:39" ht="19.5">
      <c r="A39" s="123" t="s">
        <v>414</v>
      </c>
      <c r="B39" s="123" t="s">
        <v>463</v>
      </c>
      <c r="C39" s="87">
        <v>0</v>
      </c>
      <c r="D39" s="87">
        <v>1</v>
      </c>
      <c r="E39" s="87">
        <v>1</v>
      </c>
      <c r="F39" s="87">
        <v>0</v>
      </c>
      <c r="G39" s="87">
        <v>1</v>
      </c>
      <c r="H39" s="87">
        <v>1</v>
      </c>
      <c r="I39" s="87">
        <v>0</v>
      </c>
      <c r="J39" s="87">
        <v>0</v>
      </c>
      <c r="K39" s="87">
        <v>0</v>
      </c>
      <c r="L39" s="87">
        <v>1</v>
      </c>
      <c r="M39" s="87">
        <v>0</v>
      </c>
      <c r="N39" s="87">
        <v>0</v>
      </c>
      <c r="O39" s="87">
        <v>1</v>
      </c>
      <c r="P39" s="87">
        <v>0</v>
      </c>
      <c r="Q39" s="87">
        <v>0</v>
      </c>
      <c r="R39" s="87">
        <v>0</v>
      </c>
      <c r="S39" s="87">
        <v>0</v>
      </c>
      <c r="T39" s="87">
        <v>0</v>
      </c>
      <c r="U39" s="87">
        <v>0</v>
      </c>
      <c r="V39" s="87">
        <v>0</v>
      </c>
      <c r="W39" s="87">
        <v>1</v>
      </c>
      <c r="X39" s="87">
        <v>0</v>
      </c>
      <c r="Y39" s="87">
        <v>0</v>
      </c>
      <c r="Z39" s="87">
        <v>0</v>
      </c>
      <c r="AA39" s="87">
        <v>1</v>
      </c>
      <c r="AB39" s="87">
        <v>1</v>
      </c>
      <c r="AC39" s="87">
        <v>0</v>
      </c>
      <c r="AD39" s="87">
        <v>0</v>
      </c>
      <c r="AE39" s="88">
        <f t="shared" si="1"/>
        <v>5</v>
      </c>
      <c r="AF39" s="97">
        <f t="shared" si="2"/>
        <v>41.666666666666671</v>
      </c>
      <c r="AG39" s="88">
        <f t="shared" si="3"/>
        <v>0</v>
      </c>
      <c r="AH39" s="88">
        <f t="shared" si="0"/>
        <v>4</v>
      </c>
      <c r="AI39" s="97">
        <f t="shared" si="4"/>
        <v>25</v>
      </c>
      <c r="AJ39" s="88">
        <f t="shared" si="5"/>
        <v>0</v>
      </c>
      <c r="AK39" s="98">
        <f t="shared" si="6"/>
        <v>9</v>
      </c>
      <c r="AL39" s="97">
        <f t="shared" si="7"/>
        <v>32.142857142857146</v>
      </c>
      <c r="AM39" s="88">
        <f t="shared" si="8"/>
        <v>0</v>
      </c>
    </row>
    <row r="40" spans="1:39" ht="19.5">
      <c r="A40" s="123" t="s">
        <v>414</v>
      </c>
      <c r="B40" s="123" t="s">
        <v>464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0</v>
      </c>
      <c r="K40" s="87">
        <v>0</v>
      </c>
      <c r="L40" s="87">
        <v>1</v>
      </c>
      <c r="M40" s="87">
        <v>0</v>
      </c>
      <c r="N40" s="87">
        <v>0</v>
      </c>
      <c r="O40" s="87">
        <v>1</v>
      </c>
      <c r="P40" s="87">
        <v>0</v>
      </c>
      <c r="Q40" s="87">
        <v>1</v>
      </c>
      <c r="R40" s="87">
        <v>1</v>
      </c>
      <c r="S40" s="87">
        <v>1</v>
      </c>
      <c r="T40" s="87">
        <v>0</v>
      </c>
      <c r="U40" s="87">
        <v>1</v>
      </c>
      <c r="V40" s="87">
        <v>0</v>
      </c>
      <c r="W40" s="87">
        <v>1</v>
      </c>
      <c r="X40" s="87">
        <v>0</v>
      </c>
      <c r="Y40" s="87">
        <v>1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8">
        <f t="shared" si="1"/>
        <v>8</v>
      </c>
      <c r="AF40" s="97">
        <f t="shared" si="2"/>
        <v>66.666666666666657</v>
      </c>
      <c r="AG40" s="88">
        <f t="shared" si="3"/>
        <v>1</v>
      </c>
      <c r="AH40" s="88">
        <f t="shared" si="0"/>
        <v>7</v>
      </c>
      <c r="AI40" s="97">
        <f t="shared" si="4"/>
        <v>43.75</v>
      </c>
      <c r="AJ40" s="88">
        <f t="shared" si="5"/>
        <v>0</v>
      </c>
      <c r="AK40" s="98">
        <f t="shared" si="6"/>
        <v>15</v>
      </c>
      <c r="AL40" s="97">
        <f t="shared" si="7"/>
        <v>53.571428571428569</v>
      </c>
      <c r="AM40" s="88">
        <f t="shared" si="8"/>
        <v>1</v>
      </c>
    </row>
    <row r="41" spans="1:39" ht="19.5">
      <c r="A41" s="123" t="s">
        <v>414</v>
      </c>
      <c r="B41" s="123" t="s">
        <v>465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0</v>
      </c>
      <c r="K41" s="87">
        <v>0</v>
      </c>
      <c r="L41" s="87">
        <v>1</v>
      </c>
      <c r="M41" s="87">
        <v>1</v>
      </c>
      <c r="N41" s="87">
        <v>1</v>
      </c>
      <c r="O41" s="87">
        <v>1</v>
      </c>
      <c r="P41" s="87">
        <v>0</v>
      </c>
      <c r="Q41" s="87">
        <v>1</v>
      </c>
      <c r="R41" s="87">
        <v>0</v>
      </c>
      <c r="S41" s="87">
        <v>1</v>
      </c>
      <c r="T41" s="87">
        <v>0</v>
      </c>
      <c r="U41" s="87">
        <v>0</v>
      </c>
      <c r="V41" s="87">
        <v>0</v>
      </c>
      <c r="W41" s="87">
        <v>1</v>
      </c>
      <c r="X41" s="87">
        <v>0</v>
      </c>
      <c r="Y41" s="87">
        <v>1</v>
      </c>
      <c r="Z41" s="87">
        <v>0</v>
      </c>
      <c r="AA41" s="87">
        <v>1</v>
      </c>
      <c r="AB41" s="87">
        <v>0</v>
      </c>
      <c r="AC41" s="87">
        <v>1</v>
      </c>
      <c r="AD41" s="87">
        <v>0</v>
      </c>
      <c r="AE41" s="88">
        <f t="shared" si="1"/>
        <v>10</v>
      </c>
      <c r="AF41" s="97">
        <f t="shared" si="2"/>
        <v>83.333333333333343</v>
      </c>
      <c r="AG41" s="88">
        <f t="shared" si="3"/>
        <v>1</v>
      </c>
      <c r="AH41" s="88">
        <f t="shared" si="0"/>
        <v>7</v>
      </c>
      <c r="AI41" s="97">
        <f t="shared" si="4"/>
        <v>43.75</v>
      </c>
      <c r="AJ41" s="88">
        <f t="shared" si="5"/>
        <v>0</v>
      </c>
      <c r="AK41" s="98">
        <f t="shared" si="6"/>
        <v>17</v>
      </c>
      <c r="AL41" s="97">
        <f t="shared" si="7"/>
        <v>60.714285714285708</v>
      </c>
      <c r="AM41" s="88">
        <f t="shared" si="8"/>
        <v>1</v>
      </c>
    </row>
    <row r="42" spans="1:39" ht="19.5">
      <c r="A42" s="123" t="s">
        <v>414</v>
      </c>
      <c r="B42" s="123" t="s">
        <v>466</v>
      </c>
      <c r="C42" s="87">
        <v>0</v>
      </c>
      <c r="D42" s="87">
        <v>1</v>
      </c>
      <c r="E42" s="87">
        <v>0</v>
      </c>
      <c r="F42" s="87">
        <v>0</v>
      </c>
      <c r="G42" s="87">
        <v>0</v>
      </c>
      <c r="H42" s="87">
        <v>0</v>
      </c>
      <c r="I42" s="87">
        <v>0</v>
      </c>
      <c r="J42" s="87">
        <v>0</v>
      </c>
      <c r="K42" s="87">
        <v>0</v>
      </c>
      <c r="L42" s="87">
        <v>0</v>
      </c>
      <c r="M42" s="87">
        <v>0</v>
      </c>
      <c r="N42" s="87">
        <v>0</v>
      </c>
      <c r="O42" s="87">
        <v>1</v>
      </c>
      <c r="P42" s="87">
        <v>1</v>
      </c>
      <c r="Q42" s="87">
        <v>0</v>
      </c>
      <c r="R42" s="87">
        <v>0</v>
      </c>
      <c r="S42" s="87">
        <v>1</v>
      </c>
      <c r="T42" s="87">
        <v>0</v>
      </c>
      <c r="U42" s="87">
        <v>0</v>
      </c>
      <c r="V42" s="87">
        <v>0</v>
      </c>
      <c r="W42" s="87">
        <v>1</v>
      </c>
      <c r="X42" s="87">
        <v>0</v>
      </c>
      <c r="Y42" s="87">
        <v>0</v>
      </c>
      <c r="Z42" s="87">
        <v>0</v>
      </c>
      <c r="AA42" s="87">
        <v>1</v>
      </c>
      <c r="AB42" s="87">
        <v>1</v>
      </c>
      <c r="AC42" s="87">
        <v>0</v>
      </c>
      <c r="AD42" s="87">
        <v>0</v>
      </c>
      <c r="AE42" s="88">
        <f t="shared" si="1"/>
        <v>1</v>
      </c>
      <c r="AF42" s="97">
        <f t="shared" si="2"/>
        <v>8.3333333333333321</v>
      </c>
      <c r="AG42" s="88">
        <f t="shared" si="3"/>
        <v>0</v>
      </c>
      <c r="AH42" s="88">
        <f t="shared" si="0"/>
        <v>6</v>
      </c>
      <c r="AI42" s="97">
        <f t="shared" si="4"/>
        <v>37.5</v>
      </c>
      <c r="AJ42" s="88">
        <f t="shared" si="5"/>
        <v>0</v>
      </c>
      <c r="AK42" s="98">
        <f t="shared" si="6"/>
        <v>7</v>
      </c>
      <c r="AL42" s="97">
        <f t="shared" si="7"/>
        <v>25</v>
      </c>
      <c r="AM42" s="88">
        <f t="shared" si="8"/>
        <v>0</v>
      </c>
    </row>
    <row r="43" spans="1:39" ht="19.5">
      <c r="A43" s="123" t="s">
        <v>414</v>
      </c>
      <c r="B43" s="123" t="s">
        <v>467</v>
      </c>
      <c r="C43" s="87">
        <v>1</v>
      </c>
      <c r="D43" s="87">
        <v>1</v>
      </c>
      <c r="E43" s="87">
        <v>0</v>
      </c>
      <c r="F43" s="87">
        <v>1</v>
      </c>
      <c r="G43" s="87">
        <v>1</v>
      </c>
      <c r="H43" s="87">
        <v>1</v>
      </c>
      <c r="I43" s="87">
        <v>0</v>
      </c>
      <c r="J43" s="87">
        <v>1</v>
      </c>
      <c r="K43" s="87">
        <v>0</v>
      </c>
      <c r="L43" s="87">
        <v>1</v>
      </c>
      <c r="M43" s="87">
        <v>1</v>
      </c>
      <c r="N43" s="87">
        <v>0</v>
      </c>
      <c r="O43" s="87">
        <v>1</v>
      </c>
      <c r="P43" s="87">
        <v>1</v>
      </c>
      <c r="Q43" s="87">
        <v>1</v>
      </c>
      <c r="R43" s="87">
        <v>0</v>
      </c>
      <c r="S43" s="87">
        <v>1</v>
      </c>
      <c r="T43" s="87">
        <v>1</v>
      </c>
      <c r="U43" s="87">
        <v>1</v>
      </c>
      <c r="V43" s="87">
        <v>1</v>
      </c>
      <c r="W43" s="87">
        <v>1</v>
      </c>
      <c r="X43" s="87">
        <v>0</v>
      </c>
      <c r="Y43" s="87">
        <v>1</v>
      </c>
      <c r="Z43" s="87">
        <v>1</v>
      </c>
      <c r="AA43" s="87">
        <v>1</v>
      </c>
      <c r="AB43" s="87">
        <v>0</v>
      </c>
      <c r="AC43" s="87">
        <v>1</v>
      </c>
      <c r="AD43" s="87">
        <v>0</v>
      </c>
      <c r="AE43" s="88">
        <f t="shared" si="1"/>
        <v>8</v>
      </c>
      <c r="AF43" s="97">
        <f t="shared" si="2"/>
        <v>66.666666666666657</v>
      </c>
      <c r="AG43" s="88">
        <f t="shared" si="3"/>
        <v>1</v>
      </c>
      <c r="AH43" s="88">
        <f t="shared" si="0"/>
        <v>12</v>
      </c>
      <c r="AI43" s="97">
        <f t="shared" si="4"/>
        <v>75</v>
      </c>
      <c r="AJ43" s="88">
        <f t="shared" si="5"/>
        <v>1</v>
      </c>
      <c r="AK43" s="98">
        <f t="shared" si="6"/>
        <v>20</v>
      </c>
      <c r="AL43" s="97">
        <f t="shared" si="7"/>
        <v>71.428571428571431</v>
      </c>
      <c r="AM43" s="88">
        <f t="shared" si="8"/>
        <v>1</v>
      </c>
    </row>
    <row r="44" spans="1:39" ht="19.5">
      <c r="A44" s="123" t="s">
        <v>415</v>
      </c>
      <c r="B44" s="123" t="s">
        <v>468</v>
      </c>
      <c r="C44" s="87">
        <v>1</v>
      </c>
      <c r="D44" s="87">
        <v>1</v>
      </c>
      <c r="E44" s="87">
        <v>1</v>
      </c>
      <c r="F44" s="87">
        <v>1</v>
      </c>
      <c r="G44" s="87">
        <v>0</v>
      </c>
      <c r="H44" s="87">
        <v>1</v>
      </c>
      <c r="I44" s="87">
        <v>0</v>
      </c>
      <c r="J44" s="87">
        <v>0</v>
      </c>
      <c r="K44" s="87">
        <v>0</v>
      </c>
      <c r="L44" s="87">
        <v>1</v>
      </c>
      <c r="M44" s="87">
        <v>1</v>
      </c>
      <c r="N44" s="87">
        <v>0</v>
      </c>
      <c r="O44" s="87">
        <v>1</v>
      </c>
      <c r="P44" s="87">
        <v>1</v>
      </c>
      <c r="Q44" s="87">
        <v>0</v>
      </c>
      <c r="R44" s="87">
        <v>1</v>
      </c>
      <c r="S44" s="87">
        <v>1</v>
      </c>
      <c r="T44" s="87">
        <v>1</v>
      </c>
      <c r="U44" s="87">
        <v>1</v>
      </c>
      <c r="V44" s="87">
        <v>0</v>
      </c>
      <c r="W44" s="87">
        <v>0</v>
      </c>
      <c r="X44" s="87">
        <v>1</v>
      </c>
      <c r="Y44" s="87">
        <v>0</v>
      </c>
      <c r="Z44" s="87">
        <v>0</v>
      </c>
      <c r="AA44" s="87">
        <v>1</v>
      </c>
      <c r="AB44" s="87">
        <v>1</v>
      </c>
      <c r="AC44" s="87">
        <v>1</v>
      </c>
      <c r="AD44" s="87">
        <v>0</v>
      </c>
      <c r="AE44" s="88">
        <f t="shared" si="1"/>
        <v>7</v>
      </c>
      <c r="AF44" s="97">
        <f t="shared" si="2"/>
        <v>58.333333333333336</v>
      </c>
      <c r="AG44" s="88">
        <f t="shared" si="3"/>
        <v>1</v>
      </c>
      <c r="AH44" s="88">
        <f t="shared" si="0"/>
        <v>10</v>
      </c>
      <c r="AI44" s="97">
        <f t="shared" si="4"/>
        <v>62.5</v>
      </c>
      <c r="AJ44" s="88">
        <f t="shared" si="5"/>
        <v>1</v>
      </c>
      <c r="AK44" s="98">
        <f t="shared" si="6"/>
        <v>17</v>
      </c>
      <c r="AL44" s="97">
        <f t="shared" si="7"/>
        <v>60.714285714285708</v>
      </c>
      <c r="AM44" s="88">
        <f t="shared" si="8"/>
        <v>1</v>
      </c>
    </row>
    <row r="45" spans="1:39" ht="19.5">
      <c r="A45" s="123" t="s">
        <v>415</v>
      </c>
      <c r="B45" s="123" t="s">
        <v>469</v>
      </c>
      <c r="C45" s="87">
        <v>1</v>
      </c>
      <c r="D45" s="87">
        <v>1</v>
      </c>
      <c r="E45" s="87">
        <v>1</v>
      </c>
      <c r="F45" s="87">
        <v>0</v>
      </c>
      <c r="G45" s="87">
        <v>0</v>
      </c>
      <c r="H45" s="87">
        <v>0</v>
      </c>
      <c r="I45" s="87">
        <v>0</v>
      </c>
      <c r="J45" s="87">
        <v>0</v>
      </c>
      <c r="K45" s="87">
        <v>0</v>
      </c>
      <c r="L45" s="87">
        <v>1</v>
      </c>
      <c r="M45" s="87">
        <v>0</v>
      </c>
      <c r="N45" s="87">
        <v>0</v>
      </c>
      <c r="O45" s="87">
        <v>1</v>
      </c>
      <c r="P45" s="87">
        <v>0</v>
      </c>
      <c r="Q45" s="87">
        <v>0</v>
      </c>
      <c r="R45" s="87">
        <v>0</v>
      </c>
      <c r="S45" s="87">
        <v>1</v>
      </c>
      <c r="T45" s="87">
        <v>0</v>
      </c>
      <c r="U45" s="87">
        <v>0</v>
      </c>
      <c r="V45" s="87">
        <v>0</v>
      </c>
      <c r="W45" s="87"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8">
        <f t="shared" si="1"/>
        <v>4</v>
      </c>
      <c r="AF45" s="97">
        <f t="shared" si="2"/>
        <v>33.333333333333329</v>
      </c>
      <c r="AG45" s="88">
        <f t="shared" si="3"/>
        <v>0</v>
      </c>
      <c r="AH45" s="88">
        <f t="shared" si="0"/>
        <v>3</v>
      </c>
      <c r="AI45" s="97">
        <f t="shared" si="4"/>
        <v>18.75</v>
      </c>
      <c r="AJ45" s="88">
        <f t="shared" si="5"/>
        <v>0</v>
      </c>
      <c r="AK45" s="98">
        <f t="shared" si="6"/>
        <v>7</v>
      </c>
      <c r="AL45" s="97">
        <f t="shared" si="7"/>
        <v>25</v>
      </c>
      <c r="AM45" s="88">
        <f t="shared" si="8"/>
        <v>0</v>
      </c>
    </row>
    <row r="46" spans="1:39" ht="19.5">
      <c r="A46" s="123" t="s">
        <v>415</v>
      </c>
      <c r="B46" s="123" t="s">
        <v>470</v>
      </c>
      <c r="C46" s="87">
        <v>1</v>
      </c>
      <c r="D46" s="87">
        <v>1</v>
      </c>
      <c r="E46" s="87">
        <v>1</v>
      </c>
      <c r="F46" s="87">
        <v>1</v>
      </c>
      <c r="G46" s="87">
        <v>1</v>
      </c>
      <c r="H46" s="87">
        <v>1</v>
      </c>
      <c r="I46" s="87">
        <v>1</v>
      </c>
      <c r="J46" s="87">
        <v>1</v>
      </c>
      <c r="K46" s="87">
        <v>1</v>
      </c>
      <c r="L46" s="87">
        <v>1</v>
      </c>
      <c r="M46" s="87">
        <v>1</v>
      </c>
      <c r="N46" s="87">
        <v>1</v>
      </c>
      <c r="O46" s="87">
        <v>1</v>
      </c>
      <c r="P46" s="87">
        <v>1</v>
      </c>
      <c r="Q46" s="87">
        <v>1</v>
      </c>
      <c r="R46" s="87">
        <v>1</v>
      </c>
      <c r="S46" s="87">
        <v>1</v>
      </c>
      <c r="T46" s="87">
        <v>1</v>
      </c>
      <c r="U46" s="87">
        <v>1</v>
      </c>
      <c r="V46" s="87">
        <v>1</v>
      </c>
      <c r="W46" s="87">
        <v>1</v>
      </c>
      <c r="X46" s="87">
        <v>1</v>
      </c>
      <c r="Y46" s="87">
        <v>1</v>
      </c>
      <c r="Z46" s="87">
        <v>1</v>
      </c>
      <c r="AA46" s="87">
        <v>1</v>
      </c>
      <c r="AB46" s="87">
        <v>1</v>
      </c>
      <c r="AC46" s="87">
        <v>1</v>
      </c>
      <c r="AD46" s="87">
        <v>1</v>
      </c>
      <c r="AE46" s="88">
        <f t="shared" si="1"/>
        <v>12</v>
      </c>
      <c r="AF46" s="97">
        <f t="shared" si="2"/>
        <v>100</v>
      </c>
      <c r="AG46" s="88">
        <f t="shared" si="3"/>
        <v>1</v>
      </c>
      <c r="AH46" s="88">
        <f t="shared" si="0"/>
        <v>16</v>
      </c>
      <c r="AI46" s="97">
        <f t="shared" si="4"/>
        <v>100</v>
      </c>
      <c r="AJ46" s="88">
        <f t="shared" si="5"/>
        <v>1</v>
      </c>
      <c r="AK46" s="98">
        <f t="shared" si="6"/>
        <v>28</v>
      </c>
      <c r="AL46" s="97">
        <f t="shared" si="7"/>
        <v>100</v>
      </c>
      <c r="AM46" s="88">
        <f t="shared" si="8"/>
        <v>1</v>
      </c>
    </row>
    <row r="47" spans="1:39" ht="19.5">
      <c r="A47" s="123" t="s">
        <v>415</v>
      </c>
      <c r="B47" s="123" t="s">
        <v>471</v>
      </c>
      <c r="C47" s="87">
        <v>0</v>
      </c>
      <c r="D47" s="87">
        <v>1</v>
      </c>
      <c r="E47" s="87">
        <v>1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0</v>
      </c>
      <c r="L47" s="87">
        <v>0</v>
      </c>
      <c r="M47" s="87">
        <v>0</v>
      </c>
      <c r="N47" s="87">
        <v>0</v>
      </c>
      <c r="O47" s="87">
        <v>1</v>
      </c>
      <c r="P47" s="87">
        <v>1</v>
      </c>
      <c r="Q47" s="87">
        <v>0</v>
      </c>
      <c r="R47" s="87">
        <v>0</v>
      </c>
      <c r="S47" s="87">
        <v>1</v>
      </c>
      <c r="T47" s="87">
        <v>1</v>
      </c>
      <c r="U47" s="87">
        <v>1</v>
      </c>
      <c r="V47" s="87">
        <v>0</v>
      </c>
      <c r="W47" s="87">
        <v>1</v>
      </c>
      <c r="X47" s="87">
        <v>0</v>
      </c>
      <c r="Y47" s="87">
        <v>1</v>
      </c>
      <c r="Z47" s="87">
        <v>0</v>
      </c>
      <c r="AA47" s="87">
        <v>1</v>
      </c>
      <c r="AB47" s="87">
        <v>1</v>
      </c>
      <c r="AC47" s="87">
        <v>0</v>
      </c>
      <c r="AD47" s="87">
        <v>0</v>
      </c>
      <c r="AE47" s="88">
        <f>SUM(C47:AD47)</f>
        <v>11</v>
      </c>
      <c r="AF47" s="97">
        <f t="shared" si="2"/>
        <v>91.666666666666657</v>
      </c>
      <c r="AG47" s="88">
        <f t="shared" si="3"/>
        <v>1</v>
      </c>
      <c r="AH47" s="88">
        <f t="shared" si="0"/>
        <v>9</v>
      </c>
      <c r="AI47" s="97">
        <f t="shared" si="4"/>
        <v>56.25</v>
      </c>
      <c r="AJ47" s="88">
        <f t="shared" si="5"/>
        <v>1</v>
      </c>
      <c r="AK47" s="98">
        <f t="shared" si="6"/>
        <v>11</v>
      </c>
      <c r="AL47" s="97">
        <f t="shared" si="7"/>
        <v>39.285714285714285</v>
      </c>
      <c r="AM47" s="88">
        <f t="shared" si="8"/>
        <v>0</v>
      </c>
    </row>
    <row r="48" spans="1:39" ht="19.5">
      <c r="A48" s="123" t="s">
        <v>415</v>
      </c>
      <c r="B48" s="123" t="s">
        <v>472</v>
      </c>
      <c r="C48" s="87">
        <v>1</v>
      </c>
      <c r="D48" s="87">
        <v>1</v>
      </c>
      <c r="E48" s="87">
        <v>1</v>
      </c>
      <c r="F48" s="87">
        <v>1</v>
      </c>
      <c r="G48" s="87">
        <v>1</v>
      </c>
      <c r="H48" s="87">
        <v>1</v>
      </c>
      <c r="I48" s="87">
        <v>1</v>
      </c>
      <c r="J48" s="87">
        <v>0</v>
      </c>
      <c r="K48" s="87">
        <v>1</v>
      </c>
      <c r="L48" s="87">
        <v>1</v>
      </c>
      <c r="M48" s="87">
        <v>1</v>
      </c>
      <c r="N48" s="87">
        <v>1</v>
      </c>
      <c r="O48" s="87">
        <v>1</v>
      </c>
      <c r="P48" s="87">
        <v>1</v>
      </c>
      <c r="Q48" s="87">
        <v>1</v>
      </c>
      <c r="R48" s="87">
        <v>1</v>
      </c>
      <c r="S48" s="87">
        <v>1</v>
      </c>
      <c r="T48" s="87">
        <v>1</v>
      </c>
      <c r="U48" s="87">
        <v>1</v>
      </c>
      <c r="V48" s="87">
        <v>1</v>
      </c>
      <c r="W48" s="87">
        <v>1</v>
      </c>
      <c r="X48" s="87">
        <v>1</v>
      </c>
      <c r="Y48" s="87">
        <v>1</v>
      </c>
      <c r="Z48" s="87">
        <v>1</v>
      </c>
      <c r="AA48" s="87">
        <v>1</v>
      </c>
      <c r="AB48" s="87">
        <v>1</v>
      </c>
      <c r="AC48" s="87">
        <v>1</v>
      </c>
      <c r="AD48" s="87">
        <v>1</v>
      </c>
      <c r="AE48" s="88">
        <f t="shared" si="1"/>
        <v>11</v>
      </c>
      <c r="AF48" s="97">
        <f t="shared" si="2"/>
        <v>91.666666666666657</v>
      </c>
      <c r="AG48" s="88">
        <f t="shared" si="3"/>
        <v>1</v>
      </c>
      <c r="AH48" s="88">
        <f t="shared" si="0"/>
        <v>16</v>
      </c>
      <c r="AI48" s="97">
        <f t="shared" si="4"/>
        <v>100</v>
      </c>
      <c r="AJ48" s="88">
        <f t="shared" si="5"/>
        <v>1</v>
      </c>
      <c r="AK48" s="98">
        <f t="shared" si="6"/>
        <v>27</v>
      </c>
      <c r="AL48" s="97">
        <f t="shared" si="7"/>
        <v>96.428571428571431</v>
      </c>
      <c r="AM48" s="88">
        <f t="shared" si="8"/>
        <v>1</v>
      </c>
    </row>
    <row r="49" spans="1:39" ht="19.5">
      <c r="A49" s="123" t="s">
        <v>415</v>
      </c>
      <c r="B49" s="123" t="s">
        <v>473</v>
      </c>
      <c r="C49" s="87">
        <v>1</v>
      </c>
      <c r="D49" s="87">
        <v>1</v>
      </c>
      <c r="E49" s="87">
        <v>1</v>
      </c>
      <c r="F49" s="87">
        <v>1</v>
      </c>
      <c r="G49" s="87">
        <v>1</v>
      </c>
      <c r="H49" s="87">
        <v>1</v>
      </c>
      <c r="I49" s="87">
        <v>1</v>
      </c>
      <c r="J49" s="87">
        <v>0</v>
      </c>
      <c r="K49" s="87">
        <v>1</v>
      </c>
      <c r="L49" s="87">
        <v>1</v>
      </c>
      <c r="M49" s="87">
        <v>1</v>
      </c>
      <c r="N49" s="87">
        <v>1</v>
      </c>
      <c r="O49" s="87">
        <v>1</v>
      </c>
      <c r="P49" s="87">
        <v>1</v>
      </c>
      <c r="Q49" s="87">
        <v>1</v>
      </c>
      <c r="R49" s="87">
        <v>1</v>
      </c>
      <c r="S49" s="87">
        <v>1</v>
      </c>
      <c r="T49" s="87">
        <v>1</v>
      </c>
      <c r="U49" s="87">
        <v>1</v>
      </c>
      <c r="V49" s="87">
        <v>1</v>
      </c>
      <c r="W49" s="87">
        <v>1</v>
      </c>
      <c r="X49" s="87">
        <v>1</v>
      </c>
      <c r="Y49" s="87">
        <v>1</v>
      </c>
      <c r="Z49" s="87">
        <v>1</v>
      </c>
      <c r="AA49" s="87">
        <v>1</v>
      </c>
      <c r="AB49" s="87">
        <v>1</v>
      </c>
      <c r="AC49" s="87">
        <v>1</v>
      </c>
      <c r="AD49" s="87">
        <v>1</v>
      </c>
      <c r="AE49" s="88">
        <f t="shared" si="1"/>
        <v>11</v>
      </c>
      <c r="AF49" s="97">
        <f t="shared" si="2"/>
        <v>91.666666666666657</v>
      </c>
      <c r="AG49" s="88">
        <f t="shared" si="3"/>
        <v>1</v>
      </c>
      <c r="AH49" s="88">
        <f t="shared" si="0"/>
        <v>16</v>
      </c>
      <c r="AI49" s="97">
        <f t="shared" si="4"/>
        <v>100</v>
      </c>
      <c r="AJ49" s="88">
        <f t="shared" si="5"/>
        <v>1</v>
      </c>
      <c r="AK49" s="98">
        <f t="shared" si="6"/>
        <v>27</v>
      </c>
      <c r="AL49" s="97">
        <f t="shared" si="7"/>
        <v>96.428571428571431</v>
      </c>
      <c r="AM49" s="88">
        <f t="shared" si="8"/>
        <v>1</v>
      </c>
    </row>
    <row r="50" spans="1:39" ht="19.5">
      <c r="A50" s="123" t="s">
        <v>415</v>
      </c>
      <c r="B50" s="123" t="s">
        <v>474</v>
      </c>
      <c r="C50" s="87">
        <v>1</v>
      </c>
      <c r="D50" s="87">
        <v>1</v>
      </c>
      <c r="E50" s="87">
        <v>1</v>
      </c>
      <c r="F50" s="87">
        <v>1</v>
      </c>
      <c r="G50" s="87">
        <v>1</v>
      </c>
      <c r="H50" s="87">
        <v>1</v>
      </c>
      <c r="I50" s="87">
        <v>1</v>
      </c>
      <c r="J50" s="87">
        <v>1</v>
      </c>
      <c r="K50" s="87">
        <v>1</v>
      </c>
      <c r="L50" s="87">
        <v>1</v>
      </c>
      <c r="M50" s="87">
        <v>0</v>
      </c>
      <c r="N50" s="87">
        <v>1</v>
      </c>
      <c r="O50" s="87">
        <v>1</v>
      </c>
      <c r="P50" s="87">
        <v>1</v>
      </c>
      <c r="Q50" s="87">
        <v>1</v>
      </c>
      <c r="R50" s="87">
        <v>1</v>
      </c>
      <c r="S50" s="87">
        <v>1</v>
      </c>
      <c r="T50" s="87">
        <v>1</v>
      </c>
      <c r="U50" s="87">
        <v>1</v>
      </c>
      <c r="V50" s="87">
        <v>1</v>
      </c>
      <c r="W50" s="87">
        <v>1</v>
      </c>
      <c r="X50" s="87">
        <v>1</v>
      </c>
      <c r="Y50" s="87">
        <v>1</v>
      </c>
      <c r="Z50" s="87">
        <v>1</v>
      </c>
      <c r="AA50" s="87">
        <v>1</v>
      </c>
      <c r="AB50" s="87">
        <v>1</v>
      </c>
      <c r="AC50" s="87">
        <v>1</v>
      </c>
      <c r="AD50" s="87">
        <v>1</v>
      </c>
      <c r="AE50" s="88">
        <f t="shared" si="1"/>
        <v>11</v>
      </c>
      <c r="AF50" s="97">
        <f t="shared" si="2"/>
        <v>91.666666666666657</v>
      </c>
      <c r="AG50" s="88">
        <f t="shared" si="3"/>
        <v>1</v>
      </c>
      <c r="AH50" s="88">
        <f t="shared" si="0"/>
        <v>16</v>
      </c>
      <c r="AI50" s="97">
        <f t="shared" si="4"/>
        <v>100</v>
      </c>
      <c r="AJ50" s="88">
        <f t="shared" si="5"/>
        <v>1</v>
      </c>
      <c r="AK50" s="98">
        <f t="shared" si="6"/>
        <v>27</v>
      </c>
      <c r="AL50" s="97">
        <f t="shared" si="7"/>
        <v>96.428571428571431</v>
      </c>
      <c r="AM50" s="88">
        <f t="shared" si="8"/>
        <v>1</v>
      </c>
    </row>
    <row r="51" spans="1:39" ht="19.5">
      <c r="A51" s="123" t="s">
        <v>415</v>
      </c>
      <c r="B51" s="123" t="s">
        <v>475</v>
      </c>
      <c r="C51" s="87">
        <v>0</v>
      </c>
      <c r="D51" s="87">
        <v>1</v>
      </c>
      <c r="E51" s="87">
        <v>1</v>
      </c>
      <c r="F51" s="87">
        <v>0</v>
      </c>
      <c r="G51" s="87">
        <v>1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1</v>
      </c>
      <c r="P51" s="87">
        <v>1</v>
      </c>
      <c r="Q51" s="87">
        <v>1</v>
      </c>
      <c r="R51" s="87">
        <v>1</v>
      </c>
      <c r="S51" s="87">
        <v>1</v>
      </c>
      <c r="T51" s="87">
        <v>1</v>
      </c>
      <c r="U51" s="87">
        <v>0</v>
      </c>
      <c r="V51" s="87">
        <v>0</v>
      </c>
      <c r="W51" s="87">
        <v>0</v>
      </c>
      <c r="X51" s="87">
        <v>0</v>
      </c>
      <c r="Y51" s="87">
        <v>0</v>
      </c>
      <c r="Z51" s="87">
        <v>0</v>
      </c>
      <c r="AA51" s="87">
        <v>1</v>
      </c>
      <c r="AB51" s="87">
        <v>0</v>
      </c>
      <c r="AC51" s="87">
        <v>0</v>
      </c>
      <c r="AD51" s="87">
        <v>0</v>
      </c>
      <c r="AE51" s="88">
        <f>SUM(C51:AD51)</f>
        <v>10</v>
      </c>
      <c r="AF51" s="97">
        <f t="shared" si="2"/>
        <v>83.333333333333343</v>
      </c>
      <c r="AG51" s="88">
        <f t="shared" si="3"/>
        <v>1</v>
      </c>
      <c r="AH51" s="88">
        <f t="shared" si="0"/>
        <v>7</v>
      </c>
      <c r="AI51" s="97">
        <f t="shared" si="4"/>
        <v>43.75</v>
      </c>
      <c r="AJ51" s="88">
        <f t="shared" si="5"/>
        <v>0</v>
      </c>
      <c r="AK51" s="98">
        <f t="shared" si="6"/>
        <v>10</v>
      </c>
      <c r="AL51" s="97">
        <f t="shared" si="7"/>
        <v>35.714285714285715</v>
      </c>
      <c r="AM51" s="88">
        <f t="shared" si="8"/>
        <v>0</v>
      </c>
    </row>
    <row r="52" spans="1:39" ht="19.5">
      <c r="A52" s="123" t="s">
        <v>415</v>
      </c>
      <c r="B52" s="123" t="s">
        <v>476</v>
      </c>
      <c r="C52" s="87">
        <v>1</v>
      </c>
      <c r="D52" s="87">
        <v>1</v>
      </c>
      <c r="E52" s="87">
        <v>1</v>
      </c>
      <c r="F52" s="87">
        <v>1</v>
      </c>
      <c r="G52" s="87">
        <v>1</v>
      </c>
      <c r="H52" s="87">
        <v>1</v>
      </c>
      <c r="I52" s="87">
        <v>1</v>
      </c>
      <c r="J52" s="87">
        <v>1</v>
      </c>
      <c r="K52" s="87">
        <v>0</v>
      </c>
      <c r="L52" s="87">
        <v>1</v>
      </c>
      <c r="M52" s="87">
        <v>1</v>
      </c>
      <c r="N52" s="87">
        <v>1</v>
      </c>
      <c r="O52" s="87">
        <v>1</v>
      </c>
      <c r="P52" s="87">
        <v>1</v>
      </c>
      <c r="Q52" s="87">
        <v>0</v>
      </c>
      <c r="R52" s="87">
        <v>0</v>
      </c>
      <c r="S52" s="87">
        <v>1</v>
      </c>
      <c r="T52" s="87">
        <v>1</v>
      </c>
      <c r="U52" s="87">
        <v>1</v>
      </c>
      <c r="V52" s="87">
        <v>0</v>
      </c>
      <c r="W52" s="87">
        <v>1</v>
      </c>
      <c r="X52" s="87">
        <v>0</v>
      </c>
      <c r="Y52" s="87">
        <v>1</v>
      </c>
      <c r="Z52" s="87">
        <v>0</v>
      </c>
      <c r="AA52" s="87">
        <v>1</v>
      </c>
      <c r="AB52" s="87">
        <v>1</v>
      </c>
      <c r="AC52" s="87">
        <v>1</v>
      </c>
      <c r="AD52" s="87">
        <v>0</v>
      </c>
      <c r="AE52" s="88">
        <f>SUM(C52:AD52)</f>
        <v>21</v>
      </c>
      <c r="AF52" s="97">
        <f t="shared" si="2"/>
        <v>175</v>
      </c>
      <c r="AG52" s="88">
        <f t="shared" si="3"/>
        <v>1</v>
      </c>
      <c r="AH52" s="88">
        <f t="shared" si="0"/>
        <v>10</v>
      </c>
      <c r="AI52" s="97">
        <f t="shared" si="4"/>
        <v>62.5</v>
      </c>
      <c r="AJ52" s="88">
        <f t="shared" si="5"/>
        <v>1</v>
      </c>
      <c r="AK52" s="98">
        <f t="shared" si="6"/>
        <v>21</v>
      </c>
      <c r="AL52" s="97">
        <f t="shared" si="7"/>
        <v>75</v>
      </c>
      <c r="AM52" s="88">
        <f t="shared" si="8"/>
        <v>1</v>
      </c>
    </row>
    <row r="53" spans="1:39" ht="19.5">
      <c r="A53" s="123" t="s">
        <v>415</v>
      </c>
      <c r="B53" s="123" t="s">
        <v>477</v>
      </c>
      <c r="C53" s="87">
        <v>0</v>
      </c>
      <c r="D53" s="87">
        <v>1</v>
      </c>
      <c r="E53" s="87">
        <v>0</v>
      </c>
      <c r="F53" s="87">
        <v>0</v>
      </c>
      <c r="G53" s="87">
        <v>0</v>
      </c>
      <c r="H53" s="87">
        <v>0</v>
      </c>
      <c r="I53" s="87">
        <v>1</v>
      </c>
      <c r="J53" s="87">
        <v>0</v>
      </c>
      <c r="K53" s="87">
        <v>0</v>
      </c>
      <c r="L53" s="87">
        <v>1</v>
      </c>
      <c r="M53" s="87">
        <v>1</v>
      </c>
      <c r="N53" s="87">
        <v>0</v>
      </c>
      <c r="O53" s="87">
        <v>1</v>
      </c>
      <c r="P53" s="87">
        <v>0</v>
      </c>
      <c r="Q53" s="87">
        <v>0</v>
      </c>
      <c r="R53" s="87">
        <v>0</v>
      </c>
      <c r="S53" s="87">
        <v>1</v>
      </c>
      <c r="T53" s="87">
        <v>1</v>
      </c>
      <c r="U53" s="87">
        <v>0</v>
      </c>
      <c r="V53" s="87">
        <v>1</v>
      </c>
      <c r="W53" s="87">
        <v>0</v>
      </c>
      <c r="X53" s="87">
        <v>0</v>
      </c>
      <c r="Y53" s="87">
        <v>0</v>
      </c>
      <c r="Z53" s="87">
        <v>0</v>
      </c>
      <c r="AA53" s="87">
        <v>1</v>
      </c>
      <c r="AB53" s="87">
        <v>0</v>
      </c>
      <c r="AC53" s="87">
        <v>0</v>
      </c>
      <c r="AD53" s="87">
        <v>0</v>
      </c>
      <c r="AE53" s="88">
        <f>SUM(C53:AD53)</f>
        <v>9</v>
      </c>
      <c r="AF53" s="97">
        <f t="shared" si="2"/>
        <v>75</v>
      </c>
      <c r="AG53" s="88">
        <f t="shared" si="3"/>
        <v>1</v>
      </c>
      <c r="AH53" s="88">
        <f t="shared" si="0"/>
        <v>5</v>
      </c>
      <c r="AI53" s="97">
        <f t="shared" si="4"/>
        <v>31.25</v>
      </c>
      <c r="AJ53" s="88">
        <f t="shared" si="5"/>
        <v>0</v>
      </c>
      <c r="AK53" s="98">
        <f t="shared" si="6"/>
        <v>9</v>
      </c>
      <c r="AL53" s="97">
        <f t="shared" si="7"/>
        <v>32.142857142857146</v>
      </c>
      <c r="AM53" s="88">
        <f t="shared" si="8"/>
        <v>0</v>
      </c>
    </row>
    <row r="54" spans="1:39" ht="19.5">
      <c r="A54" s="123" t="s">
        <v>415</v>
      </c>
      <c r="B54" s="123" t="s">
        <v>478</v>
      </c>
      <c r="C54" s="87">
        <v>1</v>
      </c>
      <c r="D54" s="87">
        <v>1</v>
      </c>
      <c r="E54" s="87">
        <v>1</v>
      </c>
      <c r="F54" s="87">
        <v>1</v>
      </c>
      <c r="G54" s="87">
        <v>1</v>
      </c>
      <c r="H54" s="87">
        <v>1</v>
      </c>
      <c r="I54" s="87">
        <v>1</v>
      </c>
      <c r="J54" s="87">
        <v>1</v>
      </c>
      <c r="K54" s="87">
        <v>1</v>
      </c>
      <c r="L54" s="87">
        <v>1</v>
      </c>
      <c r="M54" s="87">
        <v>1</v>
      </c>
      <c r="N54" s="87">
        <v>1</v>
      </c>
      <c r="O54" s="87">
        <v>1</v>
      </c>
      <c r="P54" s="87">
        <v>1</v>
      </c>
      <c r="Q54" s="87">
        <v>1</v>
      </c>
      <c r="R54" s="87">
        <v>1</v>
      </c>
      <c r="S54" s="87">
        <v>1</v>
      </c>
      <c r="T54" s="87">
        <v>1</v>
      </c>
      <c r="U54" s="87">
        <v>1</v>
      </c>
      <c r="V54" s="87">
        <v>1</v>
      </c>
      <c r="W54" s="87">
        <v>1</v>
      </c>
      <c r="X54" s="87">
        <v>0</v>
      </c>
      <c r="Y54" s="87">
        <v>1</v>
      </c>
      <c r="Z54" s="87">
        <v>1</v>
      </c>
      <c r="AA54" s="87">
        <v>1</v>
      </c>
      <c r="AB54" s="87">
        <v>0</v>
      </c>
      <c r="AC54" s="87">
        <v>1</v>
      </c>
      <c r="AD54" s="87">
        <v>1</v>
      </c>
      <c r="AE54" s="88">
        <f>SUM(C54:P54)</f>
        <v>14</v>
      </c>
      <c r="AF54" s="97">
        <f t="shared" si="2"/>
        <v>116.66666666666667</v>
      </c>
      <c r="AG54" s="88">
        <f t="shared" si="3"/>
        <v>1</v>
      </c>
      <c r="AH54" s="88">
        <f t="shared" si="0"/>
        <v>14</v>
      </c>
      <c r="AI54" s="97">
        <f t="shared" si="4"/>
        <v>87.5</v>
      </c>
      <c r="AJ54" s="88">
        <f t="shared" si="5"/>
        <v>1</v>
      </c>
      <c r="AK54" s="98">
        <f t="shared" si="6"/>
        <v>26</v>
      </c>
      <c r="AL54" s="97">
        <f t="shared" si="7"/>
        <v>92.857142857142861</v>
      </c>
      <c r="AM54" s="88">
        <f t="shared" si="8"/>
        <v>1</v>
      </c>
    </row>
    <row r="55" spans="1:39" ht="19.5">
      <c r="A55" s="123" t="s">
        <v>415</v>
      </c>
      <c r="B55" s="123" t="s">
        <v>479</v>
      </c>
      <c r="C55" s="87">
        <v>1</v>
      </c>
      <c r="D55" s="87">
        <v>1</v>
      </c>
      <c r="E55" s="87">
        <v>1</v>
      </c>
      <c r="F55" s="87">
        <v>1</v>
      </c>
      <c r="G55" s="87">
        <v>1</v>
      </c>
      <c r="H55" s="87">
        <v>1</v>
      </c>
      <c r="I55" s="87">
        <v>1</v>
      </c>
      <c r="J55" s="87">
        <v>1</v>
      </c>
      <c r="K55" s="87">
        <v>1</v>
      </c>
      <c r="L55" s="87">
        <v>1</v>
      </c>
      <c r="M55" s="87">
        <v>1</v>
      </c>
      <c r="N55" s="87">
        <v>1</v>
      </c>
      <c r="O55" s="87">
        <v>1</v>
      </c>
      <c r="P55" s="87">
        <v>1</v>
      </c>
      <c r="Q55" s="87">
        <v>0</v>
      </c>
      <c r="R55" s="87">
        <v>1</v>
      </c>
      <c r="S55" s="87">
        <v>1</v>
      </c>
      <c r="T55" s="87">
        <v>1</v>
      </c>
      <c r="U55" s="87">
        <v>1</v>
      </c>
      <c r="V55" s="87">
        <v>1</v>
      </c>
      <c r="W55" s="87">
        <v>1</v>
      </c>
      <c r="X55" s="87">
        <v>0</v>
      </c>
      <c r="Y55" s="87">
        <v>1</v>
      </c>
      <c r="Z55" s="87">
        <v>0</v>
      </c>
      <c r="AA55" s="87">
        <v>1</v>
      </c>
      <c r="AB55" s="87">
        <v>1</v>
      </c>
      <c r="AC55" s="87">
        <v>1</v>
      </c>
      <c r="AD55" s="87">
        <v>1</v>
      </c>
      <c r="AE55" s="88">
        <f t="shared" ref="AE55:AE74" si="9">SUM(C55:P55)</f>
        <v>14</v>
      </c>
      <c r="AF55" s="97">
        <f t="shared" si="2"/>
        <v>116.66666666666667</v>
      </c>
      <c r="AG55" s="88">
        <f t="shared" si="3"/>
        <v>1</v>
      </c>
      <c r="AH55" s="88">
        <f t="shared" si="0"/>
        <v>13</v>
      </c>
      <c r="AI55" s="97">
        <f t="shared" si="4"/>
        <v>81.25</v>
      </c>
      <c r="AJ55" s="88">
        <f t="shared" si="5"/>
        <v>1</v>
      </c>
      <c r="AK55" s="98">
        <f t="shared" si="6"/>
        <v>25</v>
      </c>
      <c r="AL55" s="97">
        <f t="shared" si="7"/>
        <v>89.285714285714292</v>
      </c>
      <c r="AM55" s="88">
        <f t="shared" si="8"/>
        <v>1</v>
      </c>
    </row>
    <row r="56" spans="1:39" ht="19.5">
      <c r="A56" s="123" t="s">
        <v>415</v>
      </c>
      <c r="B56" s="123" t="s">
        <v>480</v>
      </c>
      <c r="C56" s="87">
        <v>1</v>
      </c>
      <c r="D56" s="87">
        <v>1</v>
      </c>
      <c r="E56" s="87">
        <v>1</v>
      </c>
      <c r="F56" s="87">
        <v>1</v>
      </c>
      <c r="G56" s="87">
        <v>1</v>
      </c>
      <c r="H56" s="87">
        <v>1</v>
      </c>
      <c r="I56" s="87">
        <v>1</v>
      </c>
      <c r="J56" s="87">
        <v>0</v>
      </c>
      <c r="K56" s="87">
        <v>1</v>
      </c>
      <c r="L56" s="87">
        <v>1</v>
      </c>
      <c r="M56" s="87">
        <v>1</v>
      </c>
      <c r="N56" s="87">
        <v>0</v>
      </c>
      <c r="O56" s="87">
        <v>1</v>
      </c>
      <c r="P56" s="87">
        <v>0</v>
      </c>
      <c r="Q56" s="87">
        <v>1</v>
      </c>
      <c r="R56" s="87">
        <v>1</v>
      </c>
      <c r="S56" s="87">
        <v>1</v>
      </c>
      <c r="T56" s="87">
        <v>0</v>
      </c>
      <c r="U56" s="87">
        <v>1</v>
      </c>
      <c r="V56" s="87">
        <v>1</v>
      </c>
      <c r="W56" s="87">
        <v>1</v>
      </c>
      <c r="X56" s="87">
        <v>0</v>
      </c>
      <c r="Y56" s="87">
        <v>1</v>
      </c>
      <c r="Z56" s="87">
        <v>0</v>
      </c>
      <c r="AA56" s="87">
        <v>1</v>
      </c>
      <c r="AB56" s="87">
        <v>0</v>
      </c>
      <c r="AC56" s="87">
        <v>1</v>
      </c>
      <c r="AD56" s="87">
        <v>0</v>
      </c>
      <c r="AE56" s="88">
        <f t="shared" si="9"/>
        <v>11</v>
      </c>
      <c r="AF56" s="97">
        <f t="shared" si="2"/>
        <v>91.666666666666657</v>
      </c>
      <c r="AG56" s="88">
        <f t="shared" si="3"/>
        <v>1</v>
      </c>
      <c r="AH56" s="88">
        <f t="shared" si="0"/>
        <v>10</v>
      </c>
      <c r="AI56" s="97">
        <f t="shared" si="4"/>
        <v>62.5</v>
      </c>
      <c r="AJ56" s="88">
        <f t="shared" si="5"/>
        <v>1</v>
      </c>
      <c r="AK56" s="98">
        <f t="shared" si="6"/>
        <v>20</v>
      </c>
      <c r="AL56" s="97">
        <f t="shared" si="7"/>
        <v>71.428571428571431</v>
      </c>
      <c r="AM56" s="88">
        <f t="shared" si="8"/>
        <v>1</v>
      </c>
    </row>
    <row r="57" spans="1:39" ht="19.5">
      <c r="A57" s="123" t="s">
        <v>415</v>
      </c>
      <c r="B57" s="123" t="s">
        <v>481</v>
      </c>
      <c r="C57" s="87">
        <v>1</v>
      </c>
      <c r="D57" s="87">
        <v>1</v>
      </c>
      <c r="E57" s="87">
        <v>1</v>
      </c>
      <c r="F57" s="87">
        <v>1</v>
      </c>
      <c r="G57" s="87">
        <v>1</v>
      </c>
      <c r="H57" s="87">
        <v>1</v>
      </c>
      <c r="I57" s="87">
        <v>1</v>
      </c>
      <c r="J57" s="87">
        <v>0</v>
      </c>
      <c r="K57" s="87">
        <v>0</v>
      </c>
      <c r="L57" s="87">
        <v>1</v>
      </c>
      <c r="M57" s="87">
        <v>1</v>
      </c>
      <c r="N57" s="87">
        <v>0</v>
      </c>
      <c r="O57" s="87">
        <v>1</v>
      </c>
      <c r="P57" s="87">
        <v>1</v>
      </c>
      <c r="Q57" s="87">
        <v>0</v>
      </c>
      <c r="R57" s="87">
        <v>0</v>
      </c>
      <c r="S57" s="87">
        <v>1</v>
      </c>
      <c r="T57" s="87">
        <v>1</v>
      </c>
      <c r="U57" s="87">
        <v>1</v>
      </c>
      <c r="V57" s="87">
        <v>0</v>
      </c>
      <c r="W57" s="87">
        <v>1</v>
      </c>
      <c r="X57" s="87">
        <v>1</v>
      </c>
      <c r="Y57" s="87">
        <v>0</v>
      </c>
      <c r="Z57" s="87">
        <v>0</v>
      </c>
      <c r="AA57" s="87">
        <v>1</v>
      </c>
      <c r="AB57" s="87">
        <v>1</v>
      </c>
      <c r="AC57" s="87">
        <v>1</v>
      </c>
      <c r="AD57" s="87">
        <v>0</v>
      </c>
      <c r="AE57" s="88">
        <f t="shared" si="9"/>
        <v>11</v>
      </c>
      <c r="AF57" s="97">
        <f t="shared" si="2"/>
        <v>91.666666666666657</v>
      </c>
      <c r="AG57" s="88">
        <f t="shared" si="3"/>
        <v>1</v>
      </c>
      <c r="AH57" s="88">
        <f t="shared" si="0"/>
        <v>10</v>
      </c>
      <c r="AI57" s="97">
        <f t="shared" si="4"/>
        <v>62.5</v>
      </c>
      <c r="AJ57" s="88">
        <f t="shared" si="5"/>
        <v>1</v>
      </c>
      <c r="AK57" s="98">
        <f t="shared" si="6"/>
        <v>19</v>
      </c>
      <c r="AL57" s="97">
        <f t="shared" si="7"/>
        <v>67.857142857142861</v>
      </c>
      <c r="AM57" s="88">
        <f t="shared" si="8"/>
        <v>1</v>
      </c>
    </row>
    <row r="58" spans="1:39" ht="19.5">
      <c r="A58" s="123" t="s">
        <v>415</v>
      </c>
      <c r="B58" s="123" t="s">
        <v>482</v>
      </c>
      <c r="C58" s="87">
        <v>1</v>
      </c>
      <c r="D58" s="87">
        <v>1</v>
      </c>
      <c r="E58" s="87">
        <v>1</v>
      </c>
      <c r="F58" s="87">
        <v>1</v>
      </c>
      <c r="G58" s="87">
        <v>1</v>
      </c>
      <c r="H58" s="87">
        <v>1</v>
      </c>
      <c r="I58" s="87">
        <v>1</v>
      </c>
      <c r="J58" s="87">
        <v>0</v>
      </c>
      <c r="K58" s="87">
        <v>1</v>
      </c>
      <c r="L58" s="87">
        <v>1</v>
      </c>
      <c r="M58" s="87">
        <v>1</v>
      </c>
      <c r="N58" s="87">
        <v>1</v>
      </c>
      <c r="O58" s="87">
        <v>1</v>
      </c>
      <c r="P58" s="87">
        <v>1</v>
      </c>
      <c r="Q58" s="87">
        <v>1</v>
      </c>
      <c r="R58" s="87">
        <v>1</v>
      </c>
      <c r="S58" s="87">
        <v>1</v>
      </c>
      <c r="T58" s="87">
        <v>1</v>
      </c>
      <c r="U58" s="87">
        <v>1</v>
      </c>
      <c r="V58" s="87">
        <v>1</v>
      </c>
      <c r="W58" s="87">
        <v>0</v>
      </c>
      <c r="X58" s="87">
        <v>1</v>
      </c>
      <c r="Y58" s="87">
        <v>1</v>
      </c>
      <c r="Z58" s="87">
        <v>0</v>
      </c>
      <c r="AA58" s="87">
        <v>1</v>
      </c>
      <c r="AB58" s="87">
        <v>0</v>
      </c>
      <c r="AC58" s="87">
        <v>0</v>
      </c>
      <c r="AD58" s="87">
        <v>0</v>
      </c>
      <c r="AE58" s="88">
        <f t="shared" si="9"/>
        <v>13</v>
      </c>
      <c r="AF58" s="97">
        <f t="shared" si="2"/>
        <v>108.33333333333333</v>
      </c>
      <c r="AG58" s="88">
        <f t="shared" si="3"/>
        <v>1</v>
      </c>
      <c r="AH58" s="88">
        <f t="shared" si="0"/>
        <v>11</v>
      </c>
      <c r="AI58" s="97">
        <f t="shared" si="4"/>
        <v>68.75</v>
      </c>
      <c r="AJ58" s="88">
        <f t="shared" si="5"/>
        <v>1</v>
      </c>
      <c r="AK58" s="98">
        <f t="shared" si="6"/>
        <v>22</v>
      </c>
      <c r="AL58" s="97">
        <f t="shared" si="7"/>
        <v>78.571428571428569</v>
      </c>
      <c r="AM58" s="88">
        <f t="shared" si="8"/>
        <v>1</v>
      </c>
    </row>
    <row r="59" spans="1:39" ht="19.5">
      <c r="A59" s="123" t="s">
        <v>415</v>
      </c>
      <c r="B59" s="123" t="s">
        <v>483</v>
      </c>
      <c r="C59" s="87">
        <v>1</v>
      </c>
      <c r="D59" s="87">
        <v>1</v>
      </c>
      <c r="E59" s="87">
        <v>1</v>
      </c>
      <c r="F59" s="87">
        <v>0</v>
      </c>
      <c r="G59" s="87">
        <v>1</v>
      </c>
      <c r="H59" s="87">
        <v>0</v>
      </c>
      <c r="I59" s="87">
        <v>0</v>
      </c>
      <c r="J59" s="87">
        <v>0</v>
      </c>
      <c r="K59" s="87">
        <v>0</v>
      </c>
      <c r="L59" s="87">
        <v>1</v>
      </c>
      <c r="M59" s="87">
        <v>0</v>
      </c>
      <c r="N59" s="87">
        <v>0</v>
      </c>
      <c r="O59" s="87">
        <v>1</v>
      </c>
      <c r="P59" s="87">
        <v>0</v>
      </c>
      <c r="Q59" s="87">
        <v>0</v>
      </c>
      <c r="R59" s="87">
        <v>0</v>
      </c>
      <c r="S59" s="87">
        <v>1</v>
      </c>
      <c r="T59" s="87">
        <v>0</v>
      </c>
      <c r="U59" s="87">
        <v>0</v>
      </c>
      <c r="V59" s="87">
        <v>0</v>
      </c>
      <c r="W59" s="87">
        <v>0</v>
      </c>
      <c r="X59" s="87">
        <v>0</v>
      </c>
      <c r="Y59" s="87">
        <v>0</v>
      </c>
      <c r="Z59" s="87">
        <v>0</v>
      </c>
      <c r="AA59" s="87">
        <v>0</v>
      </c>
      <c r="AB59" s="87">
        <v>0</v>
      </c>
      <c r="AC59" s="87">
        <v>0</v>
      </c>
      <c r="AD59" s="87">
        <v>0</v>
      </c>
      <c r="AE59" s="88">
        <f t="shared" si="9"/>
        <v>6</v>
      </c>
      <c r="AF59" s="97">
        <f t="shared" si="2"/>
        <v>50</v>
      </c>
      <c r="AG59" s="88">
        <f t="shared" si="3"/>
        <v>1</v>
      </c>
      <c r="AH59" s="88">
        <f t="shared" si="0"/>
        <v>2</v>
      </c>
      <c r="AI59" s="97">
        <f t="shared" si="4"/>
        <v>12.5</v>
      </c>
      <c r="AJ59" s="88">
        <f t="shared" si="5"/>
        <v>0</v>
      </c>
      <c r="AK59" s="98">
        <f t="shared" si="6"/>
        <v>7</v>
      </c>
      <c r="AL59" s="97">
        <f t="shared" si="7"/>
        <v>25</v>
      </c>
      <c r="AM59" s="88">
        <f t="shared" si="8"/>
        <v>0</v>
      </c>
    </row>
    <row r="60" spans="1:39" ht="19.5">
      <c r="A60" s="123" t="s">
        <v>415</v>
      </c>
      <c r="B60" s="123" t="s">
        <v>484</v>
      </c>
      <c r="C60" s="87">
        <v>0</v>
      </c>
      <c r="D60" s="87">
        <v>0</v>
      </c>
      <c r="E60" s="87">
        <v>1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N60" s="87">
        <v>0</v>
      </c>
      <c r="O60" s="87">
        <v>1</v>
      </c>
      <c r="P60" s="87">
        <v>0</v>
      </c>
      <c r="Q60" s="87">
        <v>0</v>
      </c>
      <c r="R60" s="87">
        <v>0</v>
      </c>
      <c r="S60" s="87">
        <v>1</v>
      </c>
      <c r="T60" s="87">
        <v>0</v>
      </c>
      <c r="U60" s="87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7">
        <v>1</v>
      </c>
      <c r="AB60" s="87">
        <v>0</v>
      </c>
      <c r="AC60" s="87">
        <v>0</v>
      </c>
      <c r="AD60" s="87">
        <v>0</v>
      </c>
      <c r="AE60" s="88">
        <f t="shared" si="9"/>
        <v>2</v>
      </c>
      <c r="AF60" s="97">
        <f t="shared" si="2"/>
        <v>16.666666666666664</v>
      </c>
      <c r="AG60" s="88">
        <f t="shared" si="3"/>
        <v>0</v>
      </c>
      <c r="AH60" s="88">
        <f t="shared" si="0"/>
        <v>3</v>
      </c>
      <c r="AI60" s="97">
        <f t="shared" si="4"/>
        <v>18.75</v>
      </c>
      <c r="AJ60" s="88">
        <f t="shared" si="5"/>
        <v>0</v>
      </c>
      <c r="AK60" s="98">
        <f t="shared" si="6"/>
        <v>4</v>
      </c>
      <c r="AL60" s="97">
        <f t="shared" si="7"/>
        <v>14.285714285714285</v>
      </c>
      <c r="AM60" s="88">
        <f t="shared" si="8"/>
        <v>0</v>
      </c>
    </row>
    <row r="61" spans="1:39" ht="19.5">
      <c r="A61" s="123" t="s">
        <v>415</v>
      </c>
      <c r="B61" s="123" t="s">
        <v>485</v>
      </c>
      <c r="C61" s="87">
        <v>0</v>
      </c>
      <c r="D61" s="87">
        <v>1</v>
      </c>
      <c r="E61" s="87">
        <v>1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1</v>
      </c>
      <c r="M61" s="87">
        <v>0</v>
      </c>
      <c r="N61" s="87">
        <v>0</v>
      </c>
      <c r="O61" s="87">
        <v>1</v>
      </c>
      <c r="P61" s="87">
        <v>0</v>
      </c>
      <c r="Q61" s="87">
        <v>0</v>
      </c>
      <c r="R61" s="87">
        <v>0</v>
      </c>
      <c r="S61" s="87">
        <v>1</v>
      </c>
      <c r="T61" s="87">
        <v>0</v>
      </c>
      <c r="U61" s="87">
        <v>0</v>
      </c>
      <c r="V61" s="87">
        <v>0</v>
      </c>
      <c r="W61" s="87">
        <v>0</v>
      </c>
      <c r="X61" s="87">
        <v>0</v>
      </c>
      <c r="Y61" s="87">
        <v>0</v>
      </c>
      <c r="Z61" s="87">
        <v>0</v>
      </c>
      <c r="AA61" s="87">
        <v>1</v>
      </c>
      <c r="AB61" s="87">
        <v>0</v>
      </c>
      <c r="AC61" s="87">
        <v>1</v>
      </c>
      <c r="AD61" s="87">
        <v>0</v>
      </c>
      <c r="AE61" s="88">
        <f t="shared" si="9"/>
        <v>4</v>
      </c>
      <c r="AF61" s="97">
        <f t="shared" si="2"/>
        <v>33.333333333333329</v>
      </c>
      <c r="AG61" s="88">
        <f t="shared" si="3"/>
        <v>0</v>
      </c>
      <c r="AH61" s="88">
        <f t="shared" si="0"/>
        <v>4</v>
      </c>
      <c r="AI61" s="97">
        <f t="shared" si="4"/>
        <v>25</v>
      </c>
      <c r="AJ61" s="88">
        <f t="shared" si="5"/>
        <v>0</v>
      </c>
      <c r="AK61" s="98">
        <f t="shared" si="6"/>
        <v>7</v>
      </c>
      <c r="AL61" s="97">
        <f t="shared" si="7"/>
        <v>25</v>
      </c>
      <c r="AM61" s="88">
        <f t="shared" si="8"/>
        <v>0</v>
      </c>
    </row>
    <row r="62" spans="1:39" ht="19.5">
      <c r="A62" s="123" t="s">
        <v>415</v>
      </c>
      <c r="B62" s="123" t="s">
        <v>486</v>
      </c>
      <c r="C62" s="87">
        <v>1</v>
      </c>
      <c r="D62" s="87">
        <v>1</v>
      </c>
      <c r="E62" s="87">
        <v>1</v>
      </c>
      <c r="F62" s="87">
        <v>1</v>
      </c>
      <c r="G62" s="87">
        <v>1</v>
      </c>
      <c r="H62" s="87">
        <v>1</v>
      </c>
      <c r="I62" s="87">
        <v>1</v>
      </c>
      <c r="J62" s="87">
        <v>0</v>
      </c>
      <c r="K62" s="87">
        <v>1</v>
      </c>
      <c r="L62" s="87">
        <v>1</v>
      </c>
      <c r="M62" s="87">
        <v>1</v>
      </c>
      <c r="N62" s="87">
        <v>1</v>
      </c>
      <c r="O62" s="87">
        <v>1</v>
      </c>
      <c r="P62" s="87">
        <v>1</v>
      </c>
      <c r="Q62" s="87">
        <v>1</v>
      </c>
      <c r="R62" s="87">
        <v>1</v>
      </c>
      <c r="S62" s="87">
        <v>1</v>
      </c>
      <c r="T62" s="87">
        <v>1</v>
      </c>
      <c r="U62" s="87">
        <v>1</v>
      </c>
      <c r="V62" s="87">
        <v>1</v>
      </c>
      <c r="W62" s="87">
        <v>1</v>
      </c>
      <c r="X62" s="87">
        <v>1</v>
      </c>
      <c r="Y62" s="87">
        <v>1</v>
      </c>
      <c r="Z62" s="87">
        <v>1</v>
      </c>
      <c r="AA62" s="87">
        <v>1</v>
      </c>
      <c r="AB62" s="87">
        <v>1</v>
      </c>
      <c r="AC62" s="87">
        <v>1</v>
      </c>
      <c r="AD62" s="87">
        <v>0</v>
      </c>
      <c r="AE62" s="88">
        <f t="shared" si="9"/>
        <v>13</v>
      </c>
      <c r="AF62" s="97">
        <f t="shared" si="2"/>
        <v>108.33333333333333</v>
      </c>
      <c r="AG62" s="88">
        <f t="shared" si="3"/>
        <v>1</v>
      </c>
      <c r="AH62" s="88">
        <f t="shared" si="0"/>
        <v>15</v>
      </c>
      <c r="AI62" s="97">
        <f t="shared" si="4"/>
        <v>93.75</v>
      </c>
      <c r="AJ62" s="88">
        <f t="shared" si="5"/>
        <v>1</v>
      </c>
      <c r="AK62" s="98">
        <f t="shared" si="6"/>
        <v>26</v>
      </c>
      <c r="AL62" s="97">
        <f t="shared" si="7"/>
        <v>92.857142857142861</v>
      </c>
      <c r="AM62" s="88">
        <f t="shared" si="8"/>
        <v>1</v>
      </c>
    </row>
    <row r="63" spans="1:39" ht="19.5">
      <c r="A63" s="123" t="s">
        <v>415</v>
      </c>
      <c r="B63" s="123" t="s">
        <v>487</v>
      </c>
      <c r="C63" s="87">
        <v>1</v>
      </c>
      <c r="D63" s="87">
        <v>1</v>
      </c>
      <c r="E63" s="87">
        <v>1</v>
      </c>
      <c r="F63" s="87">
        <v>1</v>
      </c>
      <c r="G63" s="87">
        <v>1</v>
      </c>
      <c r="H63" s="87">
        <v>1</v>
      </c>
      <c r="I63" s="87">
        <v>1</v>
      </c>
      <c r="J63" s="87">
        <v>1</v>
      </c>
      <c r="K63" s="87">
        <v>1</v>
      </c>
      <c r="L63" s="87">
        <v>1</v>
      </c>
      <c r="M63" s="87">
        <v>1</v>
      </c>
      <c r="N63" s="87">
        <v>1</v>
      </c>
      <c r="O63" s="87">
        <v>1</v>
      </c>
      <c r="P63" s="87">
        <v>1</v>
      </c>
      <c r="Q63" s="87">
        <v>1</v>
      </c>
      <c r="R63" s="87">
        <v>1</v>
      </c>
      <c r="S63" s="87">
        <v>1</v>
      </c>
      <c r="T63" s="87">
        <v>1</v>
      </c>
      <c r="U63" s="87">
        <v>1</v>
      </c>
      <c r="V63" s="87">
        <v>1</v>
      </c>
      <c r="W63" s="87">
        <v>1</v>
      </c>
      <c r="X63" s="87">
        <v>1</v>
      </c>
      <c r="Y63" s="87">
        <v>1</v>
      </c>
      <c r="Z63" s="87">
        <v>1</v>
      </c>
      <c r="AA63" s="87">
        <v>1</v>
      </c>
      <c r="AB63" s="87">
        <v>1</v>
      </c>
      <c r="AC63" s="87">
        <v>1</v>
      </c>
      <c r="AD63" s="87">
        <v>1</v>
      </c>
      <c r="AE63" s="88">
        <f t="shared" si="9"/>
        <v>14</v>
      </c>
      <c r="AF63" s="97">
        <f t="shared" si="2"/>
        <v>116.66666666666667</v>
      </c>
      <c r="AG63" s="88">
        <f t="shared" si="3"/>
        <v>1</v>
      </c>
      <c r="AH63" s="88">
        <f t="shared" si="0"/>
        <v>16</v>
      </c>
      <c r="AI63" s="97">
        <f t="shared" si="4"/>
        <v>100</v>
      </c>
      <c r="AJ63" s="88">
        <f t="shared" si="5"/>
        <v>1</v>
      </c>
      <c r="AK63" s="98">
        <f t="shared" si="6"/>
        <v>28</v>
      </c>
      <c r="AL63" s="97">
        <f t="shared" si="7"/>
        <v>100</v>
      </c>
      <c r="AM63" s="88">
        <f t="shared" si="8"/>
        <v>1</v>
      </c>
    </row>
    <row r="64" spans="1:39" ht="19.5">
      <c r="A64" s="123" t="s">
        <v>415</v>
      </c>
      <c r="B64" s="123" t="s">
        <v>488</v>
      </c>
      <c r="C64" s="87">
        <v>1</v>
      </c>
      <c r="D64" s="87">
        <v>1</v>
      </c>
      <c r="E64" s="87">
        <v>1</v>
      </c>
      <c r="F64" s="87">
        <v>1</v>
      </c>
      <c r="G64" s="87">
        <v>1</v>
      </c>
      <c r="H64" s="87">
        <v>1</v>
      </c>
      <c r="I64" s="87">
        <v>1</v>
      </c>
      <c r="J64" s="87">
        <v>1</v>
      </c>
      <c r="K64" s="87">
        <v>1</v>
      </c>
      <c r="L64" s="87">
        <v>1</v>
      </c>
      <c r="M64" s="87">
        <v>1</v>
      </c>
      <c r="N64" s="87">
        <v>1</v>
      </c>
      <c r="O64" s="87">
        <v>1</v>
      </c>
      <c r="P64" s="87">
        <v>1</v>
      </c>
      <c r="Q64" s="87">
        <v>1</v>
      </c>
      <c r="R64" s="87">
        <v>1</v>
      </c>
      <c r="S64" s="87">
        <v>1</v>
      </c>
      <c r="T64" s="87">
        <v>1</v>
      </c>
      <c r="U64" s="87">
        <v>1</v>
      </c>
      <c r="V64" s="87">
        <v>1</v>
      </c>
      <c r="W64" s="87">
        <v>1</v>
      </c>
      <c r="X64" s="87">
        <v>1</v>
      </c>
      <c r="Y64" s="87">
        <v>1</v>
      </c>
      <c r="Z64" s="87">
        <v>1</v>
      </c>
      <c r="AA64" s="87">
        <v>1</v>
      </c>
      <c r="AB64" s="87">
        <v>1</v>
      </c>
      <c r="AC64" s="87">
        <v>1</v>
      </c>
      <c r="AD64" s="87">
        <v>1</v>
      </c>
      <c r="AE64" s="88">
        <f t="shared" si="9"/>
        <v>14</v>
      </c>
      <c r="AF64" s="97">
        <f t="shared" si="2"/>
        <v>116.66666666666667</v>
      </c>
      <c r="AG64" s="88">
        <f t="shared" si="3"/>
        <v>1</v>
      </c>
      <c r="AH64" s="88">
        <f t="shared" ref="AH64:AH85" si="10">SUM(O64:AD64)</f>
        <v>16</v>
      </c>
      <c r="AI64" s="97">
        <f t="shared" si="4"/>
        <v>100</v>
      </c>
      <c r="AJ64" s="88">
        <f t="shared" si="5"/>
        <v>1</v>
      </c>
      <c r="AK64" s="98">
        <f t="shared" si="6"/>
        <v>28</v>
      </c>
      <c r="AL64" s="97">
        <f t="shared" si="7"/>
        <v>100</v>
      </c>
      <c r="AM64" s="88">
        <f t="shared" si="8"/>
        <v>1</v>
      </c>
    </row>
    <row r="65" spans="1:39" ht="19.5">
      <c r="A65" s="123" t="s">
        <v>415</v>
      </c>
      <c r="B65" s="123" t="s">
        <v>489</v>
      </c>
      <c r="C65" s="87">
        <v>1</v>
      </c>
      <c r="D65" s="87">
        <v>1</v>
      </c>
      <c r="E65" s="87">
        <v>0</v>
      </c>
      <c r="F65" s="87">
        <v>1</v>
      </c>
      <c r="G65" s="87">
        <v>1</v>
      </c>
      <c r="H65" s="87">
        <v>0</v>
      </c>
      <c r="I65" s="87">
        <v>0</v>
      </c>
      <c r="J65" s="87">
        <v>0</v>
      </c>
      <c r="K65" s="87">
        <v>0</v>
      </c>
      <c r="L65" s="87">
        <v>1</v>
      </c>
      <c r="M65" s="87">
        <v>0</v>
      </c>
      <c r="N65" s="87">
        <v>0</v>
      </c>
      <c r="O65" s="87">
        <v>1</v>
      </c>
      <c r="P65" s="87">
        <v>0</v>
      </c>
      <c r="Q65" s="87">
        <v>0</v>
      </c>
      <c r="R65" s="87">
        <v>0</v>
      </c>
      <c r="S65" s="87">
        <v>1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1</v>
      </c>
      <c r="AB65" s="87">
        <v>0</v>
      </c>
      <c r="AC65" s="87">
        <v>0</v>
      </c>
      <c r="AD65" s="87">
        <v>0</v>
      </c>
      <c r="AE65" s="88">
        <f t="shared" si="9"/>
        <v>6</v>
      </c>
      <c r="AF65" s="97">
        <f t="shared" ref="AF65:AF87" si="11">(AE65/12)*100</f>
        <v>50</v>
      </c>
      <c r="AG65" s="88">
        <f t="shared" ref="AG65:AG87" si="12">IF(AF65&gt;=50,1,0)</f>
        <v>1</v>
      </c>
      <c r="AH65" s="88">
        <f t="shared" si="10"/>
        <v>3</v>
      </c>
      <c r="AI65" s="97">
        <f t="shared" ref="AI65:AI87" si="13">(AH65/16)*100</f>
        <v>18.75</v>
      </c>
      <c r="AJ65" s="88">
        <f t="shared" ref="AJ65:AJ87" si="14">IF(AI65&gt;=50,1,0)</f>
        <v>0</v>
      </c>
      <c r="AK65" s="98">
        <f t="shared" ref="AK65:AK87" si="15">SUM(C65:AD65)</f>
        <v>8</v>
      </c>
      <c r="AL65" s="97">
        <f t="shared" ref="AL65:AL87" si="16">(AK65/28)*100</f>
        <v>28.571428571428569</v>
      </c>
      <c r="AM65" s="88">
        <f t="shared" ref="AM65:AM87" si="17">IF(AL65&gt;=50,1,0)</f>
        <v>0</v>
      </c>
    </row>
    <row r="66" spans="1:39" ht="19.5">
      <c r="A66" s="123" t="s">
        <v>415</v>
      </c>
      <c r="B66" s="123" t="s">
        <v>490</v>
      </c>
      <c r="C66" s="87">
        <v>1</v>
      </c>
      <c r="D66" s="87">
        <v>1</v>
      </c>
      <c r="E66" s="87">
        <v>1</v>
      </c>
      <c r="F66" s="87">
        <v>0</v>
      </c>
      <c r="G66" s="87">
        <v>1</v>
      </c>
      <c r="H66" s="87">
        <v>1</v>
      </c>
      <c r="I66" s="87">
        <v>1</v>
      </c>
      <c r="J66" s="87">
        <v>0</v>
      </c>
      <c r="K66" s="87">
        <v>0</v>
      </c>
      <c r="L66" s="87">
        <v>0</v>
      </c>
      <c r="M66" s="87">
        <v>1</v>
      </c>
      <c r="N66" s="87">
        <v>0</v>
      </c>
      <c r="O66" s="87">
        <v>1</v>
      </c>
      <c r="P66" s="87">
        <v>0</v>
      </c>
      <c r="Q66" s="87">
        <v>0</v>
      </c>
      <c r="R66" s="87">
        <v>0</v>
      </c>
      <c r="S66" s="87">
        <v>1</v>
      </c>
      <c r="T66" s="87">
        <v>0</v>
      </c>
      <c r="U66" s="87">
        <v>0</v>
      </c>
      <c r="V66" s="87">
        <v>1</v>
      </c>
      <c r="W66" s="87">
        <v>1</v>
      </c>
      <c r="X66" s="87">
        <v>0</v>
      </c>
      <c r="Y66" s="87">
        <v>0</v>
      </c>
      <c r="Z66" s="87">
        <v>0</v>
      </c>
      <c r="AA66" s="87">
        <v>1</v>
      </c>
      <c r="AB66" s="87">
        <v>0</v>
      </c>
      <c r="AC66" s="87">
        <v>0</v>
      </c>
      <c r="AD66" s="87">
        <v>0</v>
      </c>
      <c r="AE66" s="88">
        <f t="shared" si="9"/>
        <v>8</v>
      </c>
      <c r="AF66" s="97">
        <f t="shared" si="11"/>
        <v>66.666666666666657</v>
      </c>
      <c r="AG66" s="88">
        <f t="shared" si="12"/>
        <v>1</v>
      </c>
      <c r="AH66" s="88">
        <f t="shared" si="10"/>
        <v>5</v>
      </c>
      <c r="AI66" s="97">
        <f t="shared" si="13"/>
        <v>31.25</v>
      </c>
      <c r="AJ66" s="88">
        <f t="shared" si="14"/>
        <v>0</v>
      </c>
      <c r="AK66" s="98">
        <f t="shared" si="15"/>
        <v>12</v>
      </c>
      <c r="AL66" s="97">
        <f t="shared" si="16"/>
        <v>42.857142857142854</v>
      </c>
      <c r="AM66" s="88">
        <f t="shared" si="17"/>
        <v>0</v>
      </c>
    </row>
    <row r="67" spans="1:39" ht="19.5">
      <c r="A67" s="123" t="s">
        <v>416</v>
      </c>
      <c r="B67" s="123" t="s">
        <v>491</v>
      </c>
      <c r="C67" s="88">
        <v>1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1</v>
      </c>
      <c r="L67" s="88">
        <v>1</v>
      </c>
      <c r="M67" s="88">
        <v>1</v>
      </c>
      <c r="N67" s="88">
        <v>0</v>
      </c>
      <c r="O67" s="88">
        <v>1</v>
      </c>
      <c r="P67" s="88">
        <v>1</v>
      </c>
      <c r="Q67" s="88">
        <v>0</v>
      </c>
      <c r="R67" s="88">
        <v>0</v>
      </c>
      <c r="S67" s="88">
        <v>1</v>
      </c>
      <c r="T67" s="88">
        <v>0</v>
      </c>
      <c r="U67" s="88">
        <v>0</v>
      </c>
      <c r="V67" s="88">
        <v>0</v>
      </c>
      <c r="W67" s="88">
        <v>1</v>
      </c>
      <c r="X67" s="88">
        <v>0</v>
      </c>
      <c r="Y67" s="88">
        <v>0</v>
      </c>
      <c r="Z67" s="88">
        <v>0</v>
      </c>
      <c r="AA67" s="88">
        <v>0</v>
      </c>
      <c r="AB67" s="88">
        <v>0</v>
      </c>
      <c r="AC67" s="88">
        <v>0</v>
      </c>
      <c r="AD67" s="88">
        <v>0</v>
      </c>
      <c r="AE67" s="88">
        <f t="shared" si="9"/>
        <v>6</v>
      </c>
      <c r="AF67" s="97">
        <f>(AE67/12)*100</f>
        <v>50</v>
      </c>
      <c r="AG67" s="88">
        <f t="shared" si="12"/>
        <v>1</v>
      </c>
      <c r="AH67" s="88">
        <f t="shared" si="10"/>
        <v>4</v>
      </c>
      <c r="AI67" s="97">
        <f t="shared" si="13"/>
        <v>25</v>
      </c>
      <c r="AJ67" s="88">
        <f t="shared" si="14"/>
        <v>0</v>
      </c>
      <c r="AK67" s="98">
        <f t="shared" si="15"/>
        <v>8</v>
      </c>
      <c r="AL67" s="97">
        <f t="shared" si="16"/>
        <v>28.571428571428569</v>
      </c>
      <c r="AM67" s="88">
        <f t="shared" si="17"/>
        <v>0</v>
      </c>
    </row>
    <row r="68" spans="1:39" ht="19.5">
      <c r="A68" s="123" t="s">
        <v>416</v>
      </c>
      <c r="B68" s="123" t="s">
        <v>492</v>
      </c>
      <c r="C68" s="88">
        <v>0</v>
      </c>
      <c r="D68" s="88">
        <v>1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1</v>
      </c>
      <c r="M68" s="88">
        <v>0</v>
      </c>
      <c r="N68" s="88">
        <v>0</v>
      </c>
      <c r="O68" s="88">
        <v>0</v>
      </c>
      <c r="P68" s="88">
        <v>1</v>
      </c>
      <c r="Q68" s="88">
        <v>0</v>
      </c>
      <c r="R68" s="88">
        <v>0</v>
      </c>
      <c r="S68" s="88">
        <v>0</v>
      </c>
      <c r="T68" s="88">
        <v>1</v>
      </c>
      <c r="U68" s="88">
        <v>1</v>
      </c>
      <c r="V68" s="88">
        <v>0</v>
      </c>
      <c r="W68" s="88">
        <v>1</v>
      </c>
      <c r="X68" s="88">
        <v>1</v>
      </c>
      <c r="Y68" s="88">
        <v>0</v>
      </c>
      <c r="Z68" s="88">
        <v>0</v>
      </c>
      <c r="AA68" s="88">
        <v>1</v>
      </c>
      <c r="AB68" s="88">
        <v>0</v>
      </c>
      <c r="AC68" s="88">
        <v>0</v>
      </c>
      <c r="AD68" s="88">
        <v>0</v>
      </c>
      <c r="AE68" s="88">
        <f t="shared" si="9"/>
        <v>3</v>
      </c>
      <c r="AF68" s="97">
        <f t="shared" si="11"/>
        <v>25</v>
      </c>
      <c r="AG68" s="88">
        <f t="shared" si="12"/>
        <v>0</v>
      </c>
      <c r="AH68" s="88">
        <f t="shared" si="10"/>
        <v>6</v>
      </c>
      <c r="AI68" s="97">
        <f t="shared" si="13"/>
        <v>37.5</v>
      </c>
      <c r="AJ68" s="88">
        <f t="shared" si="14"/>
        <v>0</v>
      </c>
      <c r="AK68" s="98">
        <f t="shared" si="15"/>
        <v>8</v>
      </c>
      <c r="AL68" s="97">
        <f t="shared" si="16"/>
        <v>28.571428571428569</v>
      </c>
      <c r="AM68" s="88">
        <f t="shared" si="17"/>
        <v>0</v>
      </c>
    </row>
    <row r="69" spans="1:39" ht="19.5">
      <c r="A69" s="123" t="s">
        <v>416</v>
      </c>
      <c r="B69" s="123" t="s">
        <v>493</v>
      </c>
      <c r="C69" s="88">
        <v>1</v>
      </c>
      <c r="D69" s="88">
        <v>1</v>
      </c>
      <c r="E69" s="88">
        <v>1</v>
      </c>
      <c r="F69" s="88">
        <v>1</v>
      </c>
      <c r="G69" s="88">
        <v>1</v>
      </c>
      <c r="H69" s="88">
        <v>1</v>
      </c>
      <c r="I69" s="88">
        <v>1</v>
      </c>
      <c r="J69" s="88">
        <v>1</v>
      </c>
      <c r="K69" s="88">
        <v>1</v>
      </c>
      <c r="L69" s="88">
        <v>1</v>
      </c>
      <c r="M69" s="88">
        <v>1</v>
      </c>
      <c r="N69" s="88">
        <v>1</v>
      </c>
      <c r="O69" s="88">
        <v>1</v>
      </c>
      <c r="P69" s="88">
        <v>1</v>
      </c>
      <c r="Q69" s="88">
        <v>1</v>
      </c>
      <c r="R69" s="88">
        <v>1</v>
      </c>
      <c r="S69" s="88">
        <v>1</v>
      </c>
      <c r="T69" s="88">
        <v>1</v>
      </c>
      <c r="U69" s="88">
        <v>1</v>
      </c>
      <c r="V69" s="88">
        <v>1</v>
      </c>
      <c r="W69" s="88">
        <v>1</v>
      </c>
      <c r="X69" s="88">
        <v>1</v>
      </c>
      <c r="Y69" s="88">
        <v>1</v>
      </c>
      <c r="Z69" s="88">
        <v>1</v>
      </c>
      <c r="AA69" s="88">
        <v>1</v>
      </c>
      <c r="AB69" s="88">
        <v>1</v>
      </c>
      <c r="AC69" s="88">
        <v>1</v>
      </c>
      <c r="AD69" s="88">
        <v>1</v>
      </c>
      <c r="AE69" s="88">
        <f t="shared" si="9"/>
        <v>14</v>
      </c>
      <c r="AF69" s="97">
        <f t="shared" si="11"/>
        <v>116.66666666666667</v>
      </c>
      <c r="AG69" s="88">
        <f t="shared" si="12"/>
        <v>1</v>
      </c>
      <c r="AH69" s="88">
        <f t="shared" si="10"/>
        <v>16</v>
      </c>
      <c r="AI69" s="97">
        <f t="shared" si="13"/>
        <v>100</v>
      </c>
      <c r="AJ69" s="88">
        <f t="shared" si="14"/>
        <v>1</v>
      </c>
      <c r="AK69" s="98">
        <f t="shared" si="15"/>
        <v>28</v>
      </c>
      <c r="AL69" s="97">
        <f t="shared" si="16"/>
        <v>100</v>
      </c>
      <c r="AM69" s="88">
        <f t="shared" si="17"/>
        <v>1</v>
      </c>
    </row>
    <row r="70" spans="1:39" ht="19.5">
      <c r="A70" s="123" t="s">
        <v>416</v>
      </c>
      <c r="B70" s="123" t="s">
        <v>494</v>
      </c>
      <c r="C70" s="88">
        <v>0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1</v>
      </c>
      <c r="T70" s="88">
        <v>1</v>
      </c>
      <c r="U70" s="88">
        <v>0</v>
      </c>
      <c r="V70" s="88">
        <v>0</v>
      </c>
      <c r="W70" s="88">
        <v>1</v>
      </c>
      <c r="X70" s="88">
        <v>0</v>
      </c>
      <c r="Y70" s="88">
        <v>0</v>
      </c>
      <c r="Z70" s="88">
        <v>0</v>
      </c>
      <c r="AA70" s="88">
        <v>1</v>
      </c>
      <c r="AB70" s="88">
        <v>0</v>
      </c>
      <c r="AC70" s="88">
        <v>0</v>
      </c>
      <c r="AD70" s="88">
        <v>0</v>
      </c>
      <c r="AE70" s="88">
        <f t="shared" si="9"/>
        <v>0</v>
      </c>
      <c r="AF70" s="97">
        <f t="shared" si="11"/>
        <v>0</v>
      </c>
      <c r="AG70" s="88">
        <f t="shared" si="12"/>
        <v>0</v>
      </c>
      <c r="AH70" s="88">
        <f t="shared" si="10"/>
        <v>4</v>
      </c>
      <c r="AI70" s="97">
        <f t="shared" si="13"/>
        <v>25</v>
      </c>
      <c r="AJ70" s="88">
        <f t="shared" si="14"/>
        <v>0</v>
      </c>
      <c r="AK70" s="98">
        <f t="shared" si="15"/>
        <v>4</v>
      </c>
      <c r="AL70" s="97">
        <f t="shared" si="16"/>
        <v>14.285714285714285</v>
      </c>
      <c r="AM70" s="88">
        <f t="shared" si="17"/>
        <v>0</v>
      </c>
    </row>
    <row r="71" spans="1:39" ht="19.5">
      <c r="A71" s="123" t="s">
        <v>416</v>
      </c>
      <c r="B71" s="123" t="s">
        <v>495</v>
      </c>
      <c r="C71" s="88">
        <v>0</v>
      </c>
      <c r="D71" s="88">
        <v>1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1</v>
      </c>
      <c r="M71" s="88">
        <v>0</v>
      </c>
      <c r="N71" s="88">
        <v>0</v>
      </c>
      <c r="O71" s="88">
        <v>1</v>
      </c>
      <c r="P71" s="88">
        <v>1</v>
      </c>
      <c r="Q71" s="88">
        <v>0</v>
      </c>
      <c r="R71" s="88">
        <v>0</v>
      </c>
      <c r="S71" s="88">
        <v>1</v>
      </c>
      <c r="T71" s="88">
        <v>1</v>
      </c>
      <c r="U71" s="88">
        <v>0</v>
      </c>
      <c r="V71" s="88">
        <v>0</v>
      </c>
      <c r="W71" s="88">
        <v>1</v>
      </c>
      <c r="X71" s="88">
        <v>1</v>
      </c>
      <c r="Y71" s="88">
        <v>0</v>
      </c>
      <c r="Z71" s="88">
        <v>0</v>
      </c>
      <c r="AA71" s="88">
        <v>1</v>
      </c>
      <c r="AB71" s="88">
        <v>1</v>
      </c>
      <c r="AC71" s="88">
        <v>0</v>
      </c>
      <c r="AD71" s="88">
        <v>0</v>
      </c>
      <c r="AE71" s="88">
        <f t="shared" si="9"/>
        <v>4</v>
      </c>
      <c r="AF71" s="97">
        <f t="shared" si="11"/>
        <v>33.333333333333329</v>
      </c>
      <c r="AG71" s="88">
        <f t="shared" si="12"/>
        <v>0</v>
      </c>
      <c r="AH71" s="88">
        <f t="shared" si="10"/>
        <v>8</v>
      </c>
      <c r="AI71" s="97">
        <f t="shared" si="13"/>
        <v>50</v>
      </c>
      <c r="AJ71" s="88">
        <f t="shared" si="14"/>
        <v>1</v>
      </c>
      <c r="AK71" s="98">
        <f t="shared" si="15"/>
        <v>10</v>
      </c>
      <c r="AL71" s="97">
        <f t="shared" si="16"/>
        <v>35.714285714285715</v>
      </c>
      <c r="AM71" s="88">
        <f t="shared" si="17"/>
        <v>0</v>
      </c>
    </row>
    <row r="72" spans="1:39" ht="19.5">
      <c r="A72" s="123" t="s">
        <v>416</v>
      </c>
      <c r="B72" s="123" t="s">
        <v>496</v>
      </c>
      <c r="C72" s="88">
        <v>0</v>
      </c>
      <c r="D72" s="88">
        <v>0</v>
      </c>
      <c r="E72" s="88">
        <v>0</v>
      </c>
      <c r="F72" s="88">
        <v>0</v>
      </c>
      <c r="G72" s="88">
        <v>0</v>
      </c>
      <c r="H72" s="88">
        <v>1</v>
      </c>
      <c r="I72" s="88">
        <v>0</v>
      </c>
      <c r="J72" s="88">
        <v>0</v>
      </c>
      <c r="K72" s="88">
        <v>0</v>
      </c>
      <c r="L72" s="88">
        <v>0</v>
      </c>
      <c r="M72" s="88">
        <v>0</v>
      </c>
      <c r="N72" s="88">
        <v>0</v>
      </c>
      <c r="O72" s="88">
        <v>0</v>
      </c>
      <c r="P72" s="88">
        <v>1</v>
      </c>
      <c r="Q72" s="88">
        <v>0</v>
      </c>
      <c r="R72" s="88">
        <v>0</v>
      </c>
      <c r="S72" s="88">
        <v>0</v>
      </c>
      <c r="T72" s="88">
        <v>0</v>
      </c>
      <c r="U72" s="88">
        <v>0</v>
      </c>
      <c r="V72" s="88">
        <v>0</v>
      </c>
      <c r="W72" s="88">
        <v>0</v>
      </c>
      <c r="X72" s="88">
        <v>0</v>
      </c>
      <c r="Y72" s="88">
        <v>0</v>
      </c>
      <c r="Z72" s="88">
        <v>0</v>
      </c>
      <c r="AA72" s="88">
        <v>0</v>
      </c>
      <c r="AB72" s="88">
        <v>0</v>
      </c>
      <c r="AC72" s="88">
        <v>0</v>
      </c>
      <c r="AD72" s="88">
        <v>0</v>
      </c>
      <c r="AE72" s="88">
        <f t="shared" si="9"/>
        <v>2</v>
      </c>
      <c r="AF72" s="97">
        <f t="shared" si="11"/>
        <v>16.666666666666664</v>
      </c>
      <c r="AG72" s="88">
        <f t="shared" si="12"/>
        <v>0</v>
      </c>
      <c r="AH72" s="88">
        <f t="shared" si="10"/>
        <v>1</v>
      </c>
      <c r="AI72" s="97">
        <f t="shared" si="13"/>
        <v>6.25</v>
      </c>
      <c r="AJ72" s="88">
        <f t="shared" si="14"/>
        <v>0</v>
      </c>
      <c r="AK72" s="98">
        <f t="shared" si="15"/>
        <v>2</v>
      </c>
      <c r="AL72" s="97">
        <f t="shared" si="16"/>
        <v>7.1428571428571423</v>
      </c>
      <c r="AM72" s="88">
        <f t="shared" si="17"/>
        <v>0</v>
      </c>
    </row>
    <row r="73" spans="1:39" ht="19.5">
      <c r="A73" s="123" t="s">
        <v>416</v>
      </c>
      <c r="B73" s="123" t="s">
        <v>497</v>
      </c>
      <c r="C73" s="88">
        <v>0</v>
      </c>
      <c r="D73" s="88">
        <v>1</v>
      </c>
      <c r="E73" s="88">
        <v>1</v>
      </c>
      <c r="F73" s="88">
        <v>0</v>
      </c>
      <c r="G73" s="88">
        <v>1</v>
      </c>
      <c r="H73" s="88">
        <v>1</v>
      </c>
      <c r="I73" s="88">
        <v>1</v>
      </c>
      <c r="J73" s="88">
        <v>0</v>
      </c>
      <c r="K73" s="88">
        <v>1</v>
      </c>
      <c r="L73" s="88">
        <v>1</v>
      </c>
      <c r="M73" s="88">
        <v>1</v>
      </c>
      <c r="N73" s="88">
        <v>0</v>
      </c>
      <c r="O73" s="88">
        <v>1</v>
      </c>
      <c r="P73" s="88">
        <v>1</v>
      </c>
      <c r="Q73" s="88">
        <v>1</v>
      </c>
      <c r="R73" s="88">
        <v>0</v>
      </c>
      <c r="S73" s="88">
        <v>1</v>
      </c>
      <c r="T73" s="88">
        <v>0</v>
      </c>
      <c r="U73" s="88">
        <v>1</v>
      </c>
      <c r="V73" s="88">
        <v>1</v>
      </c>
      <c r="W73" s="88">
        <v>1</v>
      </c>
      <c r="X73" s="88">
        <v>1</v>
      </c>
      <c r="Y73" s="88">
        <v>1</v>
      </c>
      <c r="Z73" s="88">
        <v>0</v>
      </c>
      <c r="AA73" s="88">
        <v>1</v>
      </c>
      <c r="AB73" s="88">
        <v>1</v>
      </c>
      <c r="AC73" s="88">
        <v>1</v>
      </c>
      <c r="AD73" s="88">
        <v>1</v>
      </c>
      <c r="AE73" s="88">
        <f t="shared" si="9"/>
        <v>10</v>
      </c>
      <c r="AF73" s="97">
        <f t="shared" si="11"/>
        <v>83.333333333333343</v>
      </c>
      <c r="AG73" s="88">
        <f t="shared" si="12"/>
        <v>1</v>
      </c>
      <c r="AH73" s="88">
        <f t="shared" si="10"/>
        <v>13</v>
      </c>
      <c r="AI73" s="97">
        <f t="shared" si="13"/>
        <v>81.25</v>
      </c>
      <c r="AJ73" s="88">
        <f t="shared" si="14"/>
        <v>1</v>
      </c>
      <c r="AK73" s="98">
        <f t="shared" si="15"/>
        <v>21</v>
      </c>
      <c r="AL73" s="97">
        <f t="shared" si="16"/>
        <v>75</v>
      </c>
      <c r="AM73" s="88">
        <f t="shared" si="17"/>
        <v>1</v>
      </c>
    </row>
    <row r="74" spans="1:39" ht="19.5">
      <c r="A74" s="123" t="s">
        <v>416</v>
      </c>
      <c r="B74" s="123" t="s">
        <v>498</v>
      </c>
      <c r="C74" s="88">
        <v>0</v>
      </c>
      <c r="D74" s="88">
        <v>0</v>
      </c>
      <c r="E74" s="88">
        <v>0</v>
      </c>
      <c r="F74" s="88">
        <v>0</v>
      </c>
      <c r="G74" s="88">
        <v>0</v>
      </c>
      <c r="H74" s="88">
        <v>0</v>
      </c>
      <c r="I74" s="88">
        <v>0</v>
      </c>
      <c r="J74" s="88">
        <v>0</v>
      </c>
      <c r="K74" s="88">
        <v>0</v>
      </c>
      <c r="L74" s="88">
        <v>1</v>
      </c>
      <c r="M74" s="88">
        <v>0</v>
      </c>
      <c r="N74" s="88">
        <v>0</v>
      </c>
      <c r="O74" s="88">
        <v>1</v>
      </c>
      <c r="P74" s="88">
        <v>1</v>
      </c>
      <c r="Q74" s="88">
        <v>0</v>
      </c>
      <c r="R74" s="88">
        <v>0</v>
      </c>
      <c r="S74" s="88">
        <v>1</v>
      </c>
      <c r="T74" s="88">
        <v>1</v>
      </c>
      <c r="U74" s="88">
        <v>0</v>
      </c>
      <c r="V74" s="88">
        <v>0</v>
      </c>
      <c r="W74" s="88">
        <v>0</v>
      </c>
      <c r="X74" s="88">
        <v>0</v>
      </c>
      <c r="Y74" s="88">
        <v>0</v>
      </c>
      <c r="Z74" s="88">
        <v>0</v>
      </c>
      <c r="AA74" s="88">
        <v>1</v>
      </c>
      <c r="AB74" s="88">
        <v>0</v>
      </c>
      <c r="AC74" s="88">
        <v>0</v>
      </c>
      <c r="AD74" s="88">
        <v>0</v>
      </c>
      <c r="AE74" s="88">
        <f t="shared" si="9"/>
        <v>3</v>
      </c>
      <c r="AF74" s="97">
        <f t="shared" si="11"/>
        <v>25</v>
      </c>
      <c r="AG74" s="88">
        <f t="shared" si="12"/>
        <v>0</v>
      </c>
      <c r="AH74" s="88">
        <f t="shared" si="10"/>
        <v>5</v>
      </c>
      <c r="AI74" s="97">
        <f t="shared" si="13"/>
        <v>31.25</v>
      </c>
      <c r="AJ74" s="88">
        <f t="shared" si="14"/>
        <v>0</v>
      </c>
      <c r="AK74" s="98">
        <f t="shared" si="15"/>
        <v>6</v>
      </c>
      <c r="AL74" s="97">
        <f t="shared" si="16"/>
        <v>21.428571428571427</v>
      </c>
      <c r="AM74" s="88">
        <f t="shared" si="17"/>
        <v>0</v>
      </c>
    </row>
    <row r="75" spans="1:39" ht="19.5">
      <c r="A75" s="123" t="s">
        <v>416</v>
      </c>
      <c r="B75" s="123" t="s">
        <v>499</v>
      </c>
      <c r="C75" s="88">
        <v>1</v>
      </c>
      <c r="D75" s="88">
        <v>1</v>
      </c>
      <c r="E75" s="88">
        <v>0</v>
      </c>
      <c r="F75" s="88">
        <v>0</v>
      </c>
      <c r="G75" s="88">
        <v>0</v>
      </c>
      <c r="H75" s="88">
        <v>0</v>
      </c>
      <c r="I75" s="88">
        <v>0</v>
      </c>
      <c r="J75" s="88">
        <v>0</v>
      </c>
      <c r="K75" s="88">
        <v>0</v>
      </c>
      <c r="L75" s="88">
        <v>1</v>
      </c>
      <c r="M75" s="88">
        <v>0</v>
      </c>
      <c r="N75" s="88">
        <v>0</v>
      </c>
      <c r="O75" s="88">
        <v>1</v>
      </c>
      <c r="P75" s="88">
        <v>1</v>
      </c>
      <c r="Q75" s="88">
        <v>0</v>
      </c>
      <c r="R75" s="88">
        <v>1</v>
      </c>
      <c r="S75" s="88">
        <v>1</v>
      </c>
      <c r="T75" s="88">
        <v>1</v>
      </c>
      <c r="U75" s="88">
        <v>1</v>
      </c>
      <c r="V75" s="88">
        <v>1</v>
      </c>
      <c r="W75" s="88">
        <v>1</v>
      </c>
      <c r="X75" s="88">
        <v>1</v>
      </c>
      <c r="Y75" s="88">
        <v>0</v>
      </c>
      <c r="Z75" s="88">
        <v>0</v>
      </c>
      <c r="AA75" s="88">
        <v>1</v>
      </c>
      <c r="AB75" s="88">
        <v>1</v>
      </c>
      <c r="AC75" s="88">
        <v>1</v>
      </c>
      <c r="AD75" s="88">
        <v>0</v>
      </c>
      <c r="AE75" s="88">
        <f t="shared" ref="AE75:AE87" si="18">SUM(C75:N75)</f>
        <v>3</v>
      </c>
      <c r="AF75" s="97">
        <f t="shared" si="11"/>
        <v>25</v>
      </c>
      <c r="AG75" s="88">
        <f t="shared" si="12"/>
        <v>0</v>
      </c>
      <c r="AH75" s="88">
        <f t="shared" si="10"/>
        <v>12</v>
      </c>
      <c r="AI75" s="97">
        <f t="shared" si="13"/>
        <v>75</v>
      </c>
      <c r="AJ75" s="88">
        <f t="shared" si="14"/>
        <v>1</v>
      </c>
      <c r="AK75" s="98">
        <f t="shared" si="15"/>
        <v>15</v>
      </c>
      <c r="AL75" s="97">
        <f t="shared" si="16"/>
        <v>53.571428571428569</v>
      </c>
      <c r="AM75" s="88">
        <f t="shared" si="17"/>
        <v>1</v>
      </c>
    </row>
    <row r="76" spans="1:39" ht="19.5">
      <c r="A76" s="123" t="s">
        <v>416</v>
      </c>
      <c r="B76" s="123" t="s">
        <v>500</v>
      </c>
      <c r="C76" s="88">
        <v>0</v>
      </c>
      <c r="D76" s="88">
        <v>1</v>
      </c>
      <c r="E76" s="88">
        <v>0</v>
      </c>
      <c r="F76" s="88">
        <v>0</v>
      </c>
      <c r="G76" s="88">
        <v>0</v>
      </c>
      <c r="H76" s="88">
        <v>0</v>
      </c>
      <c r="I76" s="88">
        <v>0</v>
      </c>
      <c r="J76" s="88">
        <v>0</v>
      </c>
      <c r="K76" s="88">
        <v>0</v>
      </c>
      <c r="L76" s="88">
        <v>0</v>
      </c>
      <c r="M76" s="88">
        <v>0</v>
      </c>
      <c r="N76" s="88">
        <v>0</v>
      </c>
      <c r="O76" s="88">
        <v>0</v>
      </c>
      <c r="P76" s="88">
        <v>0</v>
      </c>
      <c r="Q76" s="88">
        <v>0</v>
      </c>
      <c r="R76" s="88">
        <v>0</v>
      </c>
      <c r="S76" s="88">
        <v>1</v>
      </c>
      <c r="T76" s="88">
        <v>0</v>
      </c>
      <c r="U76" s="88">
        <v>0</v>
      </c>
      <c r="V76" s="88">
        <v>0</v>
      </c>
      <c r="W76" s="88">
        <v>1</v>
      </c>
      <c r="X76" s="88">
        <v>0</v>
      </c>
      <c r="Y76" s="88">
        <v>0</v>
      </c>
      <c r="Z76" s="88">
        <v>0</v>
      </c>
      <c r="AA76" s="88">
        <v>1</v>
      </c>
      <c r="AB76" s="88">
        <v>0</v>
      </c>
      <c r="AC76" s="88">
        <v>0</v>
      </c>
      <c r="AD76" s="88">
        <v>0</v>
      </c>
      <c r="AE76" s="88">
        <f t="shared" si="18"/>
        <v>1</v>
      </c>
      <c r="AF76" s="97">
        <f t="shared" si="11"/>
        <v>8.3333333333333321</v>
      </c>
      <c r="AG76" s="88">
        <f t="shared" si="12"/>
        <v>0</v>
      </c>
      <c r="AH76" s="88">
        <f t="shared" si="10"/>
        <v>3</v>
      </c>
      <c r="AI76" s="97">
        <f t="shared" si="13"/>
        <v>18.75</v>
      </c>
      <c r="AJ76" s="88">
        <f t="shared" si="14"/>
        <v>0</v>
      </c>
      <c r="AK76" s="98">
        <f t="shared" si="15"/>
        <v>4</v>
      </c>
      <c r="AL76" s="97">
        <f t="shared" si="16"/>
        <v>14.285714285714285</v>
      </c>
      <c r="AM76" s="88">
        <f t="shared" si="17"/>
        <v>0</v>
      </c>
    </row>
    <row r="77" spans="1:39" ht="19.5">
      <c r="A77" s="123" t="s">
        <v>416</v>
      </c>
      <c r="B77" s="123" t="s">
        <v>501</v>
      </c>
      <c r="C77" s="88">
        <v>1</v>
      </c>
      <c r="D77" s="88">
        <v>1</v>
      </c>
      <c r="E77" s="88">
        <v>1</v>
      </c>
      <c r="F77" s="88">
        <v>1</v>
      </c>
      <c r="G77" s="88">
        <v>1</v>
      </c>
      <c r="H77" s="88">
        <v>1</v>
      </c>
      <c r="I77" s="88">
        <v>0</v>
      </c>
      <c r="J77" s="88">
        <v>0</v>
      </c>
      <c r="K77" s="88">
        <v>1</v>
      </c>
      <c r="L77" s="88">
        <v>1</v>
      </c>
      <c r="M77" s="88">
        <v>1</v>
      </c>
      <c r="N77" s="88">
        <v>0</v>
      </c>
      <c r="O77" s="88">
        <v>1</v>
      </c>
      <c r="P77" s="88">
        <v>1</v>
      </c>
      <c r="Q77" s="88">
        <v>0</v>
      </c>
      <c r="R77" s="88">
        <v>0</v>
      </c>
      <c r="S77" s="88">
        <v>1</v>
      </c>
      <c r="T77" s="88">
        <v>1</v>
      </c>
      <c r="U77" s="88">
        <v>1</v>
      </c>
      <c r="V77" s="88">
        <v>1</v>
      </c>
      <c r="W77" s="88">
        <v>1</v>
      </c>
      <c r="X77" s="88">
        <v>0</v>
      </c>
      <c r="Y77" s="88">
        <v>1</v>
      </c>
      <c r="Z77" s="88">
        <v>0</v>
      </c>
      <c r="AA77" s="88">
        <v>1</v>
      </c>
      <c r="AB77" s="88">
        <v>1</v>
      </c>
      <c r="AC77" s="88">
        <v>1</v>
      </c>
      <c r="AD77" s="88">
        <v>0</v>
      </c>
      <c r="AE77" s="88">
        <f t="shared" si="18"/>
        <v>9</v>
      </c>
      <c r="AF77" s="97">
        <f t="shared" si="11"/>
        <v>75</v>
      </c>
      <c r="AG77" s="88">
        <f t="shared" si="12"/>
        <v>1</v>
      </c>
      <c r="AH77" s="88">
        <f t="shared" si="10"/>
        <v>11</v>
      </c>
      <c r="AI77" s="97">
        <f t="shared" si="13"/>
        <v>68.75</v>
      </c>
      <c r="AJ77" s="88">
        <f t="shared" si="14"/>
        <v>1</v>
      </c>
      <c r="AK77" s="98">
        <f t="shared" si="15"/>
        <v>20</v>
      </c>
      <c r="AL77" s="97">
        <f t="shared" si="16"/>
        <v>71.428571428571431</v>
      </c>
      <c r="AM77" s="88">
        <f t="shared" si="17"/>
        <v>1</v>
      </c>
    </row>
    <row r="78" spans="1:39" ht="19.5">
      <c r="A78" s="123" t="s">
        <v>416</v>
      </c>
      <c r="B78" s="123" t="s">
        <v>502</v>
      </c>
      <c r="C78" s="88">
        <v>1</v>
      </c>
      <c r="D78" s="88">
        <v>1</v>
      </c>
      <c r="E78" s="88">
        <v>1</v>
      </c>
      <c r="F78" s="88">
        <v>1</v>
      </c>
      <c r="G78" s="88">
        <v>1</v>
      </c>
      <c r="H78" s="88">
        <v>1</v>
      </c>
      <c r="I78" s="88">
        <v>1</v>
      </c>
      <c r="J78" s="88">
        <v>0</v>
      </c>
      <c r="K78" s="88">
        <v>0</v>
      </c>
      <c r="L78" s="88">
        <v>1</v>
      </c>
      <c r="M78" s="88">
        <v>0</v>
      </c>
      <c r="N78" s="88">
        <v>0</v>
      </c>
      <c r="O78" s="88">
        <v>1</v>
      </c>
      <c r="P78" s="88">
        <v>1</v>
      </c>
      <c r="Q78" s="88">
        <v>0</v>
      </c>
      <c r="R78" s="88">
        <v>0</v>
      </c>
      <c r="S78" s="88">
        <v>1</v>
      </c>
      <c r="T78" s="88">
        <v>1</v>
      </c>
      <c r="U78" s="88">
        <v>1</v>
      </c>
      <c r="V78" s="88">
        <v>1</v>
      </c>
      <c r="W78" s="88">
        <v>1</v>
      </c>
      <c r="X78" s="88">
        <v>0</v>
      </c>
      <c r="Y78" s="88">
        <v>1</v>
      </c>
      <c r="Z78" s="88">
        <v>0</v>
      </c>
      <c r="AA78" s="88">
        <v>1</v>
      </c>
      <c r="AB78" s="88">
        <v>0</v>
      </c>
      <c r="AC78" s="88">
        <v>1</v>
      </c>
      <c r="AD78" s="88">
        <v>0</v>
      </c>
      <c r="AE78" s="88">
        <f t="shared" si="18"/>
        <v>8</v>
      </c>
      <c r="AF78" s="97">
        <f t="shared" si="11"/>
        <v>66.666666666666657</v>
      </c>
      <c r="AG78" s="88">
        <f t="shared" si="12"/>
        <v>1</v>
      </c>
      <c r="AH78" s="88">
        <f t="shared" si="10"/>
        <v>10</v>
      </c>
      <c r="AI78" s="97">
        <f t="shared" si="13"/>
        <v>62.5</v>
      </c>
      <c r="AJ78" s="88">
        <f t="shared" si="14"/>
        <v>1</v>
      </c>
      <c r="AK78" s="98">
        <f t="shared" si="15"/>
        <v>18</v>
      </c>
      <c r="AL78" s="97">
        <f t="shared" si="16"/>
        <v>64.285714285714292</v>
      </c>
      <c r="AM78" s="88">
        <f t="shared" si="17"/>
        <v>1</v>
      </c>
    </row>
    <row r="79" spans="1:39" ht="19.5">
      <c r="A79" s="123" t="s">
        <v>416</v>
      </c>
      <c r="B79" s="123" t="s">
        <v>503</v>
      </c>
      <c r="C79" s="88">
        <v>0</v>
      </c>
      <c r="D79" s="88">
        <v>1</v>
      </c>
      <c r="E79" s="88">
        <v>1</v>
      </c>
      <c r="F79" s="88">
        <v>0</v>
      </c>
      <c r="G79" s="88">
        <v>0</v>
      </c>
      <c r="H79" s="88">
        <v>0</v>
      </c>
      <c r="I79" s="88">
        <v>0</v>
      </c>
      <c r="J79" s="88">
        <v>1</v>
      </c>
      <c r="K79" s="88">
        <v>0</v>
      </c>
      <c r="L79" s="88">
        <v>1</v>
      </c>
      <c r="M79" s="88">
        <v>0</v>
      </c>
      <c r="N79" s="88">
        <v>0</v>
      </c>
      <c r="O79" s="88">
        <v>1</v>
      </c>
      <c r="P79" s="88">
        <v>1</v>
      </c>
      <c r="Q79" s="88">
        <v>0</v>
      </c>
      <c r="R79" s="88">
        <v>1</v>
      </c>
      <c r="S79" s="88">
        <v>1</v>
      </c>
      <c r="T79" s="88">
        <v>0</v>
      </c>
      <c r="U79" s="88">
        <v>1</v>
      </c>
      <c r="V79" s="88">
        <v>1</v>
      </c>
      <c r="W79" s="88">
        <v>1</v>
      </c>
      <c r="X79" s="88">
        <v>0</v>
      </c>
      <c r="Y79" s="88">
        <v>0</v>
      </c>
      <c r="Z79" s="88">
        <v>0</v>
      </c>
      <c r="AA79" s="88">
        <v>0</v>
      </c>
      <c r="AB79" s="88">
        <v>0</v>
      </c>
      <c r="AC79" s="88">
        <v>0</v>
      </c>
      <c r="AD79" s="88">
        <v>0</v>
      </c>
      <c r="AE79" s="88">
        <f t="shared" si="18"/>
        <v>4</v>
      </c>
      <c r="AF79" s="97">
        <f t="shared" si="11"/>
        <v>33.333333333333329</v>
      </c>
      <c r="AG79" s="88">
        <f t="shared" si="12"/>
        <v>0</v>
      </c>
      <c r="AH79" s="88">
        <f t="shared" si="10"/>
        <v>7</v>
      </c>
      <c r="AI79" s="97">
        <f t="shared" si="13"/>
        <v>43.75</v>
      </c>
      <c r="AJ79" s="88">
        <f t="shared" si="14"/>
        <v>0</v>
      </c>
      <c r="AK79" s="98">
        <f t="shared" si="15"/>
        <v>11</v>
      </c>
      <c r="AL79" s="97">
        <f t="shared" si="16"/>
        <v>39.285714285714285</v>
      </c>
      <c r="AM79" s="88">
        <f t="shared" si="17"/>
        <v>0</v>
      </c>
    </row>
    <row r="80" spans="1:39" ht="19.5">
      <c r="A80" s="123" t="s">
        <v>416</v>
      </c>
      <c r="B80" s="123" t="s">
        <v>505</v>
      </c>
      <c r="C80" s="88">
        <v>1</v>
      </c>
      <c r="D80" s="88">
        <v>1</v>
      </c>
      <c r="E80" s="88">
        <v>1</v>
      </c>
      <c r="F80" s="88">
        <v>0</v>
      </c>
      <c r="G80" s="88">
        <v>0</v>
      </c>
      <c r="H80" s="88">
        <v>0</v>
      </c>
      <c r="I80" s="88">
        <v>1</v>
      </c>
      <c r="J80" s="88">
        <v>0</v>
      </c>
      <c r="K80" s="88">
        <v>0</v>
      </c>
      <c r="L80" s="88">
        <v>1</v>
      </c>
      <c r="M80" s="88">
        <v>0</v>
      </c>
      <c r="N80" s="88">
        <v>0</v>
      </c>
      <c r="O80" s="88">
        <v>1</v>
      </c>
      <c r="P80" s="88">
        <v>1</v>
      </c>
      <c r="Q80" s="88">
        <v>0</v>
      </c>
      <c r="R80" s="88">
        <v>0</v>
      </c>
      <c r="S80" s="88">
        <v>1</v>
      </c>
      <c r="T80" s="88">
        <v>1</v>
      </c>
      <c r="U80" s="88">
        <v>1</v>
      </c>
      <c r="V80" s="88">
        <v>0</v>
      </c>
      <c r="W80" s="88">
        <v>1</v>
      </c>
      <c r="X80" s="88">
        <v>0</v>
      </c>
      <c r="Y80" s="88">
        <v>0</v>
      </c>
      <c r="Z80" s="88">
        <v>0</v>
      </c>
      <c r="AA80" s="88">
        <v>1</v>
      </c>
      <c r="AB80" s="88">
        <v>1</v>
      </c>
      <c r="AC80" s="88">
        <v>1</v>
      </c>
      <c r="AD80" s="88">
        <v>0</v>
      </c>
      <c r="AE80" s="88">
        <f t="shared" si="18"/>
        <v>5</v>
      </c>
      <c r="AF80" s="97">
        <f t="shared" si="11"/>
        <v>41.666666666666671</v>
      </c>
      <c r="AG80" s="88">
        <f t="shared" si="12"/>
        <v>0</v>
      </c>
      <c r="AH80" s="88">
        <f t="shared" si="10"/>
        <v>9</v>
      </c>
      <c r="AI80" s="97">
        <f t="shared" si="13"/>
        <v>56.25</v>
      </c>
      <c r="AJ80" s="88">
        <f t="shared" si="14"/>
        <v>1</v>
      </c>
      <c r="AK80" s="98">
        <f t="shared" si="15"/>
        <v>14</v>
      </c>
      <c r="AL80" s="97">
        <f t="shared" si="16"/>
        <v>50</v>
      </c>
      <c r="AM80" s="88">
        <f t="shared" si="17"/>
        <v>1</v>
      </c>
    </row>
    <row r="81" spans="1:39" ht="19.5">
      <c r="A81" s="123" t="s">
        <v>416</v>
      </c>
      <c r="B81" s="123" t="s">
        <v>506</v>
      </c>
      <c r="C81" s="87">
        <v>1</v>
      </c>
      <c r="D81" s="87">
        <v>1</v>
      </c>
      <c r="E81" s="87">
        <v>1</v>
      </c>
      <c r="F81" s="87">
        <v>1</v>
      </c>
      <c r="G81" s="87">
        <v>1</v>
      </c>
      <c r="H81" s="87">
        <v>1</v>
      </c>
      <c r="I81" s="87">
        <v>1</v>
      </c>
      <c r="J81" s="87">
        <v>0</v>
      </c>
      <c r="K81" s="87">
        <v>0</v>
      </c>
      <c r="L81" s="87">
        <v>1</v>
      </c>
      <c r="M81" s="87">
        <v>0</v>
      </c>
      <c r="N81" s="87">
        <v>0</v>
      </c>
      <c r="O81" s="87">
        <v>1</v>
      </c>
      <c r="P81" s="87">
        <v>1</v>
      </c>
      <c r="Q81" s="87">
        <v>0</v>
      </c>
      <c r="R81" s="87">
        <v>0</v>
      </c>
      <c r="S81" s="87">
        <v>1</v>
      </c>
      <c r="T81" s="87">
        <v>1</v>
      </c>
      <c r="U81" s="87">
        <v>0</v>
      </c>
      <c r="V81" s="87">
        <v>1</v>
      </c>
      <c r="W81" s="87">
        <v>1</v>
      </c>
      <c r="X81" s="87">
        <v>1</v>
      </c>
      <c r="Y81" s="87">
        <v>0</v>
      </c>
      <c r="Z81" s="87">
        <v>0</v>
      </c>
      <c r="AA81" s="87">
        <v>1</v>
      </c>
      <c r="AB81" s="87">
        <v>0</v>
      </c>
      <c r="AC81" s="87">
        <v>1</v>
      </c>
      <c r="AD81" s="87">
        <v>0</v>
      </c>
      <c r="AE81" s="88">
        <f t="shared" si="18"/>
        <v>8</v>
      </c>
      <c r="AF81" s="97">
        <f t="shared" si="11"/>
        <v>66.666666666666657</v>
      </c>
      <c r="AG81" s="88">
        <f t="shared" si="12"/>
        <v>1</v>
      </c>
      <c r="AH81" s="88">
        <f t="shared" si="10"/>
        <v>9</v>
      </c>
      <c r="AI81" s="97">
        <f t="shared" si="13"/>
        <v>56.25</v>
      </c>
      <c r="AJ81" s="88">
        <f t="shared" si="14"/>
        <v>1</v>
      </c>
      <c r="AK81" s="98">
        <f t="shared" si="15"/>
        <v>17</v>
      </c>
      <c r="AL81" s="97">
        <f t="shared" si="16"/>
        <v>60.714285714285708</v>
      </c>
      <c r="AM81" s="88">
        <f t="shared" si="17"/>
        <v>1</v>
      </c>
    </row>
    <row r="82" spans="1:39" ht="19.5">
      <c r="A82" s="123" t="s">
        <v>416</v>
      </c>
      <c r="B82" s="123" t="s">
        <v>507</v>
      </c>
      <c r="C82" s="87">
        <v>1</v>
      </c>
      <c r="D82" s="87">
        <v>1</v>
      </c>
      <c r="E82" s="87">
        <v>1</v>
      </c>
      <c r="F82" s="87">
        <v>1</v>
      </c>
      <c r="G82" s="87">
        <v>1</v>
      </c>
      <c r="H82" s="87">
        <v>1</v>
      </c>
      <c r="I82" s="87">
        <v>1</v>
      </c>
      <c r="J82" s="87">
        <v>1</v>
      </c>
      <c r="K82" s="87">
        <v>1</v>
      </c>
      <c r="L82" s="87">
        <v>1</v>
      </c>
      <c r="M82" s="87">
        <v>1</v>
      </c>
      <c r="N82" s="87">
        <v>1</v>
      </c>
      <c r="O82" s="87">
        <v>1</v>
      </c>
      <c r="P82" s="87">
        <v>1</v>
      </c>
      <c r="Q82" s="87">
        <v>1</v>
      </c>
      <c r="R82" s="87">
        <v>1</v>
      </c>
      <c r="S82" s="87">
        <v>1</v>
      </c>
      <c r="T82" s="87">
        <v>1</v>
      </c>
      <c r="U82" s="87">
        <v>1</v>
      </c>
      <c r="V82" s="87">
        <v>1</v>
      </c>
      <c r="W82" s="87">
        <v>1</v>
      </c>
      <c r="X82" s="87">
        <v>1</v>
      </c>
      <c r="Y82" s="87">
        <v>1</v>
      </c>
      <c r="Z82" s="87">
        <v>1</v>
      </c>
      <c r="AA82" s="87">
        <v>1</v>
      </c>
      <c r="AB82" s="87">
        <v>1</v>
      </c>
      <c r="AC82" s="87">
        <v>1</v>
      </c>
      <c r="AD82" s="87">
        <v>1</v>
      </c>
      <c r="AE82" s="88">
        <f t="shared" si="18"/>
        <v>12</v>
      </c>
      <c r="AF82" s="97">
        <f t="shared" si="11"/>
        <v>100</v>
      </c>
      <c r="AG82" s="88">
        <f t="shared" si="12"/>
        <v>1</v>
      </c>
      <c r="AH82" s="88">
        <f t="shared" si="10"/>
        <v>16</v>
      </c>
      <c r="AI82" s="97">
        <f t="shared" si="13"/>
        <v>100</v>
      </c>
      <c r="AJ82" s="88">
        <f t="shared" si="14"/>
        <v>1</v>
      </c>
      <c r="AK82" s="98">
        <f t="shared" si="15"/>
        <v>28</v>
      </c>
      <c r="AL82" s="97">
        <f t="shared" si="16"/>
        <v>100</v>
      </c>
      <c r="AM82" s="88">
        <f t="shared" si="17"/>
        <v>1</v>
      </c>
    </row>
    <row r="83" spans="1:39" ht="19.5">
      <c r="A83" s="123" t="s">
        <v>416</v>
      </c>
      <c r="B83" s="123" t="s">
        <v>508</v>
      </c>
      <c r="C83" s="87">
        <v>1</v>
      </c>
      <c r="D83" s="87">
        <v>1</v>
      </c>
      <c r="E83" s="87">
        <v>1</v>
      </c>
      <c r="F83" s="87">
        <v>1</v>
      </c>
      <c r="G83" s="87">
        <v>1</v>
      </c>
      <c r="H83" s="87">
        <v>1</v>
      </c>
      <c r="I83" s="87">
        <v>1</v>
      </c>
      <c r="J83" s="87">
        <v>0</v>
      </c>
      <c r="K83" s="87">
        <v>0</v>
      </c>
      <c r="L83" s="87">
        <v>1</v>
      </c>
      <c r="M83" s="87">
        <v>0</v>
      </c>
      <c r="N83" s="87">
        <v>0</v>
      </c>
      <c r="O83" s="87">
        <v>1</v>
      </c>
      <c r="P83" s="87">
        <v>1</v>
      </c>
      <c r="Q83" s="87">
        <v>0</v>
      </c>
      <c r="R83" s="87">
        <v>0</v>
      </c>
      <c r="S83" s="87">
        <v>1</v>
      </c>
      <c r="T83" s="87">
        <v>1</v>
      </c>
      <c r="U83" s="87">
        <v>1</v>
      </c>
      <c r="V83" s="87">
        <v>1</v>
      </c>
      <c r="W83" s="87">
        <v>1</v>
      </c>
      <c r="X83" s="87">
        <v>0</v>
      </c>
      <c r="Y83" s="87">
        <v>1</v>
      </c>
      <c r="Z83" s="87">
        <v>0</v>
      </c>
      <c r="AA83" s="87">
        <v>1</v>
      </c>
      <c r="AB83" s="87">
        <v>1</v>
      </c>
      <c r="AC83" s="87">
        <v>1</v>
      </c>
      <c r="AD83" s="87">
        <v>0</v>
      </c>
      <c r="AE83" s="88">
        <f t="shared" si="18"/>
        <v>8</v>
      </c>
      <c r="AF83" s="97">
        <f t="shared" si="11"/>
        <v>66.666666666666657</v>
      </c>
      <c r="AG83" s="88">
        <f t="shared" si="12"/>
        <v>1</v>
      </c>
      <c r="AH83" s="88">
        <f t="shared" si="10"/>
        <v>11</v>
      </c>
      <c r="AI83" s="97">
        <f t="shared" si="13"/>
        <v>68.75</v>
      </c>
      <c r="AJ83" s="88">
        <f t="shared" si="14"/>
        <v>1</v>
      </c>
      <c r="AK83" s="98">
        <f t="shared" si="15"/>
        <v>19</v>
      </c>
      <c r="AL83" s="97">
        <f t="shared" si="16"/>
        <v>67.857142857142861</v>
      </c>
      <c r="AM83" s="88">
        <f t="shared" si="17"/>
        <v>1</v>
      </c>
    </row>
    <row r="84" spans="1:39" ht="19.5">
      <c r="A84" s="123" t="s">
        <v>416</v>
      </c>
      <c r="B84" s="123" t="s">
        <v>509</v>
      </c>
      <c r="C84" s="87">
        <v>1</v>
      </c>
      <c r="D84" s="87">
        <v>1</v>
      </c>
      <c r="E84" s="87">
        <v>0</v>
      </c>
      <c r="F84" s="87">
        <v>0</v>
      </c>
      <c r="G84" s="87">
        <v>1</v>
      </c>
      <c r="H84" s="87">
        <v>0</v>
      </c>
      <c r="I84" s="87">
        <v>0</v>
      </c>
      <c r="J84" s="87">
        <v>0</v>
      </c>
      <c r="K84" s="87">
        <v>0</v>
      </c>
      <c r="L84" s="87">
        <v>1</v>
      </c>
      <c r="M84" s="87">
        <v>0</v>
      </c>
      <c r="N84" s="87">
        <v>0</v>
      </c>
      <c r="O84" s="87">
        <v>1</v>
      </c>
      <c r="P84" s="87">
        <v>1</v>
      </c>
      <c r="Q84" s="87">
        <v>0</v>
      </c>
      <c r="R84" s="87">
        <v>0</v>
      </c>
      <c r="S84" s="87">
        <v>1</v>
      </c>
      <c r="T84" s="87">
        <v>1</v>
      </c>
      <c r="U84" s="87">
        <v>1</v>
      </c>
      <c r="V84" s="87">
        <v>1</v>
      </c>
      <c r="W84" s="87">
        <v>1</v>
      </c>
      <c r="X84" s="87">
        <v>1</v>
      </c>
      <c r="Y84" s="87">
        <v>1</v>
      </c>
      <c r="Z84" s="87">
        <v>0</v>
      </c>
      <c r="AA84" s="87">
        <v>1</v>
      </c>
      <c r="AB84" s="87">
        <v>1</v>
      </c>
      <c r="AC84" s="87">
        <v>1</v>
      </c>
      <c r="AD84" s="87">
        <v>0</v>
      </c>
      <c r="AE84" s="88">
        <f t="shared" si="18"/>
        <v>4</v>
      </c>
      <c r="AF84" s="97">
        <f t="shared" si="11"/>
        <v>33.333333333333329</v>
      </c>
      <c r="AG84" s="88">
        <f t="shared" si="12"/>
        <v>0</v>
      </c>
      <c r="AH84" s="88">
        <f t="shared" si="10"/>
        <v>12</v>
      </c>
      <c r="AI84" s="97">
        <f t="shared" si="13"/>
        <v>75</v>
      </c>
      <c r="AJ84" s="88">
        <f t="shared" si="14"/>
        <v>1</v>
      </c>
      <c r="AK84" s="98">
        <f t="shared" si="15"/>
        <v>16</v>
      </c>
      <c r="AL84" s="97">
        <f t="shared" si="16"/>
        <v>57.142857142857139</v>
      </c>
      <c r="AM84" s="88">
        <f t="shared" si="17"/>
        <v>1</v>
      </c>
    </row>
    <row r="85" spans="1:39" ht="19.5">
      <c r="A85" s="123" t="s">
        <v>416</v>
      </c>
      <c r="B85" s="123" t="s">
        <v>510</v>
      </c>
      <c r="C85" s="87">
        <v>1</v>
      </c>
      <c r="D85" s="87">
        <v>1</v>
      </c>
      <c r="E85" s="87">
        <v>1</v>
      </c>
      <c r="F85" s="87">
        <v>0</v>
      </c>
      <c r="G85" s="87">
        <v>1</v>
      </c>
      <c r="H85" s="87">
        <v>0</v>
      </c>
      <c r="I85" s="87">
        <v>0</v>
      </c>
      <c r="J85" s="87">
        <v>0</v>
      </c>
      <c r="K85" s="87">
        <v>0</v>
      </c>
      <c r="L85" s="87">
        <v>1</v>
      </c>
      <c r="M85" s="87">
        <v>0</v>
      </c>
      <c r="N85" s="87">
        <v>0</v>
      </c>
      <c r="O85" s="87">
        <v>1</v>
      </c>
      <c r="P85" s="87">
        <v>0</v>
      </c>
      <c r="Q85" s="87">
        <v>1</v>
      </c>
      <c r="R85" s="87">
        <v>0</v>
      </c>
      <c r="S85" s="87">
        <v>1</v>
      </c>
      <c r="T85" s="87">
        <v>1</v>
      </c>
      <c r="U85" s="87">
        <v>1</v>
      </c>
      <c r="V85" s="87">
        <v>0</v>
      </c>
      <c r="W85" s="87">
        <v>1</v>
      </c>
      <c r="X85" s="87">
        <v>0</v>
      </c>
      <c r="Y85" s="87">
        <v>0</v>
      </c>
      <c r="Z85" s="87">
        <v>0</v>
      </c>
      <c r="AA85" s="87">
        <v>1</v>
      </c>
      <c r="AB85" s="87">
        <v>1</v>
      </c>
      <c r="AC85" s="87">
        <v>1</v>
      </c>
      <c r="AD85" s="87">
        <v>0</v>
      </c>
      <c r="AE85" s="88">
        <f t="shared" si="18"/>
        <v>5</v>
      </c>
      <c r="AF85" s="97">
        <f t="shared" si="11"/>
        <v>41.666666666666671</v>
      </c>
      <c r="AG85" s="88">
        <f t="shared" si="12"/>
        <v>0</v>
      </c>
      <c r="AH85" s="88">
        <f t="shared" si="10"/>
        <v>9</v>
      </c>
      <c r="AI85" s="97">
        <f t="shared" si="13"/>
        <v>56.25</v>
      </c>
      <c r="AJ85" s="88">
        <f t="shared" si="14"/>
        <v>1</v>
      </c>
      <c r="AK85" s="98">
        <f t="shared" si="15"/>
        <v>14</v>
      </c>
      <c r="AL85" s="97">
        <f t="shared" si="16"/>
        <v>50</v>
      </c>
      <c r="AM85" s="88">
        <f t="shared" si="17"/>
        <v>1</v>
      </c>
    </row>
    <row r="86" spans="1:39" ht="19.5">
      <c r="A86" s="123" t="s">
        <v>416</v>
      </c>
      <c r="B86" s="123" t="s">
        <v>511</v>
      </c>
      <c r="C86" s="87">
        <v>1</v>
      </c>
      <c r="D86" s="87">
        <v>1</v>
      </c>
      <c r="E86" s="87">
        <v>1</v>
      </c>
      <c r="F86" s="87">
        <v>1</v>
      </c>
      <c r="G86" s="87">
        <v>1</v>
      </c>
      <c r="H86" s="87">
        <v>0</v>
      </c>
      <c r="I86" s="87">
        <v>1</v>
      </c>
      <c r="J86" s="87">
        <v>0</v>
      </c>
      <c r="K86" s="87">
        <v>1</v>
      </c>
      <c r="L86" s="87">
        <v>1</v>
      </c>
      <c r="M86" s="87">
        <v>1</v>
      </c>
      <c r="N86" s="87">
        <v>1</v>
      </c>
      <c r="O86" s="87">
        <v>1</v>
      </c>
      <c r="P86" s="87">
        <v>1</v>
      </c>
      <c r="Q86" s="87">
        <v>1</v>
      </c>
      <c r="R86" s="87">
        <v>1</v>
      </c>
      <c r="S86" s="87">
        <v>1</v>
      </c>
      <c r="T86" s="87">
        <v>1</v>
      </c>
      <c r="U86" s="87">
        <v>1</v>
      </c>
      <c r="V86" s="87">
        <v>1</v>
      </c>
      <c r="W86" s="87">
        <v>1</v>
      </c>
      <c r="X86" s="87">
        <v>1</v>
      </c>
      <c r="Y86" s="87">
        <v>1</v>
      </c>
      <c r="Z86" s="87">
        <v>1</v>
      </c>
      <c r="AA86" s="87">
        <v>1</v>
      </c>
      <c r="AB86" s="87">
        <v>1</v>
      </c>
      <c r="AC86" s="87">
        <v>1</v>
      </c>
      <c r="AD86" s="87">
        <v>0</v>
      </c>
      <c r="AE86" s="88">
        <f t="shared" si="18"/>
        <v>10</v>
      </c>
      <c r="AF86" s="97">
        <f t="shared" si="11"/>
        <v>83.333333333333343</v>
      </c>
      <c r="AG86" s="88">
        <f t="shared" si="12"/>
        <v>1</v>
      </c>
      <c r="AH86" s="88">
        <f>SUM(O86:AD86)</f>
        <v>15</v>
      </c>
      <c r="AI86" s="97">
        <f t="shared" si="13"/>
        <v>93.75</v>
      </c>
      <c r="AJ86" s="88">
        <f t="shared" si="14"/>
        <v>1</v>
      </c>
      <c r="AK86" s="98">
        <f t="shared" si="15"/>
        <v>25</v>
      </c>
      <c r="AL86" s="97">
        <f t="shared" si="16"/>
        <v>89.285714285714292</v>
      </c>
      <c r="AM86" s="88">
        <f t="shared" si="17"/>
        <v>1</v>
      </c>
    </row>
    <row r="87" spans="1:39" ht="19.5">
      <c r="A87" s="123" t="s">
        <v>416</v>
      </c>
      <c r="B87" s="123" t="s">
        <v>534</v>
      </c>
      <c r="C87" s="87">
        <v>1</v>
      </c>
      <c r="D87" s="87">
        <v>1</v>
      </c>
      <c r="E87" s="87">
        <v>1</v>
      </c>
      <c r="F87" s="87">
        <v>1</v>
      </c>
      <c r="G87" s="87">
        <v>1</v>
      </c>
      <c r="H87" s="87">
        <v>1</v>
      </c>
      <c r="I87" s="87">
        <v>1</v>
      </c>
      <c r="J87" s="87">
        <v>1</v>
      </c>
      <c r="K87" s="87">
        <v>1</v>
      </c>
      <c r="L87" s="87">
        <v>1</v>
      </c>
      <c r="M87" s="87">
        <v>1</v>
      </c>
      <c r="N87" s="87">
        <v>1</v>
      </c>
      <c r="O87" s="87">
        <v>1</v>
      </c>
      <c r="P87" s="87">
        <v>1</v>
      </c>
      <c r="Q87" s="87">
        <v>1</v>
      </c>
      <c r="R87" s="87">
        <v>1</v>
      </c>
      <c r="S87" s="87">
        <v>1</v>
      </c>
      <c r="T87" s="87">
        <v>0</v>
      </c>
      <c r="U87" s="87">
        <v>1</v>
      </c>
      <c r="V87" s="87">
        <v>1</v>
      </c>
      <c r="W87" s="87">
        <v>1</v>
      </c>
      <c r="X87" s="87">
        <v>1</v>
      </c>
      <c r="Y87" s="87">
        <v>1</v>
      </c>
      <c r="Z87" s="87">
        <v>1</v>
      </c>
      <c r="AA87" s="87">
        <v>1</v>
      </c>
      <c r="AB87" s="87">
        <v>1</v>
      </c>
      <c r="AC87" s="87">
        <v>1</v>
      </c>
      <c r="AD87" s="87">
        <v>1</v>
      </c>
      <c r="AE87" s="88">
        <f t="shared" si="18"/>
        <v>12</v>
      </c>
      <c r="AF87" s="97">
        <f t="shared" si="11"/>
        <v>100</v>
      </c>
      <c r="AG87" s="88">
        <f t="shared" si="12"/>
        <v>1</v>
      </c>
      <c r="AH87" s="88">
        <f>SUM(O87:AD87)</f>
        <v>15</v>
      </c>
      <c r="AI87" s="97">
        <f t="shared" si="13"/>
        <v>93.75</v>
      </c>
      <c r="AJ87" s="88">
        <f t="shared" si="14"/>
        <v>1</v>
      </c>
      <c r="AK87" s="98">
        <f t="shared" si="15"/>
        <v>27</v>
      </c>
      <c r="AL87" s="97">
        <f t="shared" si="16"/>
        <v>96.428571428571431</v>
      </c>
      <c r="AM87" s="88">
        <f t="shared" si="17"/>
        <v>1</v>
      </c>
    </row>
  </sheetData>
  <phoneticPr fontId="1" type="noConversion"/>
  <pageMargins left="0.25" right="0.25" top="0.75" bottom="0.75" header="0.3" footer="0.3"/>
  <pageSetup paperSize="9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R39"/>
  <sheetViews>
    <sheetView zoomScale="90" zoomScaleNormal="90" workbookViewId="0">
      <selection activeCell="Q16" sqref="Q16"/>
    </sheetView>
  </sheetViews>
  <sheetFormatPr defaultRowHeight="19.5"/>
  <cols>
    <col min="1" max="1" width="21.875" style="16" customWidth="1"/>
    <col min="2" max="2" width="9.375" style="16" bestFit="1" customWidth="1"/>
    <col min="3" max="3" width="9" style="83"/>
    <col min="4" max="4" width="7.5" style="16" customWidth="1"/>
    <col min="5" max="5" width="6.75" style="83" customWidth="1"/>
    <col min="6" max="6" width="10" style="16" customWidth="1"/>
    <col min="7" max="7" width="9" style="83"/>
    <col min="8" max="8" width="8.375" style="16" customWidth="1"/>
    <col min="9" max="9" width="6.75" style="83" customWidth="1"/>
    <col min="10" max="10" width="10.875" style="16" customWidth="1"/>
    <col min="11" max="11" width="9" style="83"/>
    <col min="12" max="12" width="7.875" style="16" customWidth="1"/>
    <col min="13" max="13" width="6.875" style="16" customWidth="1"/>
    <col min="14" max="14" width="9" style="16"/>
    <col min="15" max="15" width="10.125" style="16" customWidth="1"/>
    <col min="16" max="16" width="7.625" style="16" customWidth="1"/>
    <col min="17" max="17" width="8.5" style="16" customWidth="1"/>
    <col min="18" max="16384" width="9" style="16"/>
  </cols>
  <sheetData>
    <row r="1" spans="1:18" ht="33">
      <c r="A1" s="127" t="s">
        <v>373</v>
      </c>
      <c r="B1" s="128"/>
      <c r="C1" s="129"/>
      <c r="D1" s="128"/>
      <c r="E1" s="129"/>
      <c r="F1" s="128"/>
      <c r="G1" s="129"/>
      <c r="H1" s="128"/>
      <c r="I1" s="129"/>
      <c r="J1" s="128"/>
      <c r="K1" s="129"/>
      <c r="L1" s="128"/>
      <c r="M1" s="128"/>
      <c r="N1" s="128"/>
      <c r="O1" s="128"/>
      <c r="P1" s="128"/>
      <c r="Q1" s="128"/>
      <c r="R1" s="95"/>
    </row>
    <row r="2" spans="1:18">
      <c r="A2" s="128"/>
      <c r="B2" s="128"/>
      <c r="C2" s="129"/>
      <c r="D2" s="128"/>
      <c r="E2" s="129"/>
      <c r="F2" s="128"/>
      <c r="G2" s="129"/>
      <c r="H2" s="128"/>
      <c r="I2" s="129"/>
      <c r="J2" s="128"/>
      <c r="K2" s="129"/>
      <c r="L2" s="128"/>
      <c r="M2" s="128"/>
      <c r="N2" s="128"/>
      <c r="O2" s="128"/>
      <c r="P2" s="128"/>
      <c r="Q2" s="128"/>
      <c r="R2" s="95"/>
    </row>
    <row r="3" spans="1:18" ht="20.25" customHeight="1">
      <c r="A3" s="130" t="s">
        <v>544</v>
      </c>
      <c r="B3" s="112" t="s">
        <v>418</v>
      </c>
      <c r="C3" s="113" t="s">
        <v>41</v>
      </c>
      <c r="D3" s="113" t="s">
        <v>5</v>
      </c>
      <c r="E3" s="113" t="s">
        <v>8</v>
      </c>
      <c r="F3" s="113" t="s">
        <v>42</v>
      </c>
      <c r="G3" s="113" t="s">
        <v>4</v>
      </c>
      <c r="H3" s="113" t="s">
        <v>16</v>
      </c>
      <c r="I3" s="113" t="s">
        <v>9</v>
      </c>
      <c r="J3" s="113" t="s">
        <v>15</v>
      </c>
      <c r="K3" s="113" t="s">
        <v>13</v>
      </c>
      <c r="L3" s="113" t="s">
        <v>523</v>
      </c>
      <c r="M3" s="113" t="s">
        <v>420</v>
      </c>
      <c r="N3" s="128"/>
      <c r="O3" s="128"/>
      <c r="P3" s="128"/>
      <c r="Q3" s="128"/>
      <c r="R3" s="95"/>
    </row>
    <row r="4" spans="1:18">
      <c r="A4" s="131" t="s">
        <v>536</v>
      </c>
      <c r="B4" s="117">
        <f>SUM('Unit 1'!C2:C22)</f>
        <v>14</v>
      </c>
      <c r="C4" s="117">
        <f>SUM('Unit 1'!D2:D22)</f>
        <v>18</v>
      </c>
      <c r="D4" s="117">
        <f>SUM('Unit 1'!E2:E22)</f>
        <v>17</v>
      </c>
      <c r="E4" s="117">
        <f>SUM('Unit 1'!F2:F22)</f>
        <v>9</v>
      </c>
      <c r="F4" s="117">
        <f>SUM('Unit 1'!G2:G22)</f>
        <v>18</v>
      </c>
      <c r="G4" s="117">
        <f>SUM('Unit 1'!H2:H22)</f>
        <v>14</v>
      </c>
      <c r="H4" s="117">
        <f>SUM('Unit 1'!I2:I22)</f>
        <v>9</v>
      </c>
      <c r="I4" s="117">
        <f>SUM('Unit 1'!J2:J22)</f>
        <v>4</v>
      </c>
      <c r="J4" s="117">
        <f>SUM('Unit 1'!K2:K22)</f>
        <v>3</v>
      </c>
      <c r="K4" s="117">
        <f>SUM('Unit 1'!L2:L22)</f>
        <v>16</v>
      </c>
      <c r="L4" s="117">
        <f>SUM('Unit 1'!M2:M22)</f>
        <v>8</v>
      </c>
      <c r="M4" s="117">
        <f>SUM('Unit 1'!N2:N22)</f>
        <v>5</v>
      </c>
      <c r="N4" s="128"/>
      <c r="O4" s="128"/>
      <c r="P4" s="128"/>
      <c r="Q4" s="128"/>
      <c r="R4" s="95"/>
    </row>
    <row r="5" spans="1:18">
      <c r="A5" s="131" t="s">
        <v>526</v>
      </c>
      <c r="B5" s="117">
        <f>(B4/21)*100</f>
        <v>66.666666666666657</v>
      </c>
      <c r="C5" s="117">
        <f t="shared" ref="C5:M5" si="0">(C4/21)*100</f>
        <v>85.714285714285708</v>
      </c>
      <c r="D5" s="117">
        <f t="shared" si="0"/>
        <v>80.952380952380949</v>
      </c>
      <c r="E5" s="117">
        <f t="shared" si="0"/>
        <v>42.857142857142854</v>
      </c>
      <c r="F5" s="117">
        <f t="shared" si="0"/>
        <v>85.714285714285708</v>
      </c>
      <c r="G5" s="117">
        <f t="shared" si="0"/>
        <v>66.666666666666657</v>
      </c>
      <c r="H5" s="117">
        <f t="shared" si="0"/>
        <v>42.857142857142854</v>
      </c>
      <c r="I5" s="117">
        <f t="shared" si="0"/>
        <v>19.047619047619047</v>
      </c>
      <c r="J5" s="117">
        <f t="shared" si="0"/>
        <v>14.285714285714285</v>
      </c>
      <c r="K5" s="117">
        <f t="shared" si="0"/>
        <v>76.19047619047619</v>
      </c>
      <c r="L5" s="117">
        <f t="shared" si="0"/>
        <v>38.095238095238095</v>
      </c>
      <c r="M5" s="117">
        <f t="shared" si="0"/>
        <v>23.809523809523807</v>
      </c>
      <c r="N5" s="128"/>
      <c r="O5" s="128"/>
      <c r="P5" s="128"/>
      <c r="Q5" s="128"/>
      <c r="R5" s="95"/>
    </row>
    <row r="6" spans="1:18">
      <c r="A6" s="131" t="s">
        <v>527</v>
      </c>
      <c r="B6" s="117">
        <f>SUM('Unit 1'!C23:C43)</f>
        <v>16</v>
      </c>
      <c r="C6" s="117">
        <f>SUM('Unit 1'!D23:D43)</f>
        <v>19</v>
      </c>
      <c r="D6" s="117">
        <f>SUM('Unit 1'!E23:E43)</f>
        <v>15</v>
      </c>
      <c r="E6" s="117">
        <f>SUM('Unit 1'!F23:F43)</f>
        <v>11</v>
      </c>
      <c r="F6" s="117">
        <f>SUM('Unit 1'!G23:G43)</f>
        <v>17</v>
      </c>
      <c r="G6" s="117">
        <f>SUM('Unit 1'!H23:H43)</f>
        <v>14</v>
      </c>
      <c r="H6" s="117">
        <f>SUM('Unit 1'!I23:I43)</f>
        <v>12</v>
      </c>
      <c r="I6" s="117">
        <f>SUM('Unit 1'!J23:J43)</f>
        <v>5</v>
      </c>
      <c r="J6" s="117">
        <f>SUM('Unit 1'!K23:K43)</f>
        <v>4</v>
      </c>
      <c r="K6" s="117">
        <f>SUM('Unit 1'!L23:L43)</f>
        <v>17</v>
      </c>
      <c r="L6" s="117">
        <f>SUM('Unit 1'!M23:M43)</f>
        <v>11</v>
      </c>
      <c r="M6" s="117">
        <f>SUM('Unit 1'!N23:N43)</f>
        <v>10</v>
      </c>
      <c r="N6" s="128"/>
      <c r="O6" s="128"/>
      <c r="P6" s="128"/>
      <c r="Q6" s="128"/>
      <c r="R6" s="95"/>
    </row>
    <row r="7" spans="1:18">
      <c r="A7" s="117" t="s">
        <v>528</v>
      </c>
      <c r="B7" s="117">
        <f>(B6/21)*100</f>
        <v>76.19047619047619</v>
      </c>
      <c r="C7" s="117">
        <f t="shared" ref="C7:M7" si="1">(C6/21)*100</f>
        <v>90.476190476190482</v>
      </c>
      <c r="D7" s="117">
        <f t="shared" si="1"/>
        <v>71.428571428571431</v>
      </c>
      <c r="E7" s="117">
        <f t="shared" si="1"/>
        <v>52.380952380952387</v>
      </c>
      <c r="F7" s="117">
        <f t="shared" si="1"/>
        <v>80.952380952380949</v>
      </c>
      <c r="G7" s="117">
        <f t="shared" si="1"/>
        <v>66.666666666666657</v>
      </c>
      <c r="H7" s="117">
        <f t="shared" si="1"/>
        <v>57.142857142857139</v>
      </c>
      <c r="I7" s="117">
        <f t="shared" si="1"/>
        <v>23.809523809523807</v>
      </c>
      <c r="J7" s="117">
        <f t="shared" si="1"/>
        <v>19.047619047619047</v>
      </c>
      <c r="K7" s="117">
        <f t="shared" si="1"/>
        <v>80.952380952380949</v>
      </c>
      <c r="L7" s="117">
        <f t="shared" si="1"/>
        <v>52.380952380952387</v>
      </c>
      <c r="M7" s="117">
        <f t="shared" si="1"/>
        <v>47.619047619047613</v>
      </c>
      <c r="N7" s="128"/>
      <c r="O7" s="128"/>
      <c r="P7" s="129"/>
      <c r="Q7" s="128"/>
      <c r="R7" s="95"/>
    </row>
    <row r="8" spans="1:18">
      <c r="A8" s="131" t="s">
        <v>529</v>
      </c>
      <c r="B8" s="132">
        <f>SUM('Unit 1'!C44:C66)</f>
        <v>18</v>
      </c>
      <c r="C8" s="132">
        <f>SUM('Unit 1'!D44:D66)</f>
        <v>22</v>
      </c>
      <c r="D8" s="132">
        <f>SUM('Unit 1'!E44:E66)</f>
        <v>21</v>
      </c>
      <c r="E8" s="132">
        <f>SUM('Unit 1'!F44:F66)</f>
        <v>15</v>
      </c>
      <c r="F8" s="132">
        <f>SUM('Unit 1'!G44:G66)</f>
        <v>17</v>
      </c>
      <c r="G8" s="132">
        <f>SUM('Unit 1'!H44:H66)</f>
        <v>15</v>
      </c>
      <c r="H8" s="132">
        <f>SUM('Unit 1'!I44:I66)</f>
        <v>15</v>
      </c>
      <c r="I8" s="132">
        <f>SUM('Unit 1'!J44:J66)</f>
        <v>7</v>
      </c>
      <c r="J8" s="132">
        <f>SUM('Unit 1'!K44:K66)</f>
        <v>11</v>
      </c>
      <c r="K8" s="132">
        <f>SUM('Unit 1'!L44:L66)</f>
        <v>19</v>
      </c>
      <c r="L8" s="132">
        <f>SUM('Unit 1'!M44:M66)</f>
        <v>15</v>
      </c>
      <c r="M8" s="132">
        <f>SUM('Unit 1'!N44:N66)</f>
        <v>11</v>
      </c>
      <c r="N8" s="128"/>
      <c r="O8" s="128"/>
      <c r="P8" s="128"/>
      <c r="Q8" s="128"/>
      <c r="R8" s="95"/>
    </row>
    <row r="9" spans="1:18">
      <c r="A9" s="117" t="s">
        <v>530</v>
      </c>
      <c r="B9" s="117">
        <f>(B8/23)*100</f>
        <v>78.260869565217391</v>
      </c>
      <c r="C9" s="117">
        <f t="shared" ref="C9:M9" si="2">(C8/23)*100</f>
        <v>95.652173913043484</v>
      </c>
      <c r="D9" s="117">
        <f t="shared" si="2"/>
        <v>91.304347826086953</v>
      </c>
      <c r="E9" s="117">
        <f t="shared" si="2"/>
        <v>65.217391304347828</v>
      </c>
      <c r="F9" s="117">
        <f t="shared" si="2"/>
        <v>73.91304347826086</v>
      </c>
      <c r="G9" s="117">
        <f t="shared" si="2"/>
        <v>65.217391304347828</v>
      </c>
      <c r="H9" s="117">
        <f t="shared" si="2"/>
        <v>65.217391304347828</v>
      </c>
      <c r="I9" s="117">
        <f t="shared" si="2"/>
        <v>30.434782608695656</v>
      </c>
      <c r="J9" s="117">
        <f t="shared" si="2"/>
        <v>47.826086956521742</v>
      </c>
      <c r="K9" s="117">
        <f t="shared" si="2"/>
        <v>82.608695652173907</v>
      </c>
      <c r="L9" s="117">
        <f t="shared" si="2"/>
        <v>65.217391304347828</v>
      </c>
      <c r="M9" s="117">
        <f t="shared" si="2"/>
        <v>47.826086956521742</v>
      </c>
      <c r="N9" s="128"/>
      <c r="O9" s="128"/>
      <c r="P9" s="128"/>
      <c r="Q9" s="128"/>
      <c r="R9" s="95"/>
    </row>
    <row r="10" spans="1:18">
      <c r="A10" s="131" t="s">
        <v>531</v>
      </c>
      <c r="B10" s="117">
        <f>SUM('Unit 1'!C67:C87)</f>
        <v>13</v>
      </c>
      <c r="C10" s="117">
        <f>SUM('Unit 1'!D67:D87)</f>
        <v>17</v>
      </c>
      <c r="D10" s="117">
        <f>SUM('Unit 1'!E67:E87)</f>
        <v>12</v>
      </c>
      <c r="E10" s="117">
        <f>SUM('Unit 1'!F67:F87)</f>
        <v>8</v>
      </c>
      <c r="F10" s="117">
        <f>SUM('Unit 1'!G67:G87)</f>
        <v>11</v>
      </c>
      <c r="G10" s="117">
        <f>SUM('Unit 1'!H67:H87)</f>
        <v>9</v>
      </c>
      <c r="H10" s="117">
        <f>SUM('Unit 1'!I67:I87)</f>
        <v>9</v>
      </c>
      <c r="I10" s="117">
        <f>SUM('Unit 1'!J67:J87)</f>
        <v>4</v>
      </c>
      <c r="J10" s="117">
        <f>SUM('Unit 1'!K67:K87)</f>
        <v>7</v>
      </c>
      <c r="K10" s="117">
        <f>SUM('Unit 1'!L67:L87)</f>
        <v>18</v>
      </c>
      <c r="L10" s="117">
        <f>SUM('Unit 1'!M67:M87)</f>
        <v>7</v>
      </c>
      <c r="M10" s="117">
        <f>SUM('Unit 1'!N67:N87)</f>
        <v>4</v>
      </c>
      <c r="N10" s="128"/>
      <c r="O10" s="128"/>
      <c r="P10" s="128"/>
      <c r="Q10" s="128"/>
      <c r="R10" s="95"/>
    </row>
    <row r="11" spans="1:18">
      <c r="A11" s="117" t="s">
        <v>532</v>
      </c>
      <c r="B11" s="117">
        <f>(B10/21)*100</f>
        <v>61.904761904761905</v>
      </c>
      <c r="C11" s="117">
        <f t="shared" ref="C11:M11" si="3">(C10/21)*100</f>
        <v>80.952380952380949</v>
      </c>
      <c r="D11" s="117">
        <f t="shared" si="3"/>
        <v>57.142857142857139</v>
      </c>
      <c r="E11" s="117">
        <f t="shared" si="3"/>
        <v>38.095238095238095</v>
      </c>
      <c r="F11" s="117">
        <f t="shared" si="3"/>
        <v>52.380952380952387</v>
      </c>
      <c r="G11" s="117">
        <f t="shared" si="3"/>
        <v>42.857142857142854</v>
      </c>
      <c r="H11" s="117">
        <f t="shared" si="3"/>
        <v>42.857142857142854</v>
      </c>
      <c r="I11" s="117">
        <f t="shared" si="3"/>
        <v>19.047619047619047</v>
      </c>
      <c r="J11" s="117">
        <f t="shared" si="3"/>
        <v>33.333333333333329</v>
      </c>
      <c r="K11" s="117">
        <f t="shared" si="3"/>
        <v>85.714285714285708</v>
      </c>
      <c r="L11" s="117">
        <f t="shared" si="3"/>
        <v>33.333333333333329</v>
      </c>
      <c r="M11" s="117">
        <f t="shared" si="3"/>
        <v>19.047619047619047</v>
      </c>
      <c r="N11" s="128"/>
      <c r="O11" s="128"/>
      <c r="P11" s="128"/>
      <c r="Q11" s="128"/>
      <c r="R11" s="95"/>
    </row>
    <row r="12" spans="1:18">
      <c r="A12" s="133" t="s">
        <v>524</v>
      </c>
      <c r="B12" s="134">
        <f>SUM(B4,B6,B8,B10)</f>
        <v>61</v>
      </c>
      <c r="C12" s="117">
        <f t="shared" ref="C12:M12" si="4">SUM(C4,C6,C8,C10)</f>
        <v>76</v>
      </c>
      <c r="D12" s="117">
        <f t="shared" si="4"/>
        <v>65</v>
      </c>
      <c r="E12" s="117">
        <f t="shared" si="4"/>
        <v>43</v>
      </c>
      <c r="F12" s="117">
        <f t="shared" si="4"/>
        <v>63</v>
      </c>
      <c r="G12" s="117">
        <f t="shared" si="4"/>
        <v>52</v>
      </c>
      <c r="H12" s="117">
        <f t="shared" si="4"/>
        <v>45</v>
      </c>
      <c r="I12" s="117">
        <f t="shared" si="4"/>
        <v>20</v>
      </c>
      <c r="J12" s="117">
        <f t="shared" si="4"/>
        <v>25</v>
      </c>
      <c r="K12" s="117">
        <f t="shared" si="4"/>
        <v>70</v>
      </c>
      <c r="L12" s="117">
        <f t="shared" si="4"/>
        <v>41</v>
      </c>
      <c r="M12" s="117">
        <f t="shared" si="4"/>
        <v>30</v>
      </c>
      <c r="N12" s="128"/>
      <c r="O12" s="128"/>
      <c r="P12" s="128"/>
      <c r="Q12" s="128"/>
      <c r="R12" s="95"/>
    </row>
    <row r="13" spans="1:18">
      <c r="A13" s="117" t="s">
        <v>525</v>
      </c>
      <c r="B13" s="117">
        <f>(B12/86)*100</f>
        <v>70.930232558139537</v>
      </c>
      <c r="C13" s="117">
        <f t="shared" ref="C13:M13" si="5">(C12/86)*100</f>
        <v>88.372093023255815</v>
      </c>
      <c r="D13" s="117">
        <f t="shared" si="5"/>
        <v>75.581395348837205</v>
      </c>
      <c r="E13" s="117">
        <f t="shared" si="5"/>
        <v>50</v>
      </c>
      <c r="F13" s="117">
        <f t="shared" si="5"/>
        <v>73.255813953488371</v>
      </c>
      <c r="G13" s="117">
        <f t="shared" si="5"/>
        <v>60.465116279069761</v>
      </c>
      <c r="H13" s="117">
        <f t="shared" si="5"/>
        <v>52.325581395348841</v>
      </c>
      <c r="I13" s="117">
        <f t="shared" si="5"/>
        <v>23.255813953488371</v>
      </c>
      <c r="J13" s="117">
        <f t="shared" si="5"/>
        <v>29.069767441860467</v>
      </c>
      <c r="K13" s="117">
        <f t="shared" si="5"/>
        <v>81.395348837209298</v>
      </c>
      <c r="L13" s="117">
        <f t="shared" si="5"/>
        <v>47.674418604651166</v>
      </c>
      <c r="M13" s="117">
        <f t="shared" si="5"/>
        <v>34.883720930232556</v>
      </c>
      <c r="N13" s="128"/>
      <c r="O13" s="128"/>
      <c r="P13" s="128"/>
      <c r="Q13" s="128"/>
      <c r="R13" s="95"/>
    </row>
    <row r="14" spans="1:18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8"/>
      <c r="O14" s="128"/>
      <c r="P14" s="128"/>
      <c r="Q14" s="128"/>
      <c r="R14" s="95"/>
    </row>
    <row r="15" spans="1:18">
      <c r="A15" s="131" t="s">
        <v>542</v>
      </c>
      <c r="B15" s="131">
        <f>SUM('Unit 1'!AG2:AG87)</f>
        <v>61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8"/>
      <c r="O15" s="128"/>
      <c r="P15" s="128"/>
      <c r="Q15" s="128"/>
      <c r="R15" s="95"/>
    </row>
    <row r="16" spans="1:18">
      <c r="A16" s="131" t="s">
        <v>543</v>
      </c>
      <c r="B16" s="117">
        <f>(B15/86)*100</f>
        <v>70.930232558139537</v>
      </c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8"/>
      <c r="O16" s="128"/>
      <c r="P16" s="128"/>
      <c r="Q16" s="128"/>
      <c r="R16" s="95"/>
    </row>
    <row r="17" spans="1:18">
      <c r="A17" s="135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8"/>
      <c r="M17" s="128"/>
      <c r="N17" s="128"/>
      <c r="O17" s="128"/>
      <c r="P17" s="128"/>
      <c r="Q17" s="128"/>
      <c r="R17" s="95"/>
    </row>
    <row r="18" spans="1:18" ht="22.5">
      <c r="A18" s="130" t="s">
        <v>535</v>
      </c>
      <c r="B18" s="116" t="s">
        <v>512</v>
      </c>
      <c r="C18" s="116" t="s">
        <v>513</v>
      </c>
      <c r="D18" s="113" t="s">
        <v>421</v>
      </c>
      <c r="E18" s="113" t="s">
        <v>422</v>
      </c>
      <c r="F18" s="113" t="s">
        <v>514</v>
      </c>
      <c r="G18" s="113" t="s">
        <v>515</v>
      </c>
      <c r="H18" s="113" t="s">
        <v>423</v>
      </c>
      <c r="I18" s="113" t="s">
        <v>93</v>
      </c>
      <c r="J18" s="113" t="s">
        <v>516</v>
      </c>
      <c r="K18" s="113" t="s">
        <v>517</v>
      </c>
      <c r="L18" s="113" t="s">
        <v>419</v>
      </c>
      <c r="M18" s="113" t="s">
        <v>327</v>
      </c>
      <c r="N18" s="113" t="s">
        <v>518</v>
      </c>
      <c r="O18" s="113" t="s">
        <v>519</v>
      </c>
      <c r="P18" s="113" t="s">
        <v>424</v>
      </c>
      <c r="Q18" s="113" t="s">
        <v>56</v>
      </c>
      <c r="R18" s="95"/>
    </row>
    <row r="19" spans="1:18">
      <c r="A19" s="131" t="s">
        <v>536</v>
      </c>
      <c r="B19" s="117">
        <f>SUM('Unit 1'!O2:O22)</f>
        <v>18</v>
      </c>
      <c r="C19" s="117">
        <f>SUM('Unit 1'!P2:P22)</f>
        <v>13</v>
      </c>
      <c r="D19" s="117">
        <f>SUM('Unit 1'!Q2:Q22)</f>
        <v>12</v>
      </c>
      <c r="E19" s="117">
        <f>SUM('Unit 1'!R2:R22)</f>
        <v>6</v>
      </c>
      <c r="F19" s="117">
        <f>SUM('Unit 1'!S2:S22)</f>
        <v>19</v>
      </c>
      <c r="G19" s="117">
        <f>SUM('Unit 1'!T2:T22)</f>
        <v>12</v>
      </c>
      <c r="H19" s="117">
        <f>SUM('Unit 1'!U2:U22)</f>
        <v>14</v>
      </c>
      <c r="I19" s="117">
        <f>SUM('Unit 1'!V2:V22)</f>
        <v>8</v>
      </c>
      <c r="J19" s="117">
        <f>SUM('Unit 1'!W2:W22)</f>
        <v>15</v>
      </c>
      <c r="K19" s="117">
        <f>SUM('Unit 1'!X2:X22)</f>
        <v>5</v>
      </c>
      <c r="L19" s="117">
        <f>SUM('Unit 1'!Y2:Y22)</f>
        <v>10</v>
      </c>
      <c r="M19" s="117">
        <f>SUM('Unit 1'!Z2:Z22)</f>
        <v>5</v>
      </c>
      <c r="N19" s="117">
        <f>SUM('Unit 1'!AA2:AA22)</f>
        <v>19</v>
      </c>
      <c r="O19" s="117">
        <f>SUM('Unit 1'!AB2:AB22)</f>
        <v>12</v>
      </c>
      <c r="P19" s="117">
        <f>SUM('Unit 1'!AC2:AC22)</f>
        <v>11</v>
      </c>
      <c r="Q19" s="117">
        <f>SUM('Unit 1'!AD2:AD22)</f>
        <v>3</v>
      </c>
      <c r="R19" s="95"/>
    </row>
    <row r="20" spans="1:18">
      <c r="A20" s="131" t="s">
        <v>526</v>
      </c>
      <c r="B20" s="117">
        <f>(B19/21)*100</f>
        <v>85.714285714285708</v>
      </c>
      <c r="C20" s="117">
        <f t="shared" ref="C20:Q20" si="6">(C19/21)*100</f>
        <v>61.904761904761905</v>
      </c>
      <c r="D20" s="117">
        <f t="shared" si="6"/>
        <v>57.142857142857139</v>
      </c>
      <c r="E20" s="117">
        <f t="shared" si="6"/>
        <v>28.571428571428569</v>
      </c>
      <c r="F20" s="117">
        <f t="shared" si="6"/>
        <v>90.476190476190482</v>
      </c>
      <c r="G20" s="117">
        <f t="shared" si="6"/>
        <v>57.142857142857139</v>
      </c>
      <c r="H20" s="117">
        <f t="shared" si="6"/>
        <v>66.666666666666657</v>
      </c>
      <c r="I20" s="117">
        <f t="shared" si="6"/>
        <v>38.095238095238095</v>
      </c>
      <c r="J20" s="117">
        <f t="shared" si="6"/>
        <v>71.428571428571431</v>
      </c>
      <c r="K20" s="117">
        <f t="shared" si="6"/>
        <v>23.809523809523807</v>
      </c>
      <c r="L20" s="117">
        <f t="shared" si="6"/>
        <v>47.619047619047613</v>
      </c>
      <c r="M20" s="117">
        <f t="shared" si="6"/>
        <v>23.809523809523807</v>
      </c>
      <c r="N20" s="117">
        <f t="shared" si="6"/>
        <v>90.476190476190482</v>
      </c>
      <c r="O20" s="117">
        <f t="shared" si="6"/>
        <v>57.142857142857139</v>
      </c>
      <c r="P20" s="117">
        <f t="shared" si="6"/>
        <v>52.380952380952387</v>
      </c>
      <c r="Q20" s="117">
        <f t="shared" si="6"/>
        <v>14.285714285714285</v>
      </c>
      <c r="R20" s="95"/>
    </row>
    <row r="21" spans="1:18">
      <c r="A21" s="131" t="s">
        <v>527</v>
      </c>
      <c r="B21" s="117">
        <f>SUM('Unit 1'!O23:O43)</f>
        <v>18</v>
      </c>
      <c r="C21" s="117">
        <f>SUM('Unit 1'!P23:P43)</f>
        <v>14</v>
      </c>
      <c r="D21" s="117">
        <f>SUM('Unit 1'!Q23:Q43)</f>
        <v>13</v>
      </c>
      <c r="E21" s="117">
        <f>SUM('Unit 1'!R23:R43)</f>
        <v>8</v>
      </c>
      <c r="F21" s="117">
        <f>SUM('Unit 1'!S23:S43)</f>
        <v>17</v>
      </c>
      <c r="G21" s="117">
        <f>SUM('Unit 1'!T23:T43)</f>
        <v>14</v>
      </c>
      <c r="H21" s="117">
        <f>SUM('Unit 1'!U23:U43)</f>
        <v>13</v>
      </c>
      <c r="I21" s="117">
        <f>SUM('Unit 1'!V23:V43)</f>
        <v>8</v>
      </c>
      <c r="J21" s="117">
        <f>SUM('Unit 1'!W23:W43)</f>
        <v>17</v>
      </c>
      <c r="K21" s="117">
        <f>SUM('Unit 1'!X23:X43)</f>
        <v>3</v>
      </c>
      <c r="L21" s="117">
        <f>SUM('Unit 1'!Y23:Y43)</f>
        <v>11</v>
      </c>
      <c r="M21" s="117">
        <f>SUM('Unit 1'!Z23:Z43)</f>
        <v>6</v>
      </c>
      <c r="N21" s="117">
        <f>SUM('Unit 1'!AA23:AA43)</f>
        <v>15</v>
      </c>
      <c r="O21" s="117">
        <f>SUM('Unit 1'!AB23:AB43)</f>
        <v>12</v>
      </c>
      <c r="P21" s="117">
        <f>SUM('Unit 1'!AC23:AC43)</f>
        <v>8</v>
      </c>
      <c r="Q21" s="117">
        <f>SUM('Unit 1'!AD23:AD43)</f>
        <v>3</v>
      </c>
      <c r="R21" s="95"/>
    </row>
    <row r="22" spans="1:18">
      <c r="A22" s="117" t="s">
        <v>528</v>
      </c>
      <c r="B22" s="117">
        <f>(B21/21)*100</f>
        <v>85.714285714285708</v>
      </c>
      <c r="C22" s="117">
        <f t="shared" ref="C22:Q22" si="7">(C21/21)*100</f>
        <v>66.666666666666657</v>
      </c>
      <c r="D22" s="117">
        <f t="shared" si="7"/>
        <v>61.904761904761905</v>
      </c>
      <c r="E22" s="117">
        <f t="shared" si="7"/>
        <v>38.095238095238095</v>
      </c>
      <c r="F22" s="117">
        <f t="shared" si="7"/>
        <v>80.952380952380949</v>
      </c>
      <c r="G22" s="117">
        <f t="shared" si="7"/>
        <v>66.666666666666657</v>
      </c>
      <c r="H22" s="117">
        <f t="shared" si="7"/>
        <v>61.904761904761905</v>
      </c>
      <c r="I22" s="117">
        <f t="shared" si="7"/>
        <v>38.095238095238095</v>
      </c>
      <c r="J22" s="117">
        <f t="shared" si="7"/>
        <v>80.952380952380949</v>
      </c>
      <c r="K22" s="117">
        <f t="shared" si="7"/>
        <v>14.285714285714285</v>
      </c>
      <c r="L22" s="117">
        <f t="shared" si="7"/>
        <v>52.380952380952387</v>
      </c>
      <c r="M22" s="117">
        <f t="shared" si="7"/>
        <v>28.571428571428569</v>
      </c>
      <c r="N22" s="117">
        <f t="shared" si="7"/>
        <v>71.428571428571431</v>
      </c>
      <c r="O22" s="117">
        <f t="shared" si="7"/>
        <v>57.142857142857139</v>
      </c>
      <c r="P22" s="117">
        <f t="shared" si="7"/>
        <v>38.095238095238095</v>
      </c>
      <c r="Q22" s="117">
        <f t="shared" si="7"/>
        <v>14.285714285714285</v>
      </c>
      <c r="R22" s="95"/>
    </row>
    <row r="23" spans="1:18">
      <c r="A23" s="131" t="s">
        <v>529</v>
      </c>
      <c r="B23" s="117">
        <f>SUM('Unit 1'!O44:O66)</f>
        <v>23</v>
      </c>
      <c r="C23" s="117">
        <f>SUM('Unit 1'!P44:P66)</f>
        <v>15</v>
      </c>
      <c r="D23" s="117">
        <f>SUM('Unit 1'!Q44:Q66)</f>
        <v>11</v>
      </c>
      <c r="E23" s="117">
        <f>SUM('Unit 1'!R44:R66)</f>
        <v>13</v>
      </c>
      <c r="F23" s="117">
        <f>SUM('Unit 1'!S44:S66)</f>
        <v>23</v>
      </c>
      <c r="G23" s="117">
        <f>SUM('Unit 1'!T44:T66)</f>
        <v>16</v>
      </c>
      <c r="H23" s="117">
        <f>SUM('Unit 1'!U44:U66)</f>
        <v>15</v>
      </c>
      <c r="I23" s="117">
        <f>SUM('Unit 1'!V44:V66)</f>
        <v>13</v>
      </c>
      <c r="J23" s="117">
        <f>SUM('Unit 1'!W44:W66)</f>
        <v>15</v>
      </c>
      <c r="K23" s="117">
        <f>SUM('Unit 1'!X44:X66)</f>
        <v>10</v>
      </c>
      <c r="L23" s="117">
        <f>SUM('Unit 1'!Y44:Y66)</f>
        <v>13</v>
      </c>
      <c r="M23" s="117">
        <f>SUM('Unit 1'!Z44:Z66)</f>
        <v>8</v>
      </c>
      <c r="N23" s="117">
        <f>SUM('Unit 1'!AA44:AA66)</f>
        <v>21</v>
      </c>
      <c r="O23" s="117">
        <f>SUM('Unit 1'!AB44:AB66)</f>
        <v>12</v>
      </c>
      <c r="P23" s="117">
        <f>SUM('Unit 1'!AC44:AC66)</f>
        <v>14</v>
      </c>
      <c r="Q23" s="117">
        <f>SUM('Unit 1'!AD44:AD66)</f>
        <v>8</v>
      </c>
      <c r="R23" s="95"/>
    </row>
    <row r="24" spans="1:18">
      <c r="A24" s="117" t="s">
        <v>530</v>
      </c>
      <c r="B24" s="117">
        <f>(B23/23)*100</f>
        <v>100</v>
      </c>
      <c r="C24" s="117">
        <f t="shared" ref="C24:Q24" si="8">(C23/23)*100</f>
        <v>65.217391304347828</v>
      </c>
      <c r="D24" s="117">
        <f t="shared" si="8"/>
        <v>47.826086956521742</v>
      </c>
      <c r="E24" s="117">
        <f t="shared" si="8"/>
        <v>56.521739130434781</v>
      </c>
      <c r="F24" s="117">
        <f t="shared" si="8"/>
        <v>100</v>
      </c>
      <c r="G24" s="117">
        <f t="shared" si="8"/>
        <v>69.565217391304344</v>
      </c>
      <c r="H24" s="117">
        <f t="shared" si="8"/>
        <v>65.217391304347828</v>
      </c>
      <c r="I24" s="117">
        <f t="shared" si="8"/>
        <v>56.521739130434781</v>
      </c>
      <c r="J24" s="117">
        <f t="shared" si="8"/>
        <v>65.217391304347828</v>
      </c>
      <c r="K24" s="117">
        <f t="shared" si="8"/>
        <v>43.478260869565219</v>
      </c>
      <c r="L24" s="117">
        <f t="shared" si="8"/>
        <v>56.521739130434781</v>
      </c>
      <c r="M24" s="117">
        <f t="shared" si="8"/>
        <v>34.782608695652172</v>
      </c>
      <c r="N24" s="117">
        <f t="shared" si="8"/>
        <v>91.304347826086953</v>
      </c>
      <c r="O24" s="117">
        <f t="shared" si="8"/>
        <v>52.173913043478258</v>
      </c>
      <c r="P24" s="117">
        <f t="shared" si="8"/>
        <v>60.869565217391312</v>
      </c>
      <c r="Q24" s="117">
        <f t="shared" si="8"/>
        <v>34.782608695652172</v>
      </c>
      <c r="R24" s="95"/>
    </row>
    <row r="25" spans="1:18">
      <c r="A25" s="131" t="s">
        <v>531</v>
      </c>
      <c r="B25" s="117">
        <f>SUM('Unit 1'!O67:O87)</f>
        <v>17</v>
      </c>
      <c r="C25" s="117">
        <f>SUM('Unit 1'!P67:P87)</f>
        <v>18</v>
      </c>
      <c r="D25" s="117">
        <f>SUM('Unit 1'!Q67:Q87)</f>
        <v>6</v>
      </c>
      <c r="E25" s="117">
        <f>SUM('Unit 1'!R67:R87)</f>
        <v>6</v>
      </c>
      <c r="F25" s="117">
        <f>SUM('Unit 1'!S67:S87)</f>
        <v>19</v>
      </c>
      <c r="G25" s="117">
        <f>SUM('Unit 1'!T67:T87)</f>
        <v>15</v>
      </c>
      <c r="H25" s="117">
        <f>SUM('Unit 1'!U67:U87)</f>
        <v>14</v>
      </c>
      <c r="I25" s="117">
        <f>SUM('Unit 1'!V67:V87)</f>
        <v>12</v>
      </c>
      <c r="J25" s="117">
        <f>SUM('Unit 1'!W67:W87)</f>
        <v>19</v>
      </c>
      <c r="K25" s="117">
        <f>SUM('Unit 1'!X67:X87)</f>
        <v>10</v>
      </c>
      <c r="L25" s="117">
        <f>SUM('Unit 1'!Y67:Y87)</f>
        <v>9</v>
      </c>
      <c r="M25" s="117">
        <f>SUM('Unit 1'!Z67:Z87)</f>
        <v>4</v>
      </c>
      <c r="N25" s="117">
        <f>SUM('Unit 1'!AA67:AA87)</f>
        <v>18</v>
      </c>
      <c r="O25" s="117">
        <f>SUM('Unit 1'!AB67:AB87)</f>
        <v>12</v>
      </c>
      <c r="P25" s="117">
        <f>SUM('Unit 1'!AC67:AC87)</f>
        <v>13</v>
      </c>
      <c r="Q25" s="117">
        <f>SUM('Unit 1'!AD67:AD87)</f>
        <v>4</v>
      </c>
      <c r="R25" s="95"/>
    </row>
    <row r="26" spans="1:18">
      <c r="A26" s="117" t="s">
        <v>532</v>
      </c>
      <c r="B26" s="117">
        <f>(B25/21)*100</f>
        <v>80.952380952380949</v>
      </c>
      <c r="C26" s="117">
        <f t="shared" ref="C26:Q26" si="9">(C25/21)*100</f>
        <v>85.714285714285708</v>
      </c>
      <c r="D26" s="117">
        <f t="shared" si="9"/>
        <v>28.571428571428569</v>
      </c>
      <c r="E26" s="117">
        <f t="shared" si="9"/>
        <v>28.571428571428569</v>
      </c>
      <c r="F26" s="117">
        <f t="shared" si="9"/>
        <v>90.476190476190482</v>
      </c>
      <c r="G26" s="117">
        <f t="shared" si="9"/>
        <v>71.428571428571431</v>
      </c>
      <c r="H26" s="117">
        <f t="shared" si="9"/>
        <v>66.666666666666657</v>
      </c>
      <c r="I26" s="117">
        <f t="shared" si="9"/>
        <v>57.142857142857139</v>
      </c>
      <c r="J26" s="117">
        <f t="shared" si="9"/>
        <v>90.476190476190482</v>
      </c>
      <c r="K26" s="117">
        <f t="shared" si="9"/>
        <v>47.619047619047613</v>
      </c>
      <c r="L26" s="117">
        <f t="shared" si="9"/>
        <v>42.857142857142854</v>
      </c>
      <c r="M26" s="117">
        <f t="shared" si="9"/>
        <v>19.047619047619047</v>
      </c>
      <c r="N26" s="117">
        <f t="shared" si="9"/>
        <v>85.714285714285708</v>
      </c>
      <c r="O26" s="117">
        <f t="shared" si="9"/>
        <v>57.142857142857139</v>
      </c>
      <c r="P26" s="117">
        <f t="shared" si="9"/>
        <v>61.904761904761905</v>
      </c>
      <c r="Q26" s="117">
        <f t="shared" si="9"/>
        <v>19.047619047619047</v>
      </c>
      <c r="R26" s="95"/>
    </row>
    <row r="27" spans="1:18">
      <c r="A27" s="131" t="s">
        <v>524</v>
      </c>
      <c r="B27" s="117">
        <f>SUM(B19,B21,B23,B25)</f>
        <v>76</v>
      </c>
      <c r="C27" s="117">
        <f t="shared" ref="C27:Q27" si="10">SUM(C19,C21,C23,C25)</f>
        <v>60</v>
      </c>
      <c r="D27" s="117">
        <f t="shared" si="10"/>
        <v>42</v>
      </c>
      <c r="E27" s="117">
        <f t="shared" si="10"/>
        <v>33</v>
      </c>
      <c r="F27" s="117">
        <f t="shared" si="10"/>
        <v>78</v>
      </c>
      <c r="G27" s="117">
        <f t="shared" si="10"/>
        <v>57</v>
      </c>
      <c r="H27" s="117">
        <f t="shared" si="10"/>
        <v>56</v>
      </c>
      <c r="I27" s="117">
        <f t="shared" si="10"/>
        <v>41</v>
      </c>
      <c r="J27" s="117">
        <f t="shared" si="10"/>
        <v>66</v>
      </c>
      <c r="K27" s="117">
        <f t="shared" si="10"/>
        <v>28</v>
      </c>
      <c r="L27" s="117">
        <f t="shared" si="10"/>
        <v>43</v>
      </c>
      <c r="M27" s="117">
        <f t="shared" si="10"/>
        <v>23</v>
      </c>
      <c r="N27" s="117">
        <f t="shared" si="10"/>
        <v>73</v>
      </c>
      <c r="O27" s="117">
        <f t="shared" si="10"/>
        <v>48</v>
      </c>
      <c r="P27" s="117">
        <f t="shared" si="10"/>
        <v>46</v>
      </c>
      <c r="Q27" s="117">
        <f t="shared" si="10"/>
        <v>18</v>
      </c>
      <c r="R27" s="95"/>
    </row>
    <row r="28" spans="1:18">
      <c r="A28" s="117" t="s">
        <v>525</v>
      </c>
      <c r="B28" s="117">
        <f>(B27/86)*100</f>
        <v>88.372093023255815</v>
      </c>
      <c r="C28" s="117">
        <f t="shared" ref="C28:Q28" si="11">(C27/86)*100</f>
        <v>69.767441860465112</v>
      </c>
      <c r="D28" s="117">
        <f t="shared" si="11"/>
        <v>48.837209302325576</v>
      </c>
      <c r="E28" s="117">
        <f t="shared" si="11"/>
        <v>38.372093023255815</v>
      </c>
      <c r="F28" s="117">
        <f t="shared" si="11"/>
        <v>90.697674418604649</v>
      </c>
      <c r="G28" s="117">
        <f t="shared" si="11"/>
        <v>66.279069767441854</v>
      </c>
      <c r="H28" s="117">
        <f t="shared" si="11"/>
        <v>65.116279069767444</v>
      </c>
      <c r="I28" s="117">
        <f t="shared" si="11"/>
        <v>47.674418604651166</v>
      </c>
      <c r="J28" s="117">
        <f t="shared" si="11"/>
        <v>76.744186046511629</v>
      </c>
      <c r="K28" s="117">
        <f t="shared" si="11"/>
        <v>32.558139534883722</v>
      </c>
      <c r="L28" s="117">
        <f t="shared" si="11"/>
        <v>50</v>
      </c>
      <c r="M28" s="117">
        <f t="shared" si="11"/>
        <v>26.744186046511626</v>
      </c>
      <c r="N28" s="117">
        <f t="shared" si="11"/>
        <v>84.883720930232556</v>
      </c>
      <c r="O28" s="117">
        <f t="shared" si="11"/>
        <v>55.813953488372093</v>
      </c>
      <c r="P28" s="117">
        <f t="shared" si="11"/>
        <v>53.488372093023251</v>
      </c>
      <c r="Q28" s="117">
        <f t="shared" si="11"/>
        <v>20.930232558139537</v>
      </c>
      <c r="R28" s="95"/>
    </row>
    <row r="29" spans="1:18">
      <c r="A29" s="118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8"/>
      <c r="M29" s="128"/>
      <c r="N29" s="128"/>
      <c r="O29" s="128"/>
      <c r="P29" s="128"/>
      <c r="Q29" s="128"/>
      <c r="R29" s="95"/>
    </row>
    <row r="30" spans="1:18">
      <c r="A30" s="131" t="s">
        <v>537</v>
      </c>
      <c r="B30" s="117">
        <f>SUM('Unit 1'!AJ2:AJ87)</f>
        <v>50</v>
      </c>
      <c r="C30" s="129"/>
      <c r="D30" s="129"/>
      <c r="E30" s="129"/>
      <c r="F30" s="129"/>
      <c r="G30" s="129"/>
      <c r="H30" s="129"/>
      <c r="I30" s="129"/>
      <c r="J30" s="129"/>
      <c r="K30" s="129"/>
      <c r="L30" s="128"/>
      <c r="M30" s="128"/>
      <c r="N30" s="128"/>
      <c r="O30" s="128"/>
      <c r="P30" s="128"/>
      <c r="Q30" s="128"/>
      <c r="R30" s="95"/>
    </row>
    <row r="31" spans="1:18">
      <c r="A31" s="114" t="s">
        <v>538</v>
      </c>
      <c r="B31" s="115">
        <f>(B30/86)*100</f>
        <v>58.139534883720934</v>
      </c>
      <c r="C31" s="94"/>
      <c r="D31" s="94"/>
      <c r="E31" s="94"/>
      <c r="F31" s="94"/>
      <c r="G31" s="94"/>
      <c r="H31" s="94"/>
      <c r="I31" s="94"/>
      <c r="J31" s="94"/>
      <c r="K31" s="94"/>
      <c r="L31" s="95"/>
      <c r="M31" s="95"/>
      <c r="N31" s="95"/>
      <c r="O31" s="95"/>
      <c r="P31" s="95"/>
      <c r="Q31" s="95"/>
      <c r="R31" s="95"/>
    </row>
    <row r="32" spans="1:18">
      <c r="A32" s="95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5"/>
      <c r="M32" s="95"/>
      <c r="N32" s="95"/>
      <c r="O32" s="95"/>
      <c r="P32" s="95"/>
      <c r="Q32" s="95"/>
      <c r="R32" s="95"/>
    </row>
    <row r="33" spans="1:10">
      <c r="A33" s="80" t="s">
        <v>539</v>
      </c>
      <c r="B33" s="82">
        <f>SUM('Unit 1'!AM2:AM87)</f>
        <v>53</v>
      </c>
      <c r="D33" s="83"/>
      <c r="E33" s="92"/>
      <c r="F33" s="83"/>
      <c r="H33" s="83"/>
      <c r="J33" s="83"/>
    </row>
    <row r="34" spans="1:10">
      <c r="A34" s="86" t="s">
        <v>540</v>
      </c>
      <c r="B34" s="93">
        <f>(B33/86)*100</f>
        <v>61.627906976744185</v>
      </c>
      <c r="D34" s="83"/>
      <c r="E34" s="91"/>
      <c r="F34" s="83"/>
      <c r="H34" s="83"/>
      <c r="J34" s="83"/>
    </row>
    <row r="35" spans="1:10">
      <c r="A35" s="85"/>
      <c r="B35" s="83"/>
      <c r="D35" s="83"/>
      <c r="F35" s="83"/>
      <c r="H35" s="83"/>
      <c r="J35" s="83"/>
    </row>
    <row r="36" spans="1:10" s="83" customFormat="1">
      <c r="A36" s="90"/>
    </row>
    <row r="37" spans="1:10" s="83" customFormat="1">
      <c r="A37" s="90"/>
      <c r="E37" s="92"/>
    </row>
    <row r="39" spans="1:10" s="83" customFormat="1">
      <c r="A39" s="81"/>
      <c r="B39" s="16"/>
      <c r="D39" s="16"/>
      <c r="F39" s="16"/>
      <c r="H39" s="16"/>
      <c r="J39" s="16"/>
    </row>
  </sheetData>
  <phoneticPr fontId="1" type="noConversion"/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12</vt:i4>
      </vt:variant>
    </vt:vector>
  </HeadingPairs>
  <TitlesOfParts>
    <vt:vector size="19" baseType="lpstr">
      <vt:lpstr>P.1 Cal (1st)</vt:lpstr>
      <vt:lpstr>P.2 Cal (1st)</vt:lpstr>
      <vt:lpstr>P.3 Cal (1st)</vt:lpstr>
      <vt:lpstr>P.2 Cal (2nd)</vt:lpstr>
      <vt:lpstr>P.3 Cal (2nd)</vt:lpstr>
      <vt:lpstr>Unit 1</vt:lpstr>
      <vt:lpstr>Analysis</vt:lpstr>
      <vt:lpstr>P.1 Cal (1st_selected)</vt:lpstr>
      <vt:lpstr>P.2 Cal (1st_selected)</vt:lpstr>
      <vt:lpstr>P.3 Cal (1st_selected)</vt:lpstr>
      <vt:lpstr>P.1 Cal (1st_all)</vt:lpstr>
      <vt:lpstr>P.2 Cal (1st_all)</vt:lpstr>
      <vt:lpstr>P.3 Cal (1st_all)</vt:lpstr>
      <vt:lpstr>P.3 Chart (Class)</vt:lpstr>
      <vt:lpstr>P.3 Chart (Unit)</vt:lpstr>
      <vt:lpstr>P.1 Chart (Class)</vt:lpstr>
      <vt:lpstr>P.1 Chart (Unit)</vt:lpstr>
      <vt:lpstr>P.2 Chart (Unit)</vt:lpstr>
      <vt:lpstr>P.2 Chart (Class)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Config Test</dc:creator>
  <cp:lastModifiedBy>Heather Lewis</cp:lastModifiedBy>
  <cp:lastPrinted>2020-11-04T03:33:06Z</cp:lastPrinted>
  <dcterms:created xsi:type="dcterms:W3CDTF">2015-10-12T07:05:42Z</dcterms:created>
  <dcterms:modified xsi:type="dcterms:W3CDTF">2020-11-13T11:46:16Z</dcterms:modified>
</cp:coreProperties>
</file>