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urora\Desktop\New folder\"/>
    </mc:Choice>
  </mc:AlternateContent>
  <xr:revisionPtr revIDLastSave="0" documentId="13_ncr:1_{9B28C5AD-2597-4398-B35D-4803E4F9249E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2019上" sheetId="5" r:id="rId2"/>
    <sheet name="进货" sheetId="3" r:id="rId3"/>
    <sheet name="礼品卡" sheetId="6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8" i="1" l="1"/>
  <c r="M321" i="1"/>
  <c r="M323" i="1" l="1"/>
  <c r="M319" i="1"/>
  <c r="M320" i="1"/>
  <c r="L320" i="1"/>
  <c r="M314" i="1"/>
  <c r="M315" i="1"/>
  <c r="M337" i="1"/>
  <c r="M335" i="1"/>
  <c r="M331" i="1"/>
  <c r="M332" i="1"/>
  <c r="L332" i="1"/>
  <c r="M334" i="1"/>
  <c r="K332" i="1"/>
  <c r="K331" i="1"/>
  <c r="M330" i="1"/>
  <c r="M308" i="1" l="1"/>
  <c r="E71" i="3"/>
  <c r="E72" i="3"/>
  <c r="E73" i="3"/>
  <c r="E74" i="3"/>
  <c r="D76" i="3" l="1"/>
  <c r="M303" i="1"/>
  <c r="M300" i="1"/>
  <c r="M298" i="1" l="1"/>
  <c r="M40" i="1"/>
  <c r="M39" i="1"/>
  <c r="E67" i="3" l="1"/>
  <c r="E68" i="3"/>
  <c r="E69" i="3"/>
  <c r="E66" i="3"/>
  <c r="M264" i="1" l="1"/>
  <c r="K295" i="1"/>
  <c r="M248" i="1"/>
  <c r="M276" i="1"/>
  <c r="M244" i="1"/>
  <c r="M22" i="1"/>
  <c r="M292" i="1"/>
  <c r="M291" i="1"/>
  <c r="M294" i="1"/>
  <c r="E64" i="3"/>
  <c r="E63" i="3"/>
  <c r="E62" i="3"/>
  <c r="E61" i="3"/>
  <c r="E60" i="3"/>
  <c r="E59" i="3"/>
  <c r="E58" i="3"/>
  <c r="E57" i="3"/>
  <c r="D57" i="3"/>
  <c r="E55" i="3"/>
  <c r="E54" i="3"/>
  <c r="E53" i="3"/>
  <c r="E52" i="3"/>
  <c r="D51" i="3"/>
  <c r="E51" i="3" s="1"/>
  <c r="E50" i="3"/>
  <c r="D50" i="3"/>
  <c r="M293" i="1"/>
  <c r="K293" i="1"/>
  <c r="K291" i="1"/>
  <c r="E1095" i="5" l="1"/>
  <c r="K287" i="1"/>
  <c r="M47" i="1"/>
  <c r="L47" i="1"/>
  <c r="M226" i="1"/>
  <c r="M284" i="1"/>
  <c r="L284" i="1"/>
  <c r="M281" i="1"/>
  <c r="M280" i="1"/>
  <c r="D4" i="6"/>
  <c r="M86" i="1"/>
  <c r="M89" i="1"/>
  <c r="M246" i="1"/>
  <c r="M269" i="1"/>
  <c r="M275" i="1"/>
  <c r="K274" i="1"/>
  <c r="M274" i="1"/>
  <c r="M273" i="1"/>
  <c r="M251" i="1"/>
  <c r="M267" i="1"/>
  <c r="M258" i="1"/>
  <c r="L264" i="1" l="1"/>
  <c r="M263" i="1"/>
  <c r="M262" i="1"/>
  <c r="K262" i="1"/>
  <c r="M261" i="1"/>
  <c r="M260" i="1"/>
  <c r="M195" i="1"/>
  <c r="M259" i="1"/>
  <c r="K258" i="1"/>
  <c r="M256" i="1" l="1"/>
  <c r="N178" i="1"/>
  <c r="M178" i="1"/>
  <c r="M134" i="1"/>
  <c r="M135" i="1"/>
  <c r="M133" i="1"/>
  <c r="M232" i="1"/>
  <c r="M238" i="1"/>
  <c r="M252" i="1"/>
  <c r="L251" i="1"/>
  <c r="M245" i="1"/>
  <c r="L244" i="1"/>
  <c r="M237" i="1" l="1"/>
  <c r="M236" i="1"/>
  <c r="O166" i="1"/>
  <c r="M227" i="1"/>
  <c r="M231" i="1"/>
  <c r="M230" i="1"/>
  <c r="L229" i="1"/>
  <c r="M229" i="1" s="1"/>
  <c r="M228" i="1"/>
  <c r="K228" i="1"/>
  <c r="M216" i="1"/>
  <c r="M225" i="1"/>
  <c r="K225" i="1"/>
  <c r="N223" i="1"/>
  <c r="L223" i="1"/>
  <c r="M223" i="1" s="1"/>
  <c r="E47" i="3"/>
  <c r="D47" i="3"/>
  <c r="D5" i="6"/>
  <c r="E45" i="3"/>
  <c r="D45" i="3"/>
  <c r="D3" i="6"/>
  <c r="D2" i="6" l="1"/>
  <c r="M214" i="1"/>
  <c r="M212" i="1" l="1"/>
  <c r="B1098" i="5" l="1"/>
  <c r="M206" i="1"/>
  <c r="M138" i="1"/>
  <c r="M205" i="1"/>
  <c r="M201" i="1"/>
  <c r="M203" i="1"/>
  <c r="M37" i="1"/>
  <c r="M200" i="1"/>
  <c r="K203" i="1"/>
  <c r="M186" i="1"/>
  <c r="M198" i="1"/>
  <c r="M197" i="1"/>
  <c r="L197" i="1"/>
  <c r="M192" i="1"/>
  <c r="M161" i="1" l="1"/>
  <c r="M184" i="1"/>
  <c r="M91" i="1"/>
  <c r="M180" i="1"/>
  <c r="M183" i="1"/>
  <c r="M104" i="1"/>
  <c r="M9" i="1"/>
  <c r="M5" i="1"/>
  <c r="M6" i="1"/>
  <c r="M3" i="1"/>
  <c r="J42" i="3"/>
  <c r="J38" i="3"/>
  <c r="J39" i="3"/>
  <c r="J40" i="3"/>
  <c r="J41" i="3"/>
  <c r="G42" i="3"/>
  <c r="D42" i="3"/>
  <c r="E42" i="3"/>
  <c r="M2" i="1"/>
  <c r="M190" i="1"/>
  <c r="M187" i="1" l="1"/>
  <c r="K187" i="1"/>
  <c r="M171" i="1" l="1"/>
  <c r="M179" i="1"/>
  <c r="M168" i="1"/>
  <c r="I22" i="3"/>
  <c r="I24" i="3"/>
  <c r="I23" i="3"/>
  <c r="H1036" i="5"/>
  <c r="M158" i="1"/>
  <c r="M162" i="1"/>
  <c r="M163" i="1"/>
  <c r="M167" i="1"/>
  <c r="E27" i="3"/>
  <c r="M160" i="1"/>
  <c r="L159" i="1"/>
  <c r="M159" i="1" s="1"/>
  <c r="M166" i="1"/>
  <c r="M165" i="1"/>
  <c r="E23" i="3" l="1"/>
  <c r="E24" i="3"/>
  <c r="D22" i="3"/>
  <c r="E22" i="3" s="1"/>
  <c r="J22" i="3" s="1"/>
  <c r="G1093" i="5"/>
  <c r="I1093" i="5" s="1"/>
  <c r="J1093" i="5" s="1"/>
  <c r="I1092" i="5"/>
  <c r="J1092" i="5" s="1"/>
  <c r="I1091" i="5"/>
  <c r="J1091" i="5" s="1"/>
  <c r="J1090" i="5"/>
  <c r="I1090" i="5"/>
  <c r="G1089" i="5"/>
  <c r="I1089" i="5" s="1"/>
  <c r="J1089" i="5" s="1"/>
  <c r="J1088" i="5"/>
  <c r="I1088" i="5"/>
  <c r="I1087" i="5"/>
  <c r="J1087" i="5" s="1"/>
  <c r="G1086" i="5"/>
  <c r="I1086" i="5" s="1"/>
  <c r="J1086" i="5" s="1"/>
  <c r="I1085" i="5"/>
  <c r="J1085" i="5" s="1"/>
  <c r="I1084" i="5"/>
  <c r="J1084" i="5" s="1"/>
  <c r="I1083" i="5"/>
  <c r="J1083" i="5" s="1"/>
  <c r="I1082" i="5"/>
  <c r="J1082" i="5" s="1"/>
  <c r="I1081" i="5"/>
  <c r="J1081" i="5" s="1"/>
  <c r="I1080" i="5"/>
  <c r="J1080" i="5" s="1"/>
  <c r="I1079" i="5"/>
  <c r="J1079" i="5" s="1"/>
  <c r="I1078" i="5"/>
  <c r="J1078" i="5" s="1"/>
  <c r="I1077" i="5"/>
  <c r="J1077" i="5" s="1"/>
  <c r="I1076" i="5"/>
  <c r="J1076" i="5" s="1"/>
  <c r="I1075" i="5"/>
  <c r="J1075" i="5" s="1"/>
  <c r="I1074" i="5"/>
  <c r="J1074" i="5" s="1"/>
  <c r="I1073" i="5"/>
  <c r="J1073" i="5" s="1"/>
  <c r="I1072" i="5"/>
  <c r="J1072" i="5" s="1"/>
  <c r="I1071" i="5"/>
  <c r="J1071" i="5" s="1"/>
  <c r="E1070" i="5"/>
  <c r="I1070" i="5" s="1"/>
  <c r="J1070" i="5" s="1"/>
  <c r="E1069" i="5"/>
  <c r="I1069" i="5" s="1"/>
  <c r="J1069" i="5" s="1"/>
  <c r="I1068" i="5"/>
  <c r="J1068" i="5" s="1"/>
  <c r="I1067" i="5"/>
  <c r="J1067" i="5" s="1"/>
  <c r="I1066" i="5"/>
  <c r="J1066" i="5" s="1"/>
  <c r="I1065" i="5"/>
  <c r="J1065" i="5" s="1"/>
  <c r="G1064" i="5"/>
  <c r="I1064" i="5" s="1"/>
  <c r="J1064" i="5" s="1"/>
  <c r="I1063" i="5"/>
  <c r="J1063" i="5" s="1"/>
  <c r="J1062" i="5"/>
  <c r="I1062" i="5"/>
  <c r="G1061" i="5"/>
  <c r="I1061" i="5" s="1"/>
  <c r="J1061" i="5" s="1"/>
  <c r="E1061" i="5"/>
  <c r="J1060" i="5"/>
  <c r="I1059" i="5"/>
  <c r="J1059" i="5" s="1"/>
  <c r="G1058" i="5"/>
  <c r="E1058" i="5"/>
  <c r="I1057" i="5"/>
  <c r="J1057" i="5" s="1"/>
  <c r="I1054" i="5"/>
  <c r="J1054" i="5" s="1"/>
  <c r="G1053" i="5"/>
  <c r="I1052" i="5"/>
  <c r="J1052" i="5" s="1"/>
  <c r="I1051" i="5"/>
  <c r="J1051" i="5" s="1"/>
  <c r="G1051" i="5"/>
  <c r="I1050" i="5"/>
  <c r="J1050" i="5" s="1"/>
  <c r="I1049" i="5"/>
  <c r="J1049" i="5" s="1"/>
  <c r="I1048" i="5"/>
  <c r="J1048" i="5" s="1"/>
  <c r="J1047" i="5"/>
  <c r="I1047" i="5"/>
  <c r="G1046" i="5"/>
  <c r="I1046" i="5" s="1"/>
  <c r="J1046" i="5" s="1"/>
  <c r="E1045" i="5"/>
  <c r="I1045" i="5" s="1"/>
  <c r="J1045" i="5" s="1"/>
  <c r="J1044" i="5"/>
  <c r="G1044" i="5"/>
  <c r="I1044" i="5" s="1"/>
  <c r="I1043" i="5"/>
  <c r="J1043" i="5" s="1"/>
  <c r="G1042" i="5"/>
  <c r="I1042" i="5" s="1"/>
  <c r="J1042" i="5" s="1"/>
  <c r="J1041" i="5"/>
  <c r="I1041" i="5"/>
  <c r="I1040" i="5"/>
  <c r="J1040" i="5" s="1"/>
  <c r="I1039" i="5"/>
  <c r="J1039" i="5" s="1"/>
  <c r="E1038" i="5"/>
  <c r="I1038" i="5" s="1"/>
  <c r="J1038" i="5" s="1"/>
  <c r="I1037" i="5"/>
  <c r="J1037" i="5" s="1"/>
  <c r="G1036" i="5"/>
  <c r="I1036" i="5" s="1"/>
  <c r="J1036" i="5" s="1"/>
  <c r="I1035" i="5"/>
  <c r="J1035" i="5" s="1"/>
  <c r="G1034" i="5"/>
  <c r="I1034" i="5" s="1"/>
  <c r="J1034" i="5" s="1"/>
  <c r="I1033" i="5"/>
  <c r="J1033" i="5" s="1"/>
  <c r="G1032" i="5"/>
  <c r="I1032" i="5" s="1"/>
  <c r="J1032" i="5" s="1"/>
  <c r="G1031" i="5"/>
  <c r="I1031" i="5" s="1"/>
  <c r="J1031" i="5" s="1"/>
  <c r="G1030" i="5"/>
  <c r="I1030" i="5" s="1"/>
  <c r="J1030" i="5" s="1"/>
  <c r="E1029" i="5"/>
  <c r="I1029" i="5" s="1"/>
  <c r="J1029" i="5" s="1"/>
  <c r="G1028" i="5"/>
  <c r="E1028" i="5"/>
  <c r="I1027" i="5"/>
  <c r="J1027" i="5" s="1"/>
  <c r="J1026" i="5"/>
  <c r="I1026" i="5"/>
  <c r="G1025" i="5"/>
  <c r="I1025" i="5" s="1"/>
  <c r="J1025" i="5" s="1"/>
  <c r="F1025" i="5"/>
  <c r="E1025" i="5"/>
  <c r="I1024" i="5"/>
  <c r="J1024" i="5" s="1"/>
  <c r="I1023" i="5"/>
  <c r="J1023" i="5" s="1"/>
  <c r="G1022" i="5"/>
  <c r="I1022" i="5" s="1"/>
  <c r="J1022" i="5" s="1"/>
  <c r="I1021" i="5"/>
  <c r="J1021" i="5" s="1"/>
  <c r="J1020" i="5"/>
  <c r="I1020" i="5"/>
  <c r="G1019" i="5"/>
  <c r="E1019" i="5"/>
  <c r="I1018" i="5"/>
  <c r="J1018" i="5" s="1"/>
  <c r="F1017" i="5"/>
  <c r="G1017" i="5" s="1"/>
  <c r="E1017" i="5"/>
  <c r="I1017" i="5" s="1"/>
  <c r="J1017" i="5" s="1"/>
  <c r="E1016" i="5"/>
  <c r="I1016" i="5" s="1"/>
  <c r="J1016" i="5" s="1"/>
  <c r="E1015" i="5"/>
  <c r="I1015" i="5" s="1"/>
  <c r="J1015" i="5" s="1"/>
  <c r="F1014" i="5"/>
  <c r="G1014" i="5" s="1"/>
  <c r="I1014" i="5" s="1"/>
  <c r="J1014" i="5" s="1"/>
  <c r="I1012" i="5"/>
  <c r="J1012" i="5" s="1"/>
  <c r="I1011" i="5"/>
  <c r="J1011" i="5" s="1"/>
  <c r="I1010" i="5"/>
  <c r="J1010" i="5" s="1"/>
  <c r="I1009" i="5"/>
  <c r="J1009" i="5" s="1"/>
  <c r="I1008" i="5"/>
  <c r="J1008" i="5" s="1"/>
  <c r="I1007" i="5"/>
  <c r="J1007" i="5" s="1"/>
  <c r="G1006" i="5"/>
  <c r="I1006" i="5" s="1"/>
  <c r="J1006" i="5" s="1"/>
  <c r="G1005" i="5"/>
  <c r="I1005" i="5" s="1"/>
  <c r="J1005" i="5" s="1"/>
  <c r="I1004" i="5"/>
  <c r="J1004" i="5" s="1"/>
  <c r="E1003" i="5"/>
  <c r="F1002" i="5"/>
  <c r="G1002" i="5" s="1"/>
  <c r="E1002" i="5"/>
  <c r="I1001" i="5"/>
  <c r="J1001" i="5" s="1"/>
  <c r="F1000" i="5"/>
  <c r="G1000" i="5" s="1"/>
  <c r="I1000" i="5" s="1"/>
  <c r="J1000" i="5" s="1"/>
  <c r="I999" i="5"/>
  <c r="J999" i="5" s="1"/>
  <c r="I998" i="5"/>
  <c r="J998" i="5" s="1"/>
  <c r="E997" i="5"/>
  <c r="I997" i="5" s="1"/>
  <c r="J997" i="5" s="1"/>
  <c r="I995" i="5"/>
  <c r="J995" i="5" s="1"/>
  <c r="G994" i="5"/>
  <c r="E994" i="5"/>
  <c r="I994" i="5" s="1"/>
  <c r="J994" i="5" s="1"/>
  <c r="F993" i="5"/>
  <c r="G993" i="5" s="1"/>
  <c r="I993" i="5" s="1"/>
  <c r="J993" i="5" s="1"/>
  <c r="I992" i="5"/>
  <c r="J992" i="5" s="1"/>
  <c r="G991" i="5"/>
  <c r="I991" i="5" s="1"/>
  <c r="J991" i="5" s="1"/>
  <c r="E991" i="5"/>
  <c r="F990" i="5"/>
  <c r="G990" i="5" s="1"/>
  <c r="E990" i="5"/>
  <c r="I990" i="5" s="1"/>
  <c r="J990" i="5" s="1"/>
  <c r="I989" i="5"/>
  <c r="J989" i="5" s="1"/>
  <c r="I988" i="5"/>
  <c r="J988" i="5" s="1"/>
  <c r="J987" i="5"/>
  <c r="I987" i="5"/>
  <c r="I986" i="5"/>
  <c r="J986" i="5" s="1"/>
  <c r="J985" i="5"/>
  <c r="J984" i="5"/>
  <c r="G983" i="5"/>
  <c r="I983" i="5" s="1"/>
  <c r="J983" i="5" s="1"/>
  <c r="F982" i="5"/>
  <c r="H982" i="5" s="1"/>
  <c r="H981" i="5"/>
  <c r="G981" i="5"/>
  <c r="E981" i="5"/>
  <c r="I980" i="5"/>
  <c r="J980" i="5" s="1"/>
  <c r="E979" i="5"/>
  <c r="I979" i="5" s="1"/>
  <c r="J979" i="5" s="1"/>
  <c r="F978" i="5"/>
  <c r="G978" i="5" s="1"/>
  <c r="E978" i="5"/>
  <c r="I978" i="5" s="1"/>
  <c r="J978" i="5" s="1"/>
  <c r="I977" i="5"/>
  <c r="J977" i="5" s="1"/>
  <c r="G976" i="5"/>
  <c r="E976" i="5"/>
  <c r="F975" i="5"/>
  <c r="G975" i="5" s="1"/>
  <c r="I975" i="5" s="1"/>
  <c r="J975" i="5" s="1"/>
  <c r="I974" i="5"/>
  <c r="J974" i="5" s="1"/>
  <c r="G971" i="5"/>
  <c r="E971" i="5"/>
  <c r="I971" i="5" s="1"/>
  <c r="J971" i="5" s="1"/>
  <c r="I970" i="5"/>
  <c r="J970" i="5" s="1"/>
  <c r="I969" i="5"/>
  <c r="J969" i="5" s="1"/>
  <c r="E968" i="5"/>
  <c r="I968" i="5" s="1"/>
  <c r="J968" i="5" s="1"/>
  <c r="I967" i="5"/>
  <c r="J967" i="5" s="1"/>
  <c r="I966" i="5"/>
  <c r="J966" i="5" s="1"/>
  <c r="G965" i="5"/>
  <c r="I965" i="5" s="1"/>
  <c r="J965" i="5" s="1"/>
  <c r="F964" i="5"/>
  <c r="G964" i="5" s="1"/>
  <c r="I964" i="5" s="1"/>
  <c r="J964" i="5" s="1"/>
  <c r="J963" i="5"/>
  <c r="J962" i="5"/>
  <c r="J961" i="5"/>
  <c r="J960" i="5"/>
  <c r="J959" i="5"/>
  <c r="J958" i="5"/>
  <c r="F957" i="5"/>
  <c r="G957" i="5" s="1"/>
  <c r="I957" i="5" s="1"/>
  <c r="J957" i="5" s="1"/>
  <c r="G956" i="5"/>
  <c r="E956" i="5"/>
  <c r="I955" i="5"/>
  <c r="J955" i="5" s="1"/>
  <c r="J954" i="5"/>
  <c r="G953" i="5"/>
  <c r="I953" i="5" s="1"/>
  <c r="J953" i="5" s="1"/>
  <c r="F952" i="5"/>
  <c r="G952" i="5" s="1"/>
  <c r="E952" i="5"/>
  <c r="E951" i="5"/>
  <c r="I951" i="5" s="1"/>
  <c r="J951" i="5" s="1"/>
  <c r="G950" i="5"/>
  <c r="E950" i="5"/>
  <c r="I950" i="5" s="1"/>
  <c r="J950" i="5" s="1"/>
  <c r="F949" i="5"/>
  <c r="G949" i="5" s="1"/>
  <c r="I949" i="5" s="1"/>
  <c r="J949" i="5" s="1"/>
  <c r="F948" i="5"/>
  <c r="G948" i="5" s="1"/>
  <c r="I948" i="5" s="1"/>
  <c r="J948" i="5" s="1"/>
  <c r="I947" i="5"/>
  <c r="J947" i="5" s="1"/>
  <c r="I946" i="5"/>
  <c r="J946" i="5" s="1"/>
  <c r="I945" i="5"/>
  <c r="J945" i="5" s="1"/>
  <c r="G944" i="5"/>
  <c r="I944" i="5" s="1"/>
  <c r="J944" i="5" s="1"/>
  <c r="G943" i="5"/>
  <c r="I943" i="5" s="1"/>
  <c r="J943" i="5" s="1"/>
  <c r="E942" i="5"/>
  <c r="I942" i="5" s="1"/>
  <c r="J942" i="5" s="1"/>
  <c r="I941" i="5"/>
  <c r="J941" i="5" s="1"/>
  <c r="I940" i="5"/>
  <c r="J940" i="5" s="1"/>
  <c r="H939" i="5"/>
  <c r="I939" i="5" s="1"/>
  <c r="J939" i="5" s="1"/>
  <c r="G939" i="5"/>
  <c r="J938" i="5"/>
  <c r="I937" i="5"/>
  <c r="J937" i="5" s="1"/>
  <c r="I936" i="5"/>
  <c r="J936" i="5" s="1"/>
  <c r="G935" i="5"/>
  <c r="I935" i="5" s="1"/>
  <c r="J935" i="5" s="1"/>
  <c r="I934" i="5"/>
  <c r="J934" i="5" s="1"/>
  <c r="G933" i="5"/>
  <c r="I933" i="5" s="1"/>
  <c r="J933" i="5" s="1"/>
  <c r="I932" i="5"/>
  <c r="J932" i="5" s="1"/>
  <c r="I931" i="5"/>
  <c r="J931" i="5" s="1"/>
  <c r="G931" i="5"/>
  <c r="G930" i="5"/>
  <c r="E930" i="5"/>
  <c r="I930" i="5" s="1"/>
  <c r="J930" i="5" s="1"/>
  <c r="E929" i="5"/>
  <c r="I929" i="5" s="1"/>
  <c r="J929" i="5" s="1"/>
  <c r="I928" i="5"/>
  <c r="J928" i="5" s="1"/>
  <c r="I927" i="5"/>
  <c r="J927" i="5" s="1"/>
  <c r="J926" i="5"/>
  <c r="I926" i="5"/>
  <c r="G925" i="5"/>
  <c r="F924" i="5"/>
  <c r="G924" i="5" s="1"/>
  <c r="I923" i="5"/>
  <c r="J923" i="5" s="1"/>
  <c r="E923" i="5"/>
  <c r="F922" i="5"/>
  <c r="G922" i="5" s="1"/>
  <c r="I922" i="5" s="1"/>
  <c r="J922" i="5" s="1"/>
  <c r="I921" i="5"/>
  <c r="J921" i="5" s="1"/>
  <c r="I920" i="5"/>
  <c r="J920" i="5" s="1"/>
  <c r="G919" i="5"/>
  <c r="E919" i="5"/>
  <c r="I919" i="5" s="1"/>
  <c r="J919" i="5" s="1"/>
  <c r="J918" i="5"/>
  <c r="I918" i="5"/>
  <c r="G917" i="5"/>
  <c r="I917" i="5" s="1"/>
  <c r="J917" i="5" s="1"/>
  <c r="I915" i="5"/>
  <c r="J915" i="5" s="1"/>
  <c r="F914" i="5"/>
  <c r="G914" i="5" s="1"/>
  <c r="I914" i="5" s="1"/>
  <c r="J914" i="5" s="1"/>
  <c r="G913" i="5"/>
  <c r="I913" i="5" s="1"/>
  <c r="J913" i="5" s="1"/>
  <c r="J912" i="5"/>
  <c r="I912" i="5"/>
  <c r="I911" i="5"/>
  <c r="J911" i="5" s="1"/>
  <c r="G910" i="5"/>
  <c r="I910" i="5" s="1"/>
  <c r="J910" i="5" s="1"/>
  <c r="I909" i="5"/>
  <c r="J909" i="5" s="1"/>
  <c r="I908" i="5"/>
  <c r="J908" i="5" s="1"/>
  <c r="I907" i="5"/>
  <c r="J907" i="5" s="1"/>
  <c r="I906" i="5"/>
  <c r="J906" i="5" s="1"/>
  <c r="F905" i="5"/>
  <c r="G905" i="5" s="1"/>
  <c r="I905" i="5" s="1"/>
  <c r="J905" i="5" s="1"/>
  <c r="I904" i="5"/>
  <c r="J904" i="5" s="1"/>
  <c r="I903" i="5"/>
  <c r="J903" i="5" s="1"/>
  <c r="I902" i="5"/>
  <c r="J902" i="5" s="1"/>
  <c r="I901" i="5"/>
  <c r="J901" i="5" s="1"/>
  <c r="G901" i="5"/>
  <c r="I900" i="5"/>
  <c r="J900" i="5" s="1"/>
  <c r="F899" i="5"/>
  <c r="G899" i="5" s="1"/>
  <c r="I899" i="5" s="1"/>
  <c r="J899" i="5" s="1"/>
  <c r="J898" i="5"/>
  <c r="I898" i="5"/>
  <c r="I897" i="5"/>
  <c r="J897" i="5" s="1"/>
  <c r="G896" i="5"/>
  <c r="I896" i="5" s="1"/>
  <c r="J896" i="5" s="1"/>
  <c r="I895" i="5"/>
  <c r="J895" i="5" s="1"/>
  <c r="I894" i="5"/>
  <c r="J894" i="5" s="1"/>
  <c r="G893" i="5"/>
  <c r="E893" i="5"/>
  <c r="I893" i="5" s="1"/>
  <c r="J893" i="5" s="1"/>
  <c r="G892" i="5"/>
  <c r="E892" i="5"/>
  <c r="I892" i="5" s="1"/>
  <c r="J892" i="5" s="1"/>
  <c r="I891" i="5"/>
  <c r="J891" i="5" s="1"/>
  <c r="I890" i="5"/>
  <c r="J890" i="5" s="1"/>
  <c r="I889" i="5"/>
  <c r="J889" i="5" s="1"/>
  <c r="I888" i="5"/>
  <c r="J888" i="5" s="1"/>
  <c r="J887" i="5"/>
  <c r="I887" i="5"/>
  <c r="I886" i="5"/>
  <c r="J886" i="5" s="1"/>
  <c r="I885" i="5"/>
  <c r="J885" i="5" s="1"/>
  <c r="I884" i="5"/>
  <c r="J884" i="5" s="1"/>
  <c r="F882" i="5"/>
  <c r="G882" i="5" s="1"/>
  <c r="I882" i="5" s="1"/>
  <c r="F881" i="5"/>
  <c r="G881" i="5" s="1"/>
  <c r="I881" i="5" s="1"/>
  <c r="J881" i="5" s="1"/>
  <c r="G880" i="5"/>
  <c r="I880" i="5" s="1"/>
  <c r="J880" i="5" s="1"/>
  <c r="G879" i="5"/>
  <c r="E879" i="5"/>
  <c r="I879" i="5" s="1"/>
  <c r="J879" i="5" s="1"/>
  <c r="H878" i="5"/>
  <c r="F878" i="5"/>
  <c r="G878" i="5" s="1"/>
  <c r="I877" i="5"/>
  <c r="J877" i="5" s="1"/>
  <c r="F876" i="5"/>
  <c r="G876" i="5" s="1"/>
  <c r="I876" i="5" s="1"/>
  <c r="J876" i="5" s="1"/>
  <c r="I875" i="5"/>
  <c r="J875" i="5" s="1"/>
  <c r="I874" i="5"/>
  <c r="J874" i="5" s="1"/>
  <c r="G873" i="5"/>
  <c r="I873" i="5" s="1"/>
  <c r="J873" i="5" s="1"/>
  <c r="F872" i="5"/>
  <c r="E872" i="5"/>
  <c r="F871" i="5"/>
  <c r="E871" i="5"/>
  <c r="F870" i="5"/>
  <c r="H870" i="5" s="1"/>
  <c r="E870" i="5"/>
  <c r="I869" i="5"/>
  <c r="J869" i="5" s="1"/>
  <c r="G869" i="5"/>
  <c r="E869" i="5"/>
  <c r="I868" i="5"/>
  <c r="J868" i="5" s="1"/>
  <c r="J867" i="5"/>
  <c r="I867" i="5"/>
  <c r="I866" i="5"/>
  <c r="J866" i="5" s="1"/>
  <c r="I865" i="5"/>
  <c r="J865" i="5" s="1"/>
  <c r="H864" i="5"/>
  <c r="G864" i="5"/>
  <c r="E864" i="5"/>
  <c r="I864" i="5" s="1"/>
  <c r="J864" i="5" s="1"/>
  <c r="G863" i="5"/>
  <c r="I863" i="5" s="1"/>
  <c r="J863" i="5" s="1"/>
  <c r="I862" i="5"/>
  <c r="J862" i="5" s="1"/>
  <c r="G859" i="5"/>
  <c r="I857" i="5"/>
  <c r="J857" i="5" s="1"/>
  <c r="I856" i="5"/>
  <c r="J856" i="5" s="1"/>
  <c r="E855" i="5"/>
  <c r="I855" i="5" s="1"/>
  <c r="J855" i="5" s="1"/>
  <c r="I854" i="5"/>
  <c r="J854" i="5" s="1"/>
  <c r="I853" i="5"/>
  <c r="J853" i="5" s="1"/>
  <c r="G852" i="5"/>
  <c r="I852" i="5" s="1"/>
  <c r="J852" i="5" s="1"/>
  <c r="E852" i="5"/>
  <c r="G851" i="5"/>
  <c r="I851" i="5" s="1"/>
  <c r="J851" i="5" s="1"/>
  <c r="G850" i="5"/>
  <c r="I850" i="5" s="1"/>
  <c r="J850" i="5" s="1"/>
  <c r="J849" i="5"/>
  <c r="G849" i="5"/>
  <c r="I849" i="5" s="1"/>
  <c r="G848" i="5"/>
  <c r="E848" i="5"/>
  <c r="I848" i="5" s="1"/>
  <c r="J848" i="5" s="1"/>
  <c r="I847" i="5"/>
  <c r="J847" i="5" s="1"/>
  <c r="F846" i="5"/>
  <c r="G846" i="5" s="1"/>
  <c r="E846" i="5"/>
  <c r="I845" i="5"/>
  <c r="J845" i="5" s="1"/>
  <c r="I844" i="5"/>
  <c r="J844" i="5" s="1"/>
  <c r="I843" i="5"/>
  <c r="J843" i="5" s="1"/>
  <c r="I842" i="5"/>
  <c r="J842" i="5" s="1"/>
  <c r="F841" i="5"/>
  <c r="G841" i="5" s="1"/>
  <c r="I841" i="5" s="1"/>
  <c r="J841" i="5" s="1"/>
  <c r="I840" i="5"/>
  <c r="J840" i="5" s="1"/>
  <c r="F839" i="5"/>
  <c r="G839" i="5" s="1"/>
  <c r="E839" i="5"/>
  <c r="I839" i="5" s="1"/>
  <c r="J839" i="5" s="1"/>
  <c r="G838" i="5"/>
  <c r="E838" i="5"/>
  <c r="I837" i="5"/>
  <c r="J837" i="5" s="1"/>
  <c r="I836" i="5"/>
  <c r="J836" i="5" s="1"/>
  <c r="I835" i="5"/>
  <c r="J835" i="5" s="1"/>
  <c r="I834" i="5"/>
  <c r="J834" i="5" s="1"/>
  <c r="H833" i="5"/>
  <c r="G833" i="5"/>
  <c r="E833" i="5"/>
  <c r="F832" i="5"/>
  <c r="G832" i="5" s="1"/>
  <c r="I832" i="5" s="1"/>
  <c r="J832" i="5" s="1"/>
  <c r="F831" i="5"/>
  <c r="G831" i="5" s="1"/>
  <c r="I831" i="5" s="1"/>
  <c r="J831" i="5" s="1"/>
  <c r="E831" i="5"/>
  <c r="I830" i="5"/>
  <c r="I829" i="5"/>
  <c r="F828" i="5"/>
  <c r="G828" i="5" s="1"/>
  <c r="I828" i="5" s="1"/>
  <c r="I827" i="5"/>
  <c r="J827" i="5" s="1"/>
  <c r="I826" i="5"/>
  <c r="J826" i="5" s="1"/>
  <c r="J825" i="5"/>
  <c r="I825" i="5"/>
  <c r="F824" i="5"/>
  <c r="G824" i="5" s="1"/>
  <c r="I824" i="5" s="1"/>
  <c r="J824" i="5" s="1"/>
  <c r="G823" i="5"/>
  <c r="I823" i="5" s="1"/>
  <c r="J823" i="5" s="1"/>
  <c r="F823" i="5"/>
  <c r="I822" i="5"/>
  <c r="J822" i="5" s="1"/>
  <c r="F821" i="5"/>
  <c r="G821" i="5" s="1"/>
  <c r="I821" i="5" s="1"/>
  <c r="J821" i="5" s="1"/>
  <c r="J820" i="5"/>
  <c r="G820" i="5"/>
  <c r="E820" i="5"/>
  <c r="I820" i="5" s="1"/>
  <c r="I819" i="5"/>
  <c r="J819" i="5" s="1"/>
  <c r="I816" i="5"/>
  <c r="J816" i="5" s="1"/>
  <c r="I815" i="5"/>
  <c r="J815" i="5" s="1"/>
  <c r="I814" i="5"/>
  <c r="J814" i="5" s="1"/>
  <c r="I812" i="5"/>
  <c r="J812" i="5" s="1"/>
  <c r="I811" i="5"/>
  <c r="J811" i="5" s="1"/>
  <c r="J810" i="5"/>
  <c r="G810" i="5"/>
  <c r="E810" i="5"/>
  <c r="I810" i="5" s="1"/>
  <c r="G809" i="5"/>
  <c r="I809" i="5" s="1"/>
  <c r="J809" i="5" s="1"/>
  <c r="J808" i="5"/>
  <c r="I808" i="5"/>
  <c r="G807" i="5"/>
  <c r="I807" i="5" s="1"/>
  <c r="J807" i="5" s="1"/>
  <c r="I806" i="5"/>
  <c r="J806" i="5" s="1"/>
  <c r="I805" i="5"/>
  <c r="J805" i="5" s="1"/>
  <c r="E805" i="5"/>
  <c r="G804" i="5"/>
  <c r="I804" i="5" s="1"/>
  <c r="J804" i="5" s="1"/>
  <c r="I803" i="5"/>
  <c r="J803" i="5" s="1"/>
  <c r="J802" i="5"/>
  <c r="G802" i="5"/>
  <c r="I801" i="5"/>
  <c r="J801" i="5" s="1"/>
  <c r="I800" i="5"/>
  <c r="J800" i="5" s="1"/>
  <c r="G800" i="5"/>
  <c r="G799" i="5"/>
  <c r="E799" i="5"/>
  <c r="I798" i="5"/>
  <c r="J798" i="5" s="1"/>
  <c r="G798" i="5"/>
  <c r="I797" i="5"/>
  <c r="J797" i="5" s="1"/>
  <c r="I796" i="5"/>
  <c r="J796" i="5" s="1"/>
  <c r="G795" i="5"/>
  <c r="I795" i="5" s="1"/>
  <c r="J795" i="5" s="1"/>
  <c r="G794" i="5"/>
  <c r="I794" i="5" s="1"/>
  <c r="J794" i="5" s="1"/>
  <c r="I793" i="5"/>
  <c r="J793" i="5" s="1"/>
  <c r="G792" i="5"/>
  <c r="E792" i="5"/>
  <c r="G791" i="5"/>
  <c r="E791" i="5"/>
  <c r="I790" i="5"/>
  <c r="J790" i="5" s="1"/>
  <c r="I789" i="5"/>
  <c r="J789" i="5" s="1"/>
  <c r="G788" i="5"/>
  <c r="I788" i="5" s="1"/>
  <c r="J788" i="5" s="1"/>
  <c r="E788" i="5"/>
  <c r="I787" i="5"/>
  <c r="J787" i="5" s="1"/>
  <c r="G785" i="5"/>
  <c r="I785" i="5" s="1"/>
  <c r="J785" i="5" s="1"/>
  <c r="I784" i="5"/>
  <c r="J784" i="5" s="1"/>
  <c r="F783" i="5"/>
  <c r="G783" i="5" s="1"/>
  <c r="I783" i="5" s="1"/>
  <c r="J783" i="5" s="1"/>
  <c r="I782" i="5"/>
  <c r="J782" i="5" s="1"/>
  <c r="F781" i="5"/>
  <c r="G781" i="5" s="1"/>
  <c r="I781" i="5" s="1"/>
  <c r="J781" i="5" s="1"/>
  <c r="E781" i="5"/>
  <c r="G780" i="5"/>
  <c r="I780" i="5" s="1"/>
  <c r="J780" i="5" s="1"/>
  <c r="G779" i="5"/>
  <c r="I779" i="5" s="1"/>
  <c r="J779" i="5" s="1"/>
  <c r="I778" i="5"/>
  <c r="J778" i="5" s="1"/>
  <c r="I777" i="5"/>
  <c r="J777" i="5" s="1"/>
  <c r="I776" i="5"/>
  <c r="J776" i="5" s="1"/>
  <c r="G776" i="5"/>
  <c r="I775" i="5"/>
  <c r="J775" i="5" s="1"/>
  <c r="I774" i="5"/>
  <c r="J774" i="5" s="1"/>
  <c r="G773" i="5"/>
  <c r="E773" i="5"/>
  <c r="I773" i="5" s="1"/>
  <c r="J773" i="5" s="1"/>
  <c r="I772" i="5"/>
  <c r="J772" i="5" s="1"/>
  <c r="G771" i="5"/>
  <c r="I771" i="5" s="1"/>
  <c r="J771" i="5" s="1"/>
  <c r="I770" i="5"/>
  <c r="J770" i="5" s="1"/>
  <c r="G769" i="5"/>
  <c r="I769" i="5" s="1"/>
  <c r="J769" i="5" s="1"/>
  <c r="I768" i="5"/>
  <c r="J768" i="5" s="1"/>
  <c r="G768" i="5"/>
  <c r="E768" i="5"/>
  <c r="G767" i="5"/>
  <c r="I767" i="5" s="1"/>
  <c r="J767" i="5" s="1"/>
  <c r="F767" i="5"/>
  <c r="G766" i="5"/>
  <c r="E766" i="5"/>
  <c r="F765" i="5"/>
  <c r="G765" i="5" s="1"/>
  <c r="I765" i="5" s="1"/>
  <c r="J765" i="5" s="1"/>
  <c r="J764" i="5"/>
  <c r="J763" i="5"/>
  <c r="J762" i="5"/>
  <c r="G761" i="5"/>
  <c r="I761" i="5" s="1"/>
  <c r="J761" i="5" s="1"/>
  <c r="F761" i="5"/>
  <c r="E761" i="5"/>
  <c r="I760" i="5"/>
  <c r="J760" i="5" s="1"/>
  <c r="I759" i="5"/>
  <c r="J759" i="5" s="1"/>
  <c r="H758" i="5"/>
  <c r="F758" i="5"/>
  <c r="G758" i="5" s="1"/>
  <c r="I757" i="5"/>
  <c r="J757" i="5" s="1"/>
  <c r="I756" i="5"/>
  <c r="J756" i="5" s="1"/>
  <c r="F755" i="5"/>
  <c r="G755" i="5" s="1"/>
  <c r="I755" i="5" s="1"/>
  <c r="J755" i="5" s="1"/>
  <c r="J754" i="5"/>
  <c r="J753" i="5"/>
  <c r="I753" i="5"/>
  <c r="I752" i="5"/>
  <c r="J752" i="5" s="1"/>
  <c r="G751" i="5"/>
  <c r="E751" i="5"/>
  <c r="F750" i="5"/>
  <c r="G750" i="5" s="1"/>
  <c r="I750" i="5" s="1"/>
  <c r="J750" i="5" s="1"/>
  <c r="G749" i="5"/>
  <c r="I749" i="5" s="1"/>
  <c r="J749" i="5" s="1"/>
  <c r="F748" i="5"/>
  <c r="G748" i="5" s="1"/>
  <c r="E748" i="5"/>
  <c r="G747" i="5"/>
  <c r="I747" i="5" s="1"/>
  <c r="J747" i="5" s="1"/>
  <c r="I746" i="5"/>
  <c r="J746" i="5" s="1"/>
  <c r="I745" i="5"/>
  <c r="J745" i="5" s="1"/>
  <c r="I744" i="5"/>
  <c r="J744" i="5" s="1"/>
  <c r="G743" i="5"/>
  <c r="I743" i="5" s="1"/>
  <c r="J743" i="5" s="1"/>
  <c r="E742" i="5"/>
  <c r="I742" i="5" s="1"/>
  <c r="J742" i="5" s="1"/>
  <c r="I741" i="5"/>
  <c r="J741" i="5" s="1"/>
  <c r="F739" i="5"/>
  <c r="G739" i="5" s="1"/>
  <c r="I739" i="5" s="1"/>
  <c r="J739" i="5" s="1"/>
  <c r="F738" i="5"/>
  <c r="G738" i="5" s="1"/>
  <c r="E738" i="5"/>
  <c r="G735" i="5"/>
  <c r="I735" i="5" s="1"/>
  <c r="J735" i="5" s="1"/>
  <c r="G734" i="5"/>
  <c r="I734" i="5" s="1"/>
  <c r="J734" i="5" s="1"/>
  <c r="F733" i="5"/>
  <c r="G733" i="5" s="1"/>
  <c r="I733" i="5" s="1"/>
  <c r="J733" i="5" s="1"/>
  <c r="F732" i="5"/>
  <c r="G732" i="5" s="1"/>
  <c r="I732" i="5" s="1"/>
  <c r="J732" i="5" s="1"/>
  <c r="I731" i="5"/>
  <c r="J731" i="5" s="1"/>
  <c r="F731" i="5"/>
  <c r="G731" i="5" s="1"/>
  <c r="I730" i="5"/>
  <c r="J730" i="5" s="1"/>
  <c r="I729" i="5"/>
  <c r="J729" i="5" s="1"/>
  <c r="I728" i="5"/>
  <c r="J728" i="5" s="1"/>
  <c r="G728" i="5"/>
  <c r="G727" i="5"/>
  <c r="E727" i="5"/>
  <c r="I727" i="5" s="1"/>
  <c r="J727" i="5" s="1"/>
  <c r="E726" i="5"/>
  <c r="I726" i="5" s="1"/>
  <c r="J726" i="5" s="1"/>
  <c r="I725" i="5"/>
  <c r="J725" i="5" s="1"/>
  <c r="E724" i="5"/>
  <c r="I724" i="5" s="1"/>
  <c r="J724" i="5" s="1"/>
  <c r="H723" i="5"/>
  <c r="F723" i="5"/>
  <c r="G723" i="5" s="1"/>
  <c r="I722" i="5"/>
  <c r="J722" i="5" s="1"/>
  <c r="E721" i="5"/>
  <c r="I721" i="5" s="1"/>
  <c r="J721" i="5" s="1"/>
  <c r="E720" i="5"/>
  <c r="I720" i="5" s="1"/>
  <c r="J720" i="5" s="1"/>
  <c r="F719" i="5"/>
  <c r="G719" i="5" s="1"/>
  <c r="E719" i="5"/>
  <c r="I719" i="5" s="1"/>
  <c r="J719" i="5" s="1"/>
  <c r="I718" i="5"/>
  <c r="J718" i="5" s="1"/>
  <c r="I717" i="5"/>
  <c r="J717" i="5" s="1"/>
  <c r="G715" i="5"/>
  <c r="I715" i="5" s="1"/>
  <c r="J715" i="5" s="1"/>
  <c r="F714" i="5"/>
  <c r="G714" i="5" s="1"/>
  <c r="I714" i="5" s="1"/>
  <c r="J714" i="5" s="1"/>
  <c r="I713" i="5"/>
  <c r="J713" i="5" s="1"/>
  <c r="F712" i="5"/>
  <c r="I710" i="5"/>
  <c r="J710" i="5" s="1"/>
  <c r="F709" i="5"/>
  <c r="G709" i="5" s="1"/>
  <c r="E709" i="5"/>
  <c r="F708" i="5"/>
  <c r="G708" i="5" s="1"/>
  <c r="E708" i="5"/>
  <c r="I708" i="5" s="1"/>
  <c r="J708" i="5" s="1"/>
  <c r="G707" i="5"/>
  <c r="E707" i="5"/>
  <c r="I703" i="5"/>
  <c r="J703" i="5" s="1"/>
  <c r="J702" i="5"/>
  <c r="I702" i="5"/>
  <c r="J701" i="5"/>
  <c r="F700" i="5"/>
  <c r="G700" i="5" s="1"/>
  <c r="E700" i="5"/>
  <c r="I700" i="5" s="1"/>
  <c r="J700" i="5" s="1"/>
  <c r="I699" i="5"/>
  <c r="J699" i="5" s="1"/>
  <c r="G698" i="5"/>
  <c r="I698" i="5" s="1"/>
  <c r="E698" i="5"/>
  <c r="I697" i="5"/>
  <c r="J697" i="5" s="1"/>
  <c r="I696" i="5"/>
  <c r="J696" i="5" s="1"/>
  <c r="F695" i="5"/>
  <c r="G695" i="5" s="1"/>
  <c r="I695" i="5" s="1"/>
  <c r="J695" i="5" s="1"/>
  <c r="G694" i="5"/>
  <c r="I694" i="5" s="1"/>
  <c r="J694" i="5" s="1"/>
  <c r="F694" i="5"/>
  <c r="E694" i="5"/>
  <c r="F693" i="5"/>
  <c r="G693" i="5" s="1"/>
  <c r="E693" i="5"/>
  <c r="F692" i="5"/>
  <c r="G692" i="5" s="1"/>
  <c r="I692" i="5" s="1"/>
  <c r="J692" i="5" s="1"/>
  <c r="I691" i="5"/>
  <c r="J691" i="5" s="1"/>
  <c r="I690" i="5"/>
  <c r="J690" i="5" s="1"/>
  <c r="I689" i="5"/>
  <c r="J689" i="5" s="1"/>
  <c r="J688" i="5"/>
  <c r="I688" i="5"/>
  <c r="G687" i="5"/>
  <c r="I687" i="5" s="1"/>
  <c r="J687" i="5" s="1"/>
  <c r="I686" i="5"/>
  <c r="I685" i="5"/>
  <c r="J685" i="5" s="1"/>
  <c r="F684" i="5"/>
  <c r="G684" i="5" s="1"/>
  <c r="I684" i="5" s="1"/>
  <c r="I682" i="5"/>
  <c r="J682" i="5" s="1"/>
  <c r="I681" i="5"/>
  <c r="J681" i="5" s="1"/>
  <c r="G681" i="5"/>
  <c r="I680" i="5"/>
  <c r="J679" i="5"/>
  <c r="I679" i="5"/>
  <c r="I677" i="5"/>
  <c r="J677" i="5" s="1"/>
  <c r="F676" i="5"/>
  <c r="G676" i="5" s="1"/>
  <c r="I676" i="5" s="1"/>
  <c r="J676" i="5" s="1"/>
  <c r="J675" i="5"/>
  <c r="I675" i="5"/>
  <c r="G674" i="5"/>
  <c r="E674" i="5"/>
  <c r="I674" i="5" s="1"/>
  <c r="J674" i="5" s="1"/>
  <c r="J673" i="5"/>
  <c r="I673" i="5"/>
  <c r="G672" i="5"/>
  <c r="I672" i="5" s="1"/>
  <c r="J672" i="5" s="1"/>
  <c r="G671" i="5"/>
  <c r="E671" i="5"/>
  <c r="I669" i="5"/>
  <c r="J669" i="5" s="1"/>
  <c r="J667" i="5"/>
  <c r="I667" i="5"/>
  <c r="I666" i="5"/>
  <c r="J666" i="5" s="1"/>
  <c r="I665" i="5"/>
  <c r="J665" i="5" s="1"/>
  <c r="F665" i="5"/>
  <c r="G665" i="5" s="1"/>
  <c r="G664" i="5"/>
  <c r="E664" i="5"/>
  <c r="H663" i="5"/>
  <c r="G663" i="5"/>
  <c r="I663" i="5" s="1"/>
  <c r="J663" i="5" s="1"/>
  <c r="I662" i="5"/>
  <c r="J662" i="5" s="1"/>
  <c r="H662" i="5"/>
  <c r="F662" i="5"/>
  <c r="G662" i="5" s="1"/>
  <c r="E662" i="5"/>
  <c r="I661" i="5"/>
  <c r="J661" i="5" s="1"/>
  <c r="J660" i="5"/>
  <c r="F660" i="5"/>
  <c r="G660" i="5" s="1"/>
  <c r="I660" i="5" s="1"/>
  <c r="I659" i="5"/>
  <c r="I658" i="5"/>
  <c r="J658" i="5" s="1"/>
  <c r="I657" i="5"/>
  <c r="J657" i="5" s="1"/>
  <c r="I656" i="5"/>
  <c r="J656" i="5" s="1"/>
  <c r="G656" i="5"/>
  <c r="F656" i="5"/>
  <c r="I655" i="5"/>
  <c r="J655" i="5" s="1"/>
  <c r="I654" i="5"/>
  <c r="J654" i="5" s="1"/>
  <c r="F652" i="5"/>
  <c r="G652" i="5" s="1"/>
  <c r="I652" i="5" s="1"/>
  <c r="J652" i="5" s="1"/>
  <c r="I651" i="5"/>
  <c r="J651" i="5" s="1"/>
  <c r="I649" i="5"/>
  <c r="J649" i="5" s="1"/>
  <c r="I648" i="5"/>
  <c r="J648" i="5" s="1"/>
  <c r="G648" i="5"/>
  <c r="I647" i="5"/>
  <c r="J647" i="5" s="1"/>
  <c r="G646" i="5"/>
  <c r="E646" i="5"/>
  <c r="G645" i="5"/>
  <c r="E645" i="5"/>
  <c r="G644" i="5"/>
  <c r="E644" i="5"/>
  <c r="I644" i="5" s="1"/>
  <c r="J644" i="5" s="1"/>
  <c r="I643" i="5"/>
  <c r="J643" i="5" s="1"/>
  <c r="J642" i="5"/>
  <c r="I642" i="5"/>
  <c r="G641" i="5"/>
  <c r="E641" i="5"/>
  <c r="I641" i="5" s="1"/>
  <c r="J641" i="5" s="1"/>
  <c r="I640" i="5"/>
  <c r="J640" i="5" s="1"/>
  <c r="G640" i="5"/>
  <c r="G639" i="5"/>
  <c r="I639" i="5" s="1"/>
  <c r="J639" i="5" s="1"/>
  <c r="J638" i="5"/>
  <c r="I638" i="5"/>
  <c r="G638" i="5"/>
  <c r="I637" i="5"/>
  <c r="J637" i="5" s="1"/>
  <c r="G636" i="5"/>
  <c r="I636" i="5" s="1"/>
  <c r="J636" i="5" s="1"/>
  <c r="G635" i="5"/>
  <c r="I635" i="5" s="1"/>
  <c r="J635" i="5" s="1"/>
  <c r="I634" i="5"/>
  <c r="J634" i="5" s="1"/>
  <c r="I633" i="5"/>
  <c r="J633" i="5" s="1"/>
  <c r="J632" i="5"/>
  <c r="J631" i="5"/>
  <c r="I631" i="5"/>
  <c r="I630" i="5"/>
  <c r="J630" i="5" s="1"/>
  <c r="I629" i="5"/>
  <c r="J629" i="5" s="1"/>
  <c r="H628" i="5"/>
  <c r="I628" i="5" s="1"/>
  <c r="J628" i="5" s="1"/>
  <c r="G628" i="5"/>
  <c r="G626" i="5"/>
  <c r="I626" i="5" s="1"/>
  <c r="J626" i="5" s="1"/>
  <c r="I625" i="5"/>
  <c r="J625" i="5" s="1"/>
  <c r="E625" i="5"/>
  <c r="G624" i="5"/>
  <c r="I624" i="5" s="1"/>
  <c r="J624" i="5" s="1"/>
  <c r="E623" i="5"/>
  <c r="I623" i="5" s="1"/>
  <c r="J623" i="5" s="1"/>
  <c r="J622" i="5"/>
  <c r="I622" i="5"/>
  <c r="F622" i="5"/>
  <c r="G622" i="5" s="1"/>
  <c r="E620" i="5"/>
  <c r="I620" i="5" s="1"/>
  <c r="J620" i="5" s="1"/>
  <c r="I619" i="5"/>
  <c r="J619" i="5" s="1"/>
  <c r="J618" i="5"/>
  <c r="I618" i="5"/>
  <c r="I617" i="5"/>
  <c r="J617" i="5" s="1"/>
  <c r="G616" i="5"/>
  <c r="I616" i="5" s="1"/>
  <c r="J616" i="5" s="1"/>
  <c r="I615" i="5"/>
  <c r="J615" i="5" s="1"/>
  <c r="I614" i="5"/>
  <c r="J614" i="5" s="1"/>
  <c r="I613" i="5"/>
  <c r="J613" i="5" s="1"/>
  <c r="G613" i="5"/>
  <c r="G612" i="5"/>
  <c r="I612" i="5" s="1"/>
  <c r="J612" i="5" s="1"/>
  <c r="G611" i="5"/>
  <c r="I611" i="5" s="1"/>
  <c r="J611" i="5" s="1"/>
  <c r="F611" i="5"/>
  <c r="G610" i="5"/>
  <c r="E610" i="5"/>
  <c r="I610" i="5" s="1"/>
  <c r="J610" i="5" s="1"/>
  <c r="J609" i="5"/>
  <c r="F609" i="5"/>
  <c r="G609" i="5" s="1"/>
  <c r="I609" i="5" s="1"/>
  <c r="I608" i="5"/>
  <c r="J608" i="5" s="1"/>
  <c r="I607" i="5"/>
  <c r="J607" i="5" s="1"/>
  <c r="G606" i="5"/>
  <c r="E606" i="5"/>
  <c r="I606" i="5" s="1"/>
  <c r="J606" i="5" s="1"/>
  <c r="J605" i="5"/>
  <c r="I605" i="5"/>
  <c r="F604" i="5"/>
  <c r="G604" i="5" s="1"/>
  <c r="H604" i="5" s="1"/>
  <c r="E604" i="5"/>
  <c r="J603" i="5"/>
  <c r="I603" i="5"/>
  <c r="G601" i="5"/>
  <c r="I601" i="5" s="1"/>
  <c r="J601" i="5" s="1"/>
  <c r="I600" i="5"/>
  <c r="J600" i="5" s="1"/>
  <c r="I599" i="5"/>
  <c r="J599" i="5" s="1"/>
  <c r="I598" i="5"/>
  <c r="J598" i="5" s="1"/>
  <c r="I597" i="5"/>
  <c r="J597" i="5" s="1"/>
  <c r="H596" i="5"/>
  <c r="G596" i="5"/>
  <c r="E596" i="5"/>
  <c r="I595" i="5"/>
  <c r="J595" i="5" s="1"/>
  <c r="J594" i="5"/>
  <c r="F594" i="5"/>
  <c r="G594" i="5" s="1"/>
  <c r="I594" i="5" s="1"/>
  <c r="J593" i="5"/>
  <c r="J592" i="5"/>
  <c r="I591" i="5"/>
  <c r="J591" i="5" s="1"/>
  <c r="G591" i="5"/>
  <c r="F591" i="5"/>
  <c r="G590" i="5"/>
  <c r="I590" i="5" s="1"/>
  <c r="J589" i="5"/>
  <c r="I589" i="5"/>
  <c r="G588" i="5"/>
  <c r="I588" i="5" s="1"/>
  <c r="J588" i="5" s="1"/>
  <c r="I587" i="5"/>
  <c r="J587" i="5" s="1"/>
  <c r="J586" i="5"/>
  <c r="I586" i="5"/>
  <c r="G585" i="5"/>
  <c r="I585" i="5" s="1"/>
  <c r="J585" i="5" s="1"/>
  <c r="J584" i="5"/>
  <c r="I584" i="5"/>
  <c r="G583" i="5"/>
  <c r="I583" i="5" s="1"/>
  <c r="J583" i="5" s="1"/>
  <c r="E583" i="5"/>
  <c r="J582" i="5"/>
  <c r="I581" i="5"/>
  <c r="J581" i="5" s="1"/>
  <c r="G580" i="5"/>
  <c r="E580" i="5"/>
  <c r="J579" i="5"/>
  <c r="G578" i="5"/>
  <c r="I578" i="5" s="1"/>
  <c r="J578" i="5" s="1"/>
  <c r="E578" i="5"/>
  <c r="G577" i="5"/>
  <c r="E577" i="5"/>
  <c r="I576" i="5"/>
  <c r="J576" i="5" s="1"/>
  <c r="G576" i="5"/>
  <c r="E576" i="5"/>
  <c r="G575" i="5"/>
  <c r="I575" i="5" s="1"/>
  <c r="J575" i="5" s="1"/>
  <c r="F574" i="5"/>
  <c r="G574" i="5" s="1"/>
  <c r="I574" i="5" s="1"/>
  <c r="J574" i="5" s="1"/>
  <c r="F573" i="5"/>
  <c r="G573" i="5" s="1"/>
  <c r="I573" i="5" s="1"/>
  <c r="J573" i="5" s="1"/>
  <c r="G572" i="5"/>
  <c r="E572" i="5"/>
  <c r="E570" i="5"/>
  <c r="I570" i="5" s="1"/>
  <c r="J570" i="5" s="1"/>
  <c r="G569" i="5"/>
  <c r="E569" i="5"/>
  <c r="G568" i="5"/>
  <c r="E568" i="5"/>
  <c r="I568" i="5" s="1"/>
  <c r="J568" i="5" s="1"/>
  <c r="J567" i="5"/>
  <c r="I567" i="5"/>
  <c r="E566" i="5"/>
  <c r="I566" i="5" s="1"/>
  <c r="J566" i="5" s="1"/>
  <c r="J565" i="5"/>
  <c r="J564" i="5"/>
  <c r="I563" i="5"/>
  <c r="J563" i="5" s="1"/>
  <c r="G562" i="5"/>
  <c r="I562" i="5" s="1"/>
  <c r="J562" i="5" s="1"/>
  <c r="J561" i="5"/>
  <c r="G561" i="5"/>
  <c r="I561" i="5" s="1"/>
  <c r="I559" i="5"/>
  <c r="F558" i="5"/>
  <c r="G558" i="5" s="1"/>
  <c r="I558" i="5" s="1"/>
  <c r="J558" i="5" s="1"/>
  <c r="J557" i="5"/>
  <c r="G557" i="5"/>
  <c r="I557" i="5" s="1"/>
  <c r="G556" i="5"/>
  <c r="I556" i="5" s="1"/>
  <c r="J556" i="5" s="1"/>
  <c r="I555" i="5"/>
  <c r="J555" i="5" s="1"/>
  <c r="I554" i="5"/>
  <c r="J554" i="5" s="1"/>
  <c r="I553" i="5"/>
  <c r="J553" i="5" s="1"/>
  <c r="J552" i="5"/>
  <c r="I552" i="5"/>
  <c r="I551" i="5"/>
  <c r="J551" i="5" s="1"/>
  <c r="J550" i="5"/>
  <c r="F550" i="5"/>
  <c r="G550" i="5" s="1"/>
  <c r="I550" i="5" s="1"/>
  <c r="F549" i="5"/>
  <c r="G548" i="5"/>
  <c r="I548" i="5" s="1"/>
  <c r="J548" i="5" s="1"/>
  <c r="G547" i="5"/>
  <c r="E547" i="5"/>
  <c r="I547" i="5" s="1"/>
  <c r="J547" i="5" s="1"/>
  <c r="G546" i="5"/>
  <c r="I546" i="5" s="1"/>
  <c r="J546" i="5" s="1"/>
  <c r="J545" i="5"/>
  <c r="I545" i="5"/>
  <c r="G544" i="5"/>
  <c r="I544" i="5" s="1"/>
  <c r="J544" i="5" s="1"/>
  <c r="J543" i="5"/>
  <c r="E542" i="5"/>
  <c r="I542" i="5" s="1"/>
  <c r="J542" i="5" s="1"/>
  <c r="G541" i="5"/>
  <c r="E541" i="5"/>
  <c r="I541" i="5" s="1"/>
  <c r="J541" i="5" s="1"/>
  <c r="J540" i="5"/>
  <c r="I540" i="5"/>
  <c r="G539" i="5"/>
  <c r="I539" i="5" s="1"/>
  <c r="J539" i="5" s="1"/>
  <c r="G538" i="5"/>
  <c r="E538" i="5"/>
  <c r="F537" i="5"/>
  <c r="G537" i="5" s="1"/>
  <c r="I537" i="5" s="1"/>
  <c r="J537" i="5" s="1"/>
  <c r="J536" i="5"/>
  <c r="I535" i="5"/>
  <c r="J535" i="5" s="1"/>
  <c r="J534" i="5"/>
  <c r="I534" i="5"/>
  <c r="F533" i="5"/>
  <c r="G533" i="5" s="1"/>
  <c r="E533" i="5"/>
  <c r="F532" i="5"/>
  <c r="G532" i="5" s="1"/>
  <c r="E532" i="5"/>
  <c r="I532" i="5" s="1"/>
  <c r="J532" i="5" s="1"/>
  <c r="J531" i="5"/>
  <c r="G531" i="5"/>
  <c r="I531" i="5" s="1"/>
  <c r="G530" i="5"/>
  <c r="E530" i="5"/>
  <c r="I529" i="5"/>
  <c r="J529" i="5" s="1"/>
  <c r="G529" i="5"/>
  <c r="I528" i="5"/>
  <c r="J528" i="5" s="1"/>
  <c r="G528" i="5"/>
  <c r="E528" i="5"/>
  <c r="I527" i="5"/>
  <c r="J527" i="5" s="1"/>
  <c r="J526" i="5"/>
  <c r="I526" i="5"/>
  <c r="G524" i="5"/>
  <c r="I524" i="5" s="1"/>
  <c r="J524" i="5" s="1"/>
  <c r="E524" i="5"/>
  <c r="G523" i="5"/>
  <c r="I523" i="5" s="1"/>
  <c r="J523" i="5" s="1"/>
  <c r="F523" i="5"/>
  <c r="I522" i="5"/>
  <c r="J522" i="5" s="1"/>
  <c r="G522" i="5"/>
  <c r="I521" i="5"/>
  <c r="J521" i="5" s="1"/>
  <c r="J519" i="5"/>
  <c r="I519" i="5"/>
  <c r="I518" i="5"/>
  <c r="J518" i="5" s="1"/>
  <c r="I517" i="5"/>
  <c r="J517" i="5" s="1"/>
  <c r="G517" i="5"/>
  <c r="G516" i="5"/>
  <c r="I516" i="5" s="1"/>
  <c r="J516" i="5" s="1"/>
  <c r="K515" i="5"/>
  <c r="I515" i="5"/>
  <c r="J515" i="5" s="1"/>
  <c r="G515" i="5"/>
  <c r="K514" i="5"/>
  <c r="G514" i="5"/>
  <c r="I514" i="5" s="1"/>
  <c r="J514" i="5" s="1"/>
  <c r="I513" i="5"/>
  <c r="J513" i="5" s="1"/>
  <c r="G512" i="5"/>
  <c r="E512" i="5"/>
  <c r="I512" i="5" s="1"/>
  <c r="J512" i="5" s="1"/>
  <c r="I511" i="5"/>
  <c r="J511" i="5" s="1"/>
  <c r="I510" i="5"/>
  <c r="J510" i="5" s="1"/>
  <c r="I509" i="5"/>
  <c r="J509" i="5" s="1"/>
  <c r="I508" i="5"/>
  <c r="J508" i="5" s="1"/>
  <c r="J507" i="5"/>
  <c r="I507" i="5"/>
  <c r="G506" i="5"/>
  <c r="I506" i="5" s="1"/>
  <c r="J506" i="5" s="1"/>
  <c r="I505" i="5"/>
  <c r="J505" i="5" s="1"/>
  <c r="I504" i="5"/>
  <c r="J504" i="5" s="1"/>
  <c r="I503" i="5"/>
  <c r="J503" i="5" s="1"/>
  <c r="I502" i="5"/>
  <c r="J502" i="5" s="1"/>
  <c r="F501" i="5"/>
  <c r="G501" i="5" s="1"/>
  <c r="E501" i="5"/>
  <c r="I500" i="5"/>
  <c r="J500" i="5" s="1"/>
  <c r="I499" i="5"/>
  <c r="J499" i="5" s="1"/>
  <c r="G498" i="5"/>
  <c r="E498" i="5"/>
  <c r="I497" i="5"/>
  <c r="J497" i="5" s="1"/>
  <c r="I496" i="5"/>
  <c r="J496" i="5" s="1"/>
  <c r="F496" i="5"/>
  <c r="G496" i="5" s="1"/>
  <c r="I495" i="5"/>
  <c r="J495" i="5" s="1"/>
  <c r="I494" i="5"/>
  <c r="J494" i="5" s="1"/>
  <c r="F493" i="5"/>
  <c r="G493" i="5" s="1"/>
  <c r="I493" i="5" s="1"/>
  <c r="J493" i="5" s="1"/>
  <c r="J492" i="5"/>
  <c r="I492" i="5"/>
  <c r="E491" i="5"/>
  <c r="I491" i="5" s="1"/>
  <c r="J491" i="5" s="1"/>
  <c r="J490" i="5"/>
  <c r="I490" i="5"/>
  <c r="G489" i="5"/>
  <c r="I489" i="5" s="1"/>
  <c r="J489" i="5" s="1"/>
  <c r="F488" i="5"/>
  <c r="G488" i="5" s="1"/>
  <c r="I488" i="5" s="1"/>
  <c r="J488" i="5" s="1"/>
  <c r="J487" i="5"/>
  <c r="I486" i="5"/>
  <c r="J486" i="5" s="1"/>
  <c r="I485" i="5"/>
  <c r="J485" i="5" s="1"/>
  <c r="G485" i="5"/>
  <c r="E485" i="5"/>
  <c r="I484" i="5"/>
  <c r="J484" i="5" s="1"/>
  <c r="F483" i="5"/>
  <c r="G483" i="5" s="1"/>
  <c r="I483" i="5" s="1"/>
  <c r="J483" i="5" s="1"/>
  <c r="G482" i="5"/>
  <c r="I482" i="5" s="1"/>
  <c r="J482" i="5" s="1"/>
  <c r="G481" i="5"/>
  <c r="I481" i="5" s="1"/>
  <c r="J481" i="5" s="1"/>
  <c r="J480" i="5"/>
  <c r="I480" i="5"/>
  <c r="G479" i="5"/>
  <c r="E479" i="5"/>
  <c r="J478" i="5"/>
  <c r="G477" i="5"/>
  <c r="I477" i="5" s="1"/>
  <c r="J477" i="5" s="1"/>
  <c r="F477" i="5"/>
  <c r="I476" i="5"/>
  <c r="J476" i="5" s="1"/>
  <c r="J475" i="5"/>
  <c r="I475" i="5"/>
  <c r="I474" i="5"/>
  <c r="J474" i="5" s="1"/>
  <c r="I473" i="5"/>
  <c r="J473" i="5" s="1"/>
  <c r="G472" i="5"/>
  <c r="I472" i="5" s="1"/>
  <c r="J472" i="5" s="1"/>
  <c r="F472" i="5"/>
  <c r="J471" i="5"/>
  <c r="J470" i="5"/>
  <c r="J469" i="5"/>
  <c r="I469" i="5"/>
  <c r="I468" i="5"/>
  <c r="J468" i="5" s="1"/>
  <c r="I467" i="5"/>
  <c r="J467" i="5" s="1"/>
  <c r="I466" i="5"/>
  <c r="J466" i="5" s="1"/>
  <c r="G465" i="5"/>
  <c r="E465" i="5"/>
  <c r="J464" i="5"/>
  <c r="I464" i="5"/>
  <c r="G463" i="5"/>
  <c r="I463" i="5" s="1"/>
  <c r="J463" i="5" s="1"/>
  <c r="G462" i="5"/>
  <c r="I462" i="5" s="1"/>
  <c r="J462" i="5" s="1"/>
  <c r="J461" i="5"/>
  <c r="I461" i="5"/>
  <c r="I460" i="5"/>
  <c r="J460" i="5" s="1"/>
  <c r="G460" i="5"/>
  <c r="F459" i="5"/>
  <c r="G459" i="5" s="1"/>
  <c r="I459" i="5" s="1"/>
  <c r="J459" i="5" s="1"/>
  <c r="I458" i="5"/>
  <c r="J458" i="5" s="1"/>
  <c r="I457" i="5"/>
  <c r="J457" i="5" s="1"/>
  <c r="G456" i="5"/>
  <c r="E456" i="5"/>
  <c r="I456" i="5" s="1"/>
  <c r="J456" i="5" s="1"/>
  <c r="I455" i="5"/>
  <c r="J455" i="5" s="1"/>
  <c r="J454" i="5"/>
  <c r="I454" i="5"/>
  <c r="F453" i="5"/>
  <c r="G452" i="5"/>
  <c r="I452" i="5" s="1"/>
  <c r="J452" i="5" s="1"/>
  <c r="I451" i="5"/>
  <c r="J451" i="5" s="1"/>
  <c r="I450" i="5"/>
  <c r="J450" i="5" s="1"/>
  <c r="E450" i="5"/>
  <c r="J449" i="5"/>
  <c r="I448" i="5"/>
  <c r="J448" i="5" s="1"/>
  <c r="J447" i="5"/>
  <c r="G446" i="5"/>
  <c r="I446" i="5" s="1"/>
  <c r="J446" i="5" s="1"/>
  <c r="I445" i="5"/>
  <c r="J445" i="5" s="1"/>
  <c r="I444" i="5"/>
  <c r="J444" i="5" s="1"/>
  <c r="I443" i="5"/>
  <c r="J443" i="5" s="1"/>
  <c r="I442" i="5"/>
  <c r="J442" i="5" s="1"/>
  <c r="I441" i="5"/>
  <c r="J441" i="5" s="1"/>
  <c r="J440" i="5"/>
  <c r="I440" i="5"/>
  <c r="I439" i="5"/>
  <c r="J439" i="5" s="1"/>
  <c r="I438" i="5"/>
  <c r="J438" i="5" s="1"/>
  <c r="F438" i="5"/>
  <c r="G438" i="5" s="1"/>
  <c r="G437" i="5"/>
  <c r="I437" i="5" s="1"/>
  <c r="J437" i="5" s="1"/>
  <c r="J436" i="5"/>
  <c r="I436" i="5"/>
  <c r="I435" i="5"/>
  <c r="J435" i="5" s="1"/>
  <c r="F434" i="5"/>
  <c r="G434" i="5" s="1"/>
  <c r="E434" i="5"/>
  <c r="F433" i="5"/>
  <c r="H433" i="5" s="1"/>
  <c r="J432" i="5"/>
  <c r="I432" i="5"/>
  <c r="I431" i="5"/>
  <c r="J431" i="5" s="1"/>
  <c r="J430" i="5"/>
  <c r="I429" i="5"/>
  <c r="J429" i="5" s="1"/>
  <c r="G428" i="5"/>
  <c r="I428" i="5" s="1"/>
  <c r="J428" i="5" s="1"/>
  <c r="G427" i="5"/>
  <c r="E427" i="5"/>
  <c r="I427" i="5" s="1"/>
  <c r="J427" i="5" s="1"/>
  <c r="I426" i="5"/>
  <c r="J426" i="5" s="1"/>
  <c r="G426" i="5"/>
  <c r="I425" i="5"/>
  <c r="J425" i="5" s="1"/>
  <c r="I424" i="5"/>
  <c r="J424" i="5" s="1"/>
  <c r="I422" i="5"/>
  <c r="J422" i="5" s="1"/>
  <c r="J421" i="5"/>
  <c r="G420" i="5"/>
  <c r="E420" i="5"/>
  <c r="J419" i="5"/>
  <c r="G419" i="5"/>
  <c r="J418" i="5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J411" i="5"/>
  <c r="I410" i="5"/>
  <c r="J410" i="5" s="1"/>
  <c r="I409" i="5"/>
  <c r="J409" i="5" s="1"/>
  <c r="I408" i="5"/>
  <c r="J408" i="5" s="1"/>
  <c r="G407" i="5"/>
  <c r="E407" i="5"/>
  <c r="G406" i="5"/>
  <c r="E406" i="5"/>
  <c r="J405" i="5"/>
  <c r="I405" i="5"/>
  <c r="G404" i="5"/>
  <c r="F404" i="5"/>
  <c r="E404" i="5"/>
  <c r="I403" i="5"/>
  <c r="J403" i="5" s="1"/>
  <c r="I402" i="5"/>
  <c r="J402" i="5" s="1"/>
  <c r="G401" i="5"/>
  <c r="I401" i="5" s="1"/>
  <c r="J401" i="5" s="1"/>
  <c r="G400" i="5"/>
  <c r="I400" i="5" s="1"/>
  <c r="J400" i="5" s="1"/>
  <c r="E400" i="5"/>
  <c r="I399" i="5"/>
  <c r="I398" i="5"/>
  <c r="J398" i="5" s="1"/>
  <c r="J397" i="5"/>
  <c r="I396" i="5"/>
  <c r="J396" i="5" s="1"/>
  <c r="E395" i="5"/>
  <c r="I395" i="5" s="1"/>
  <c r="J395" i="5" s="1"/>
  <c r="I394" i="5"/>
  <c r="J394" i="5" s="1"/>
  <c r="I393" i="5"/>
  <c r="J393" i="5" s="1"/>
  <c r="J392" i="5"/>
  <c r="I392" i="5"/>
  <c r="I391" i="5"/>
  <c r="J391" i="5" s="1"/>
  <c r="G390" i="5"/>
  <c r="E390" i="5"/>
  <c r="G389" i="5"/>
  <c r="E389" i="5"/>
  <c r="G388" i="5"/>
  <c r="E388" i="5"/>
  <c r="I388" i="5" s="1"/>
  <c r="J388" i="5" s="1"/>
  <c r="G387" i="5"/>
  <c r="E387" i="5"/>
  <c r="I387" i="5" s="1"/>
  <c r="J387" i="5" s="1"/>
  <c r="G386" i="5"/>
  <c r="I386" i="5" s="1"/>
  <c r="J386" i="5" s="1"/>
  <c r="I385" i="5"/>
  <c r="J385" i="5" s="1"/>
  <c r="J384" i="5"/>
  <c r="I384" i="5"/>
  <c r="I383" i="5"/>
  <c r="J383" i="5" s="1"/>
  <c r="J382" i="5"/>
  <c r="I382" i="5"/>
  <c r="I381" i="5"/>
  <c r="J381" i="5" s="1"/>
  <c r="G380" i="5"/>
  <c r="I380" i="5" s="1"/>
  <c r="J380" i="5" s="1"/>
  <c r="G378" i="5"/>
  <c r="E378" i="5"/>
  <c r="I377" i="5"/>
  <c r="J377" i="5" s="1"/>
  <c r="I376" i="5"/>
  <c r="J376" i="5" s="1"/>
  <c r="G376" i="5"/>
  <c r="I375" i="5"/>
  <c r="J375" i="5" s="1"/>
  <c r="I374" i="5"/>
  <c r="J374" i="5" s="1"/>
  <c r="I373" i="5"/>
  <c r="J373" i="5" s="1"/>
  <c r="G372" i="5"/>
  <c r="I372" i="5" s="1"/>
  <c r="J372" i="5" s="1"/>
  <c r="G371" i="5"/>
  <c r="E371" i="5"/>
  <c r="J371" i="5" s="1"/>
  <c r="I370" i="5"/>
  <c r="J370" i="5" s="1"/>
  <c r="G369" i="5"/>
  <c r="E369" i="5"/>
  <c r="G368" i="5"/>
  <c r="E368" i="5"/>
  <c r="I368" i="5" s="1"/>
  <c r="J368" i="5" s="1"/>
  <c r="G367" i="5"/>
  <c r="E367" i="5"/>
  <c r="J366" i="5"/>
  <c r="J365" i="5"/>
  <c r="I365" i="5"/>
  <c r="G364" i="5"/>
  <c r="I364" i="5" s="1"/>
  <c r="J364" i="5" s="1"/>
  <c r="G363" i="5"/>
  <c r="I363" i="5" s="1"/>
  <c r="J363" i="5" s="1"/>
  <c r="E363" i="5"/>
  <c r="J362" i="5"/>
  <c r="I361" i="5"/>
  <c r="J361" i="5" s="1"/>
  <c r="G361" i="5"/>
  <c r="E361" i="5"/>
  <c r="G360" i="5"/>
  <c r="I360" i="5" s="1"/>
  <c r="J360" i="5" s="1"/>
  <c r="F360" i="5"/>
  <c r="E360" i="5"/>
  <c r="I359" i="5"/>
  <c r="J359" i="5" s="1"/>
  <c r="I358" i="5"/>
  <c r="J358" i="5" s="1"/>
  <c r="G357" i="5"/>
  <c r="I357" i="5" s="1"/>
  <c r="J357" i="5" s="1"/>
  <c r="I356" i="5"/>
  <c r="J356" i="5" s="1"/>
  <c r="J355" i="5"/>
  <c r="G355" i="5"/>
  <c r="I355" i="5" s="1"/>
  <c r="G354" i="5"/>
  <c r="I354" i="5" s="1"/>
  <c r="J354" i="5" s="1"/>
  <c r="E354" i="5"/>
  <c r="G353" i="5"/>
  <c r="I353" i="5" s="1"/>
  <c r="J353" i="5" s="1"/>
  <c r="J352" i="5"/>
  <c r="I352" i="5"/>
  <c r="F351" i="5"/>
  <c r="G351" i="5" s="1"/>
  <c r="I351" i="5" s="1"/>
  <c r="J351" i="5" s="1"/>
  <c r="G350" i="5"/>
  <c r="E350" i="5"/>
  <c r="I349" i="5"/>
  <c r="J349" i="5" s="1"/>
  <c r="I348" i="5"/>
  <c r="J348" i="5" s="1"/>
  <c r="J347" i="5"/>
  <c r="G347" i="5"/>
  <c r="I347" i="5" s="1"/>
  <c r="I346" i="5"/>
  <c r="J346" i="5" s="1"/>
  <c r="H345" i="5"/>
  <c r="G345" i="5"/>
  <c r="E345" i="5"/>
  <c r="J344" i="5"/>
  <c r="I343" i="5"/>
  <c r="J343" i="5" s="1"/>
  <c r="G342" i="5"/>
  <c r="E342" i="5"/>
  <c r="I342" i="5" s="1"/>
  <c r="J342" i="5" s="1"/>
  <c r="I341" i="5"/>
  <c r="J341" i="5" s="1"/>
  <c r="G340" i="5"/>
  <c r="E340" i="5"/>
  <c r="I339" i="5"/>
  <c r="J339" i="5" s="1"/>
  <c r="E339" i="5"/>
  <c r="I338" i="5"/>
  <c r="J338" i="5" s="1"/>
  <c r="I337" i="5"/>
  <c r="J337" i="5" s="1"/>
  <c r="I336" i="5"/>
  <c r="J336" i="5" s="1"/>
  <c r="I335" i="5"/>
  <c r="J335" i="5" s="1"/>
  <c r="I334" i="5"/>
  <c r="J334" i="5" s="1"/>
  <c r="J333" i="5"/>
  <c r="G333" i="5"/>
  <c r="I333" i="5" s="1"/>
  <c r="G332" i="5"/>
  <c r="I332" i="5" s="1"/>
  <c r="J332" i="5" s="1"/>
  <c r="E332" i="5"/>
  <c r="I331" i="5"/>
  <c r="J331" i="5" s="1"/>
  <c r="G330" i="5"/>
  <c r="I330" i="5" s="1"/>
  <c r="J330" i="5" s="1"/>
  <c r="J329" i="5"/>
  <c r="I329" i="5"/>
  <c r="I328" i="5"/>
  <c r="J328" i="5" s="1"/>
  <c r="J327" i="5"/>
  <c r="I327" i="5"/>
  <c r="G326" i="5"/>
  <c r="I326" i="5" s="1"/>
  <c r="J326" i="5" s="1"/>
  <c r="I325" i="5"/>
  <c r="J325" i="5" s="1"/>
  <c r="F324" i="5"/>
  <c r="G324" i="5" s="1"/>
  <c r="E324" i="5"/>
  <c r="F323" i="5"/>
  <c r="G323" i="5" s="1"/>
  <c r="E323" i="5"/>
  <c r="G322" i="5"/>
  <c r="E322" i="5"/>
  <c r="G321" i="5"/>
  <c r="I321" i="5" s="1"/>
  <c r="J321" i="5" s="1"/>
  <c r="F321" i="5"/>
  <c r="E320" i="5"/>
  <c r="I320" i="5" s="1"/>
  <c r="J320" i="5" s="1"/>
  <c r="G319" i="5"/>
  <c r="I319" i="5" s="1"/>
  <c r="J319" i="5" s="1"/>
  <c r="J318" i="5"/>
  <c r="J317" i="5"/>
  <c r="J316" i="5"/>
  <c r="E315" i="5"/>
  <c r="I315" i="5" s="1"/>
  <c r="J315" i="5" s="1"/>
  <c r="I314" i="5"/>
  <c r="J314" i="5" s="1"/>
  <c r="I312" i="5"/>
  <c r="J312" i="5" s="1"/>
  <c r="I311" i="5"/>
  <c r="J311" i="5" s="1"/>
  <c r="J310" i="5"/>
  <c r="I310" i="5"/>
  <c r="G309" i="5"/>
  <c r="I309" i="5" s="1"/>
  <c r="J309" i="5" s="1"/>
  <c r="I308" i="5"/>
  <c r="J308" i="5" s="1"/>
  <c r="I307" i="5"/>
  <c r="J307" i="5" s="1"/>
  <c r="I306" i="5"/>
  <c r="J306" i="5" s="1"/>
  <c r="I305" i="5"/>
  <c r="J305" i="5" s="1"/>
  <c r="G305" i="5"/>
  <c r="E304" i="5"/>
  <c r="I304" i="5" s="1"/>
  <c r="J304" i="5" s="1"/>
  <c r="I303" i="5"/>
  <c r="J303" i="5" s="1"/>
  <c r="G302" i="5"/>
  <c r="I302" i="5" s="1"/>
  <c r="J302" i="5" s="1"/>
  <c r="E302" i="5"/>
  <c r="I301" i="5"/>
  <c r="J301" i="5" s="1"/>
  <c r="J300" i="5"/>
  <c r="I300" i="5"/>
  <c r="G299" i="5"/>
  <c r="I299" i="5" s="1"/>
  <c r="J299" i="5" s="1"/>
  <c r="G298" i="5"/>
  <c r="I298" i="5" s="1"/>
  <c r="J298" i="5" s="1"/>
  <c r="J297" i="5"/>
  <c r="I297" i="5"/>
  <c r="G296" i="5"/>
  <c r="I296" i="5" s="1"/>
  <c r="J296" i="5" s="1"/>
  <c r="I295" i="5"/>
  <c r="J295" i="5" s="1"/>
  <c r="J294" i="5"/>
  <c r="I294" i="5"/>
  <c r="I293" i="5"/>
  <c r="J293" i="5" s="1"/>
  <c r="J292" i="5"/>
  <c r="J291" i="5"/>
  <c r="I291" i="5"/>
  <c r="F289" i="5"/>
  <c r="G289" i="5" s="1"/>
  <c r="E289" i="5"/>
  <c r="I288" i="5"/>
  <c r="J288" i="5" s="1"/>
  <c r="G287" i="5"/>
  <c r="E287" i="5"/>
  <c r="J286" i="5"/>
  <c r="G285" i="5"/>
  <c r="E285" i="5"/>
  <c r="I285" i="5" s="1"/>
  <c r="J285" i="5" s="1"/>
  <c r="J284" i="5"/>
  <c r="J283" i="5"/>
  <c r="J282" i="5"/>
  <c r="J281" i="5"/>
  <c r="J280" i="5"/>
  <c r="F279" i="5"/>
  <c r="G279" i="5" s="1"/>
  <c r="E279" i="5"/>
  <c r="J279" i="5" s="1"/>
  <c r="J278" i="5"/>
  <c r="J277" i="5"/>
  <c r="F276" i="5"/>
  <c r="G276" i="5" s="1"/>
  <c r="E276" i="5"/>
  <c r="E275" i="5"/>
  <c r="I275" i="5" s="1"/>
  <c r="J275" i="5" s="1"/>
  <c r="G274" i="5"/>
  <c r="E274" i="5"/>
  <c r="J273" i="5"/>
  <c r="J272" i="5"/>
  <c r="I271" i="5"/>
  <c r="J271" i="5" s="1"/>
  <c r="G270" i="5"/>
  <c r="I270" i="5" s="1"/>
  <c r="J270" i="5" s="1"/>
  <c r="F270" i="5"/>
  <c r="F269" i="5"/>
  <c r="G269" i="5" s="1"/>
  <c r="I269" i="5" s="1"/>
  <c r="J269" i="5" s="1"/>
  <c r="I268" i="5"/>
  <c r="J268" i="5" s="1"/>
  <c r="I267" i="5"/>
  <c r="J267" i="5" s="1"/>
  <c r="G267" i="5"/>
  <c r="G266" i="5"/>
  <c r="I266" i="5" s="1"/>
  <c r="J266" i="5" s="1"/>
  <c r="J264" i="5"/>
  <c r="I264" i="5"/>
  <c r="F263" i="5"/>
  <c r="G263" i="5" s="1"/>
  <c r="I263" i="5" s="1"/>
  <c r="J263" i="5" s="1"/>
  <c r="I262" i="5"/>
  <c r="J262" i="5" s="1"/>
  <c r="J261" i="5"/>
  <c r="I261" i="5"/>
  <c r="I260" i="5"/>
  <c r="J260" i="5" s="1"/>
  <c r="J259" i="5"/>
  <c r="G259" i="5"/>
  <c r="I259" i="5" s="1"/>
  <c r="F259" i="5"/>
  <c r="G258" i="5"/>
  <c r="E258" i="5"/>
  <c r="G257" i="5"/>
  <c r="I257" i="5" s="1"/>
  <c r="J257" i="5" s="1"/>
  <c r="I256" i="5"/>
  <c r="J256" i="5" s="1"/>
  <c r="G255" i="5"/>
  <c r="E255" i="5"/>
  <c r="I254" i="5"/>
  <c r="J254" i="5" s="1"/>
  <c r="I253" i="5"/>
  <c r="J253" i="5" s="1"/>
  <c r="I252" i="5"/>
  <c r="J252" i="5" s="1"/>
  <c r="G252" i="5"/>
  <c r="F252" i="5"/>
  <c r="E252" i="5"/>
  <c r="J251" i="5"/>
  <c r="I251" i="5"/>
  <c r="I250" i="5"/>
  <c r="J250" i="5" s="1"/>
  <c r="J249" i="5"/>
  <c r="I249" i="5"/>
  <c r="G249" i="5"/>
  <c r="I248" i="5"/>
  <c r="J248" i="5" s="1"/>
  <c r="J247" i="5"/>
  <c r="I247" i="5"/>
  <c r="I246" i="5"/>
  <c r="E246" i="5"/>
  <c r="J245" i="5"/>
  <c r="G245" i="5"/>
  <c r="I245" i="5" s="1"/>
  <c r="F245" i="5"/>
  <c r="I244" i="5"/>
  <c r="J244" i="5" s="1"/>
  <c r="G243" i="5"/>
  <c r="I243" i="5" s="1"/>
  <c r="J243" i="5" s="1"/>
  <c r="F243" i="5"/>
  <c r="F242" i="5"/>
  <c r="G242" i="5" s="1"/>
  <c r="I242" i="5" s="1"/>
  <c r="J242" i="5" s="1"/>
  <c r="J241" i="5"/>
  <c r="I241" i="5"/>
  <c r="G240" i="5"/>
  <c r="I240" i="5" s="1"/>
  <c r="J240" i="5" s="1"/>
  <c r="J239" i="5"/>
  <c r="I239" i="5"/>
  <c r="G238" i="5"/>
  <c r="E238" i="5"/>
  <c r="I237" i="5"/>
  <c r="J237" i="5" s="1"/>
  <c r="I236" i="5"/>
  <c r="J236" i="5" s="1"/>
  <c r="I235" i="5"/>
  <c r="J235" i="5" s="1"/>
  <c r="I234" i="5"/>
  <c r="J234" i="5" s="1"/>
  <c r="I233" i="5"/>
  <c r="J233" i="5" s="1"/>
  <c r="J232" i="5"/>
  <c r="I232" i="5"/>
  <c r="I231" i="5"/>
  <c r="J231" i="5" s="1"/>
  <c r="J230" i="5"/>
  <c r="I230" i="5"/>
  <c r="G229" i="5"/>
  <c r="E229" i="5"/>
  <c r="I229" i="5" s="1"/>
  <c r="J229" i="5" s="1"/>
  <c r="J228" i="5"/>
  <c r="I228" i="5"/>
  <c r="I227" i="5"/>
  <c r="J227" i="5" s="1"/>
  <c r="I226" i="5"/>
  <c r="J226" i="5" s="1"/>
  <c r="I225" i="5"/>
  <c r="J225" i="5" s="1"/>
  <c r="I224" i="5"/>
  <c r="J224" i="5" s="1"/>
  <c r="J223" i="5"/>
  <c r="J222" i="5"/>
  <c r="I222" i="5"/>
  <c r="G221" i="5"/>
  <c r="I221" i="5" s="1"/>
  <c r="J221" i="5" s="1"/>
  <c r="G220" i="5"/>
  <c r="E220" i="5"/>
  <c r="I219" i="5"/>
  <c r="J219" i="5" s="1"/>
  <c r="I218" i="5"/>
  <c r="J218" i="5" s="1"/>
  <c r="J217" i="5"/>
  <c r="I217" i="5"/>
  <c r="I216" i="5"/>
  <c r="J216" i="5" s="1"/>
  <c r="J215" i="5"/>
  <c r="E214" i="5"/>
  <c r="J214" i="5" s="1"/>
  <c r="I213" i="5"/>
  <c r="J213" i="5" s="1"/>
  <c r="I212" i="5"/>
  <c r="J212" i="5" s="1"/>
  <c r="G211" i="5"/>
  <c r="I211" i="5" s="1"/>
  <c r="J211" i="5" s="1"/>
  <c r="I210" i="5"/>
  <c r="J210" i="5" s="1"/>
  <c r="G209" i="5"/>
  <c r="I209" i="5" s="1"/>
  <c r="J209" i="5" s="1"/>
  <c r="I208" i="5"/>
  <c r="J208" i="5" s="1"/>
  <c r="I207" i="5"/>
  <c r="J207" i="5" s="1"/>
  <c r="J206" i="5"/>
  <c r="I206" i="5"/>
  <c r="I205" i="5"/>
  <c r="J205" i="5" s="1"/>
  <c r="J204" i="5"/>
  <c r="I204" i="5"/>
  <c r="I203" i="5"/>
  <c r="J203" i="5" s="1"/>
  <c r="J202" i="5"/>
  <c r="I202" i="5"/>
  <c r="I201" i="5"/>
  <c r="J201" i="5" s="1"/>
  <c r="G200" i="5"/>
  <c r="I200" i="5" s="1"/>
  <c r="J200" i="5" s="1"/>
  <c r="I199" i="5"/>
  <c r="J199" i="5" s="1"/>
  <c r="G199" i="5"/>
  <c r="G198" i="5"/>
  <c r="I198" i="5" s="1"/>
  <c r="J198" i="5" s="1"/>
  <c r="J197" i="5"/>
  <c r="I197" i="5"/>
  <c r="E196" i="5"/>
  <c r="I196" i="5" s="1"/>
  <c r="J196" i="5" s="1"/>
  <c r="G195" i="5"/>
  <c r="I195" i="5" s="1"/>
  <c r="J195" i="5" s="1"/>
  <c r="E195" i="5"/>
  <c r="G194" i="5"/>
  <c r="I194" i="5" s="1"/>
  <c r="J194" i="5" s="1"/>
  <c r="I193" i="5"/>
  <c r="J193" i="5" s="1"/>
  <c r="F192" i="5"/>
  <c r="G192" i="5" s="1"/>
  <c r="I192" i="5" s="1"/>
  <c r="J192" i="5" s="1"/>
  <c r="I191" i="5"/>
  <c r="J191" i="5" s="1"/>
  <c r="G190" i="5"/>
  <c r="E190" i="5"/>
  <c r="J189" i="5"/>
  <c r="I189" i="5"/>
  <c r="I188" i="5"/>
  <c r="J188" i="5" s="1"/>
  <c r="I187" i="5"/>
  <c r="J187" i="5" s="1"/>
  <c r="J186" i="5"/>
  <c r="J185" i="5"/>
  <c r="I184" i="5"/>
  <c r="J184" i="5" s="1"/>
  <c r="I183" i="5"/>
  <c r="J183" i="5" s="1"/>
  <c r="G183" i="5"/>
  <c r="F182" i="5"/>
  <c r="G182" i="5" s="1"/>
  <c r="I182" i="5" s="1"/>
  <c r="J182" i="5" s="1"/>
  <c r="I181" i="5"/>
  <c r="J181" i="5" s="1"/>
  <c r="F180" i="5"/>
  <c r="G180" i="5" s="1"/>
  <c r="I180" i="5" s="1"/>
  <c r="J180" i="5" s="1"/>
  <c r="I179" i="5"/>
  <c r="J179" i="5" s="1"/>
  <c r="G178" i="5"/>
  <c r="I178" i="5" s="1"/>
  <c r="J178" i="5" s="1"/>
  <c r="E178" i="5"/>
  <c r="F177" i="5"/>
  <c r="G177" i="5" s="1"/>
  <c r="I177" i="5" s="1"/>
  <c r="J177" i="5" s="1"/>
  <c r="I176" i="5"/>
  <c r="J176" i="5" s="1"/>
  <c r="J175" i="5"/>
  <c r="I175" i="5"/>
  <c r="F174" i="5"/>
  <c r="G174" i="5" s="1"/>
  <c r="I174" i="5" s="1"/>
  <c r="J174" i="5" s="1"/>
  <c r="I173" i="5"/>
  <c r="J173" i="5" s="1"/>
  <c r="G172" i="5"/>
  <c r="I172" i="5" s="1"/>
  <c r="J172" i="5" s="1"/>
  <c r="I171" i="5"/>
  <c r="J171" i="5" s="1"/>
  <c r="F170" i="5"/>
  <c r="G170" i="5" s="1"/>
  <c r="E170" i="5"/>
  <c r="I170" i="5" s="1"/>
  <c r="J170" i="5" s="1"/>
  <c r="J169" i="5"/>
  <c r="I168" i="5"/>
  <c r="J168" i="5" s="1"/>
  <c r="G168" i="5"/>
  <c r="I167" i="5"/>
  <c r="J167" i="5" s="1"/>
  <c r="J166" i="5"/>
  <c r="I166" i="5"/>
  <c r="I165" i="5"/>
  <c r="J165" i="5" s="1"/>
  <c r="I164" i="5"/>
  <c r="J164" i="5" s="1"/>
  <c r="I163" i="5"/>
  <c r="J163" i="5" s="1"/>
  <c r="I162" i="5"/>
  <c r="J162" i="5" s="1"/>
  <c r="I161" i="5"/>
  <c r="J161" i="5" s="1"/>
  <c r="G160" i="5"/>
  <c r="I160" i="5" s="1"/>
  <c r="J160" i="5" s="1"/>
  <c r="I159" i="5"/>
  <c r="J159" i="5" s="1"/>
  <c r="J158" i="5"/>
  <c r="I158" i="5"/>
  <c r="I157" i="5"/>
  <c r="I156" i="5"/>
  <c r="I155" i="5"/>
  <c r="G154" i="5"/>
  <c r="I154" i="5" s="1"/>
  <c r="J154" i="5" s="1"/>
  <c r="G153" i="5"/>
  <c r="E153" i="5"/>
  <c r="I153" i="5" s="1"/>
  <c r="J153" i="5" s="1"/>
  <c r="G152" i="5"/>
  <c r="I152" i="5" s="1"/>
  <c r="J152" i="5" s="1"/>
  <c r="G151" i="5"/>
  <c r="I151" i="5" s="1"/>
  <c r="J151" i="5" s="1"/>
  <c r="I150" i="5"/>
  <c r="J150" i="5" s="1"/>
  <c r="G149" i="5"/>
  <c r="I149" i="5" s="1"/>
  <c r="J149" i="5" s="1"/>
  <c r="I148" i="5"/>
  <c r="J148" i="5" s="1"/>
  <c r="I147" i="5"/>
  <c r="J147" i="5" s="1"/>
  <c r="G147" i="5"/>
  <c r="F147" i="5"/>
  <c r="G146" i="5"/>
  <c r="I146" i="5" s="1"/>
  <c r="J146" i="5" s="1"/>
  <c r="I145" i="5"/>
  <c r="J145" i="5" s="1"/>
  <c r="G143" i="5"/>
  <c r="I143" i="5" s="1"/>
  <c r="J143" i="5" s="1"/>
  <c r="I142" i="5"/>
  <c r="J142" i="5" s="1"/>
  <c r="G141" i="5"/>
  <c r="F141" i="5"/>
  <c r="E141" i="5"/>
  <c r="I139" i="5"/>
  <c r="J139" i="5" s="1"/>
  <c r="G137" i="5"/>
  <c r="I137" i="5" s="1"/>
  <c r="J137" i="5" s="1"/>
  <c r="I136" i="5"/>
  <c r="J136" i="5" s="1"/>
  <c r="I135" i="5"/>
  <c r="J135" i="5" s="1"/>
  <c r="G134" i="5"/>
  <c r="I134" i="5" s="1"/>
  <c r="J134" i="5" s="1"/>
  <c r="I133" i="5"/>
  <c r="J133" i="5" s="1"/>
  <c r="I132" i="5"/>
  <c r="G130" i="5"/>
  <c r="I130" i="5" s="1"/>
  <c r="J130" i="5" s="1"/>
  <c r="I129" i="5"/>
  <c r="J129" i="5" s="1"/>
  <c r="G127" i="5"/>
  <c r="G379" i="5" s="1"/>
  <c r="I379" i="5" s="1"/>
  <c r="J379" i="5" s="1"/>
  <c r="G126" i="5"/>
  <c r="E126" i="5"/>
  <c r="I126" i="5" s="1"/>
  <c r="J126" i="5" s="1"/>
  <c r="J125" i="5"/>
  <c r="I125" i="5"/>
  <c r="E124" i="5"/>
  <c r="G122" i="5"/>
  <c r="I122" i="5" s="1"/>
  <c r="J122" i="5" s="1"/>
  <c r="F122" i="5"/>
  <c r="J121" i="5"/>
  <c r="J120" i="5"/>
  <c r="J116" i="5"/>
  <c r="I116" i="5"/>
  <c r="G115" i="5"/>
  <c r="I115" i="5" s="1"/>
  <c r="J115" i="5" s="1"/>
  <c r="J114" i="5"/>
  <c r="I114" i="5"/>
  <c r="I113" i="5"/>
  <c r="J113" i="5" s="1"/>
  <c r="I112" i="5"/>
  <c r="J112" i="5" s="1"/>
  <c r="I110" i="5"/>
  <c r="J110" i="5" s="1"/>
  <c r="J109" i="5"/>
  <c r="I109" i="5"/>
  <c r="I108" i="5"/>
  <c r="J108" i="5" s="1"/>
  <c r="G108" i="5"/>
  <c r="I107" i="5"/>
  <c r="J107" i="5" s="1"/>
  <c r="F105" i="5"/>
  <c r="G105" i="5" s="1"/>
  <c r="I105" i="5" s="1"/>
  <c r="J105" i="5" s="1"/>
  <c r="J104" i="5"/>
  <c r="I104" i="5"/>
  <c r="J102" i="5"/>
  <c r="F101" i="5"/>
  <c r="G101" i="5" s="1"/>
  <c r="E101" i="5"/>
  <c r="I101" i="5" s="1"/>
  <c r="J101" i="5" s="1"/>
  <c r="F100" i="5"/>
  <c r="G100" i="5" s="1"/>
  <c r="E100" i="5"/>
  <c r="G99" i="5"/>
  <c r="E99" i="5"/>
  <c r="G98" i="5"/>
  <c r="I98" i="5" s="1"/>
  <c r="J98" i="5" s="1"/>
  <c r="F97" i="5"/>
  <c r="G97" i="5" s="1"/>
  <c r="E97" i="5"/>
  <c r="I94" i="5"/>
  <c r="J94" i="5" s="1"/>
  <c r="G94" i="5"/>
  <c r="E94" i="5"/>
  <c r="I93" i="5"/>
  <c r="J93" i="5" s="1"/>
  <c r="J92" i="5"/>
  <c r="I92" i="5"/>
  <c r="J90" i="5"/>
  <c r="I90" i="5"/>
  <c r="G89" i="5"/>
  <c r="I89" i="5" s="1"/>
  <c r="J89" i="5" s="1"/>
  <c r="G88" i="5"/>
  <c r="I88" i="5" s="1"/>
  <c r="J88" i="5" s="1"/>
  <c r="G87" i="5"/>
  <c r="I87" i="5" s="1"/>
  <c r="J87" i="5" s="1"/>
  <c r="I86" i="5"/>
  <c r="G86" i="5"/>
  <c r="F86" i="5"/>
  <c r="I84" i="5"/>
  <c r="J84" i="5" s="1"/>
  <c r="I83" i="5"/>
  <c r="J83" i="5" s="1"/>
  <c r="F82" i="5"/>
  <c r="G82" i="5" s="1"/>
  <c r="I82" i="5" s="1"/>
  <c r="I80" i="5"/>
  <c r="J80" i="5" s="1"/>
  <c r="I79" i="5"/>
  <c r="J79" i="5" s="1"/>
  <c r="E79" i="5"/>
  <c r="I78" i="5"/>
  <c r="J78" i="5" s="1"/>
  <c r="J77" i="5"/>
  <c r="I77" i="5"/>
  <c r="G76" i="5"/>
  <c r="I76" i="5" s="1"/>
  <c r="J76" i="5" s="1"/>
  <c r="G75" i="5"/>
  <c r="I75" i="5" s="1"/>
  <c r="J75" i="5" s="1"/>
  <c r="J74" i="5"/>
  <c r="I74" i="5"/>
  <c r="G73" i="5"/>
  <c r="I73" i="5" s="1"/>
  <c r="J73" i="5" s="1"/>
  <c r="G72" i="5"/>
  <c r="I72" i="5" s="1"/>
  <c r="J72" i="5" s="1"/>
  <c r="J71" i="5"/>
  <c r="I71" i="5"/>
  <c r="G71" i="5"/>
  <c r="I70" i="5"/>
  <c r="J70" i="5" s="1"/>
  <c r="G69" i="5"/>
  <c r="E69" i="5"/>
  <c r="F67" i="5"/>
  <c r="G67" i="5" s="1"/>
  <c r="I67" i="5" s="1"/>
  <c r="J67" i="5" s="1"/>
  <c r="G66" i="5"/>
  <c r="I66" i="5" s="1"/>
  <c r="J66" i="5" s="1"/>
  <c r="F65" i="5"/>
  <c r="G65" i="5" s="1"/>
  <c r="I65" i="5" s="1"/>
  <c r="J65" i="5" s="1"/>
  <c r="G64" i="5"/>
  <c r="I64" i="5" s="1"/>
  <c r="J64" i="5" s="1"/>
  <c r="J63" i="5"/>
  <c r="I63" i="5"/>
  <c r="G62" i="5"/>
  <c r="I62" i="5" s="1"/>
  <c r="J62" i="5" s="1"/>
  <c r="E62" i="5"/>
  <c r="I61" i="5"/>
  <c r="J59" i="5"/>
  <c r="I59" i="5"/>
  <c r="I58" i="5"/>
  <c r="J58" i="5" s="1"/>
  <c r="F57" i="5"/>
  <c r="G57" i="5" s="1"/>
  <c r="I57" i="5" s="1"/>
  <c r="J57" i="5" s="1"/>
  <c r="F56" i="5"/>
  <c r="G56" i="5" s="1"/>
  <c r="I56" i="5" s="1"/>
  <c r="J56" i="5" s="1"/>
  <c r="E55" i="5"/>
  <c r="I55" i="5" s="1"/>
  <c r="G53" i="5"/>
  <c r="E53" i="5"/>
  <c r="I53" i="5" s="1"/>
  <c r="J53" i="5" s="1"/>
  <c r="G52" i="5"/>
  <c r="E52" i="5"/>
  <c r="F51" i="5"/>
  <c r="G51" i="5" s="1"/>
  <c r="E51" i="5"/>
  <c r="I51" i="5" s="1"/>
  <c r="I50" i="5"/>
  <c r="J50" i="5" s="1"/>
  <c r="J49" i="5"/>
  <c r="I49" i="5"/>
  <c r="I48" i="5"/>
  <c r="J48" i="5" s="1"/>
  <c r="J47" i="5"/>
  <c r="I47" i="5"/>
  <c r="I45" i="5"/>
  <c r="J45" i="5" s="1"/>
  <c r="J44" i="5"/>
  <c r="I44" i="5"/>
  <c r="I43" i="5"/>
  <c r="J43" i="5" s="1"/>
  <c r="G43" i="5"/>
  <c r="I42" i="5"/>
  <c r="J42" i="5" s="1"/>
  <c r="J41" i="5"/>
  <c r="I41" i="5"/>
  <c r="I40" i="5"/>
  <c r="J40" i="5" s="1"/>
  <c r="J39" i="5"/>
  <c r="I39" i="5"/>
  <c r="I38" i="5"/>
  <c r="J38" i="5" s="1"/>
  <c r="I37" i="5"/>
  <c r="J37" i="5" s="1"/>
  <c r="G36" i="5"/>
  <c r="I36" i="5" s="1"/>
  <c r="J35" i="5"/>
  <c r="J34" i="5"/>
  <c r="K32" i="5"/>
  <c r="J32" i="5"/>
  <c r="I32" i="5"/>
  <c r="G32" i="5"/>
  <c r="J31" i="5"/>
  <c r="J30" i="5"/>
  <c r="G28" i="5"/>
  <c r="I28" i="5" s="1"/>
  <c r="J28" i="5" s="1"/>
  <c r="G27" i="5"/>
  <c r="E27" i="5"/>
  <c r="I27" i="5" s="1"/>
  <c r="J27" i="5" s="1"/>
  <c r="J26" i="5"/>
  <c r="I26" i="5"/>
  <c r="E26" i="5"/>
  <c r="I25" i="5"/>
  <c r="J25" i="5" s="1"/>
  <c r="I24" i="5"/>
  <c r="J24" i="5" s="1"/>
  <c r="G23" i="5"/>
  <c r="I23" i="5" s="1"/>
  <c r="J23" i="5" s="1"/>
  <c r="I22" i="5"/>
  <c r="K24" i="5" s="1"/>
  <c r="G22" i="5"/>
  <c r="J21" i="5"/>
  <c r="I19" i="5"/>
  <c r="J19" i="5" s="1"/>
  <c r="I18" i="5"/>
  <c r="J18" i="5" s="1"/>
  <c r="J17" i="5"/>
  <c r="I16" i="5"/>
  <c r="J16" i="5" s="1"/>
  <c r="K14" i="5"/>
  <c r="J14" i="5"/>
  <c r="J13" i="5"/>
  <c r="I11" i="5"/>
  <c r="J11" i="5" s="1"/>
  <c r="G11" i="5"/>
  <c r="F11" i="5"/>
  <c r="E11" i="5"/>
  <c r="J10" i="5"/>
  <c r="J9" i="5"/>
  <c r="K7" i="5"/>
  <c r="J7" i="5"/>
  <c r="J5" i="5"/>
  <c r="I5" i="5"/>
  <c r="G4" i="5"/>
  <c r="I4" i="5" s="1"/>
  <c r="I3" i="5"/>
  <c r="J3" i="5" s="1"/>
  <c r="G2" i="5"/>
  <c r="I2" i="5" s="1"/>
  <c r="J2" i="5" s="1"/>
  <c r="H453" i="5" l="1"/>
  <c r="G453" i="5"/>
  <c r="K5" i="5"/>
  <c r="K94" i="5"/>
  <c r="K137" i="5"/>
  <c r="J659" i="5"/>
  <c r="H549" i="5"/>
  <c r="G549" i="5"/>
  <c r="G871" i="5"/>
  <c r="H871" i="5"/>
  <c r="I871" i="5" s="1"/>
  <c r="J871" i="5" s="1"/>
  <c r="I97" i="5"/>
  <c r="K102" i="5" s="1"/>
  <c r="I99" i="5"/>
  <c r="J99" i="5" s="1"/>
  <c r="G124" i="5"/>
  <c r="I124" i="5" s="1"/>
  <c r="J124" i="5" s="1"/>
  <c r="I190" i="5"/>
  <c r="J190" i="5" s="1"/>
  <c r="I238" i="5"/>
  <c r="J238" i="5" s="1"/>
  <c r="I322" i="5"/>
  <c r="J322" i="5" s="1"/>
  <c r="I324" i="5"/>
  <c r="J324" i="5" s="1"/>
  <c r="I340" i="5"/>
  <c r="J340" i="5" s="1"/>
  <c r="I367" i="5"/>
  <c r="J367" i="5" s="1"/>
  <c r="I369" i="5"/>
  <c r="J369" i="5" s="1"/>
  <c r="I404" i="5"/>
  <c r="J404" i="5" s="1"/>
  <c r="G433" i="5"/>
  <c r="I433" i="5" s="1"/>
  <c r="J433" i="5" s="1"/>
  <c r="K668" i="5"/>
  <c r="I766" i="5"/>
  <c r="J766" i="5" s="1"/>
  <c r="I533" i="5"/>
  <c r="J533" i="5" s="1"/>
  <c r="I846" i="5"/>
  <c r="J846" i="5" s="1"/>
  <c r="I52" i="5"/>
  <c r="J52" i="5" s="1"/>
  <c r="I69" i="5"/>
  <c r="I141" i="5"/>
  <c r="K143" i="5" s="1"/>
  <c r="I220" i="5"/>
  <c r="J220" i="5" s="1"/>
  <c r="I255" i="5"/>
  <c r="J255" i="5" s="1"/>
  <c r="I345" i="5"/>
  <c r="J345" i="5" s="1"/>
  <c r="I350" i="5"/>
  <c r="J350" i="5" s="1"/>
  <c r="K385" i="5"/>
  <c r="I406" i="5"/>
  <c r="J406" i="5" s="1"/>
  <c r="I530" i="5"/>
  <c r="J530" i="5" s="1"/>
  <c r="I569" i="5"/>
  <c r="J569" i="5" s="1"/>
  <c r="I645" i="5"/>
  <c r="J645" i="5" s="1"/>
  <c r="I664" i="5"/>
  <c r="J664" i="5" s="1"/>
  <c r="I751" i="5"/>
  <c r="J751" i="5" s="1"/>
  <c r="I378" i="5"/>
  <c r="J378" i="5" s="1"/>
  <c r="I407" i="5"/>
  <c r="J407" i="5" s="1"/>
  <c r="I434" i="5"/>
  <c r="J434" i="5" s="1"/>
  <c r="I479" i="5"/>
  <c r="J479" i="5" s="1"/>
  <c r="I501" i="5"/>
  <c r="J501" i="5" s="1"/>
  <c r="I577" i="5"/>
  <c r="J577" i="5" s="1"/>
  <c r="I799" i="5"/>
  <c r="J799" i="5" s="1"/>
  <c r="I1019" i="5"/>
  <c r="J1019" i="5" s="1"/>
  <c r="I572" i="5"/>
  <c r="J572" i="5" s="1"/>
  <c r="I646" i="5"/>
  <c r="J646" i="5" s="1"/>
  <c r="I671" i="5"/>
  <c r="J671" i="5" s="1"/>
  <c r="I709" i="5"/>
  <c r="J709" i="5" s="1"/>
  <c r="I723" i="5"/>
  <c r="J723" i="5" s="1"/>
  <c r="I748" i="5"/>
  <c r="J748" i="5" s="1"/>
  <c r="I758" i="5"/>
  <c r="J758" i="5" s="1"/>
  <c r="I792" i="5"/>
  <c r="J792" i="5" s="1"/>
  <c r="I956" i="5"/>
  <c r="J956" i="5" s="1"/>
  <c r="I976" i="5"/>
  <c r="J976" i="5" s="1"/>
  <c r="I1058" i="5"/>
  <c r="J1058" i="5" s="1"/>
  <c r="I791" i="5"/>
  <c r="K797" i="5" s="1"/>
  <c r="I1028" i="5"/>
  <c r="J1028" i="5" s="1"/>
  <c r="G290" i="5"/>
  <c r="I290" i="5" s="1"/>
  <c r="J290" i="5" s="1"/>
  <c r="I289" i="5"/>
  <c r="J289" i="5" s="1"/>
  <c r="K84" i="5"/>
  <c r="J82" i="5"/>
  <c r="J97" i="5"/>
  <c r="K45" i="5"/>
  <c r="J36" i="5"/>
  <c r="K90" i="5"/>
  <c r="J51" i="5"/>
  <c r="K67" i="5"/>
  <c r="J55" i="5"/>
  <c r="K59" i="5"/>
  <c r="J69" i="5"/>
  <c r="K80" i="5"/>
  <c r="I100" i="5"/>
  <c r="J100" i="5" s="1"/>
  <c r="J141" i="5"/>
  <c r="I604" i="5"/>
  <c r="J604" i="5" s="1"/>
  <c r="K151" i="5"/>
  <c r="K720" i="5"/>
  <c r="J4" i="5"/>
  <c r="K19" i="5"/>
  <c r="J22" i="5"/>
  <c r="J86" i="5"/>
  <c r="J399" i="5"/>
  <c r="K413" i="5"/>
  <c r="H1053" i="5"/>
  <c r="I1053" i="5" s="1"/>
  <c r="J1053" i="5" s="1"/>
  <c r="K11" i="5"/>
  <c r="J61" i="5"/>
  <c r="I127" i="5"/>
  <c r="J127" i="5" s="1"/>
  <c r="J132" i="5"/>
  <c r="J246" i="5"/>
  <c r="I274" i="5"/>
  <c r="J274" i="5" s="1"/>
  <c r="I287" i="5"/>
  <c r="J287" i="5" s="1"/>
  <c r="I390" i="5"/>
  <c r="J390" i="5" s="1"/>
  <c r="I465" i="5"/>
  <c r="J465" i="5" s="1"/>
  <c r="K624" i="5"/>
  <c r="K646" i="5"/>
  <c r="K806" i="5"/>
  <c r="I323" i="5"/>
  <c r="J323" i="5" s="1"/>
  <c r="K654" i="5"/>
  <c r="K673" i="5"/>
  <c r="H872" i="5"/>
  <c r="G872" i="5"/>
  <c r="I258" i="5"/>
  <c r="J258" i="5" s="1"/>
  <c r="I276" i="5"/>
  <c r="J276" i="5" s="1"/>
  <c r="I389" i="5"/>
  <c r="J389" i="5" s="1"/>
  <c r="I420" i="5"/>
  <c r="J420" i="5" s="1"/>
  <c r="I498" i="5"/>
  <c r="J498" i="5" s="1"/>
  <c r="I538" i="5"/>
  <c r="J538" i="5" s="1"/>
  <c r="I580" i="5"/>
  <c r="J580" i="5" s="1"/>
  <c r="I596" i="5"/>
  <c r="J596" i="5" s="1"/>
  <c r="K633" i="5"/>
  <c r="K681" i="5"/>
  <c r="J680" i="5"/>
  <c r="I693" i="5"/>
  <c r="K700" i="5"/>
  <c r="J698" i="5"/>
  <c r="K685" i="5"/>
  <c r="H712" i="5"/>
  <c r="G712" i="5"/>
  <c r="J684" i="5"/>
  <c r="I707" i="5"/>
  <c r="I738" i="5"/>
  <c r="J738" i="5" s="1"/>
  <c r="J791" i="5"/>
  <c r="I878" i="5"/>
  <c r="J878" i="5" s="1"/>
  <c r="I833" i="5"/>
  <c r="J833" i="5" s="1"/>
  <c r="I838" i="5"/>
  <c r="J838" i="5" s="1"/>
  <c r="I981" i="5"/>
  <c r="J981" i="5" s="1"/>
  <c r="I952" i="5"/>
  <c r="J952" i="5" s="1"/>
  <c r="I1002" i="5"/>
  <c r="J1002" i="5" s="1"/>
  <c r="G1003" i="5"/>
  <c r="I1003" i="5" s="1"/>
  <c r="J1003" i="5" s="1"/>
  <c r="G870" i="5"/>
  <c r="I870" i="5" s="1"/>
  <c r="J870" i="5" s="1"/>
  <c r="G982" i="5"/>
  <c r="I982" i="5" s="1"/>
  <c r="J982" i="5" s="1"/>
  <c r="K405" i="5" l="1"/>
  <c r="K53" i="5"/>
  <c r="K661" i="5"/>
  <c r="I549" i="5"/>
  <c r="J549" i="5" s="1"/>
  <c r="I453" i="5"/>
  <c r="J453" i="5" s="1"/>
  <c r="I712" i="5"/>
  <c r="J707" i="5"/>
  <c r="K709" i="5"/>
  <c r="J693" i="5"/>
  <c r="K691" i="5"/>
  <c r="I872" i="5"/>
  <c r="J872" i="5" s="1"/>
  <c r="J712" i="5" l="1"/>
  <c r="K714" i="5"/>
  <c r="M83" i="1" l="1"/>
  <c r="M145" i="1"/>
  <c r="I34" i="3"/>
  <c r="G37" i="3"/>
  <c r="E37" i="3"/>
  <c r="G34" i="3"/>
  <c r="E34" i="3"/>
  <c r="D31" i="3"/>
  <c r="E31" i="3" s="1"/>
  <c r="D30" i="3"/>
  <c r="E30" i="3" s="1"/>
  <c r="J30" i="3" s="1"/>
  <c r="E15" i="3"/>
  <c r="G13" i="3"/>
  <c r="E13" i="3"/>
  <c r="E7" i="3"/>
  <c r="M141" i="1"/>
  <c r="M153" i="1"/>
  <c r="M154" i="1"/>
  <c r="M152" i="1"/>
  <c r="M151" i="1"/>
  <c r="K151" i="1"/>
  <c r="M149" i="1"/>
  <c r="L147" i="1"/>
  <c r="M147" i="1" s="1"/>
  <c r="L146" i="1"/>
  <c r="M146" i="1" s="1"/>
  <c r="M148" i="1"/>
  <c r="K138" i="1"/>
  <c r="M139" i="1"/>
  <c r="K139" i="1"/>
  <c r="M128" i="1"/>
  <c r="K128" i="1"/>
  <c r="M140" i="1"/>
  <c r="M144" i="1"/>
  <c r="J34" i="3" l="1"/>
  <c r="J37" i="3"/>
  <c r="K80" i="1"/>
  <c r="M81" i="1"/>
  <c r="M95" i="1"/>
  <c r="K95" i="1"/>
  <c r="M116" i="1"/>
  <c r="K116" i="1"/>
  <c r="M105" i="1"/>
  <c r="M124" i="1"/>
  <c r="K110" i="1"/>
  <c r="K111" i="1"/>
  <c r="K106" i="1"/>
  <c r="K104" i="1"/>
  <c r="M121" i="1"/>
  <c r="M103" i="1"/>
  <c r="K103" i="1"/>
  <c r="M109" i="1"/>
  <c r="K121" i="1" l="1"/>
  <c r="M101" i="1"/>
  <c r="M99" i="1"/>
  <c r="K98" i="1"/>
  <c r="M97" i="1" l="1"/>
  <c r="M75" i="1"/>
  <c r="K91" i="1"/>
  <c r="M77" i="1" l="1"/>
  <c r="O77" i="1" s="1"/>
  <c r="P77" i="1" s="1"/>
  <c r="O53" i="1" l="1"/>
  <c r="M67" i="1"/>
  <c r="M4" i="1"/>
  <c r="M10" i="1"/>
  <c r="O57" i="1" l="1"/>
  <c r="M56" i="1"/>
  <c r="O56" i="1" s="1"/>
  <c r="O55" i="1"/>
  <c r="M54" i="1"/>
  <c r="O54" i="1" s="1"/>
  <c r="K54" i="1"/>
  <c r="O52" i="1"/>
  <c r="O51" i="1"/>
  <c r="O49" i="1"/>
  <c r="O48" i="1"/>
  <c r="O47" i="1"/>
  <c r="M46" i="1"/>
  <c r="K46" i="1"/>
  <c r="L45" i="1"/>
  <c r="M45" i="1" s="1"/>
  <c r="O45" i="1" s="1"/>
  <c r="O44" i="1"/>
  <c r="O43" i="1"/>
  <c r="L42" i="1"/>
  <c r="M42" i="1" s="1"/>
  <c r="O42" i="1" s="1"/>
  <c r="O41" i="1"/>
  <c r="O40" i="1"/>
  <c r="O39" i="1"/>
  <c r="L38" i="1"/>
  <c r="M38" i="1" s="1"/>
  <c r="O38" i="1" s="1"/>
  <c r="K37" i="1"/>
  <c r="O35" i="1"/>
  <c r="M34" i="1"/>
  <c r="O34" i="1" s="1"/>
  <c r="O33" i="1"/>
  <c r="O32" i="1"/>
  <c r="O31" i="1"/>
  <c r="O30" i="1"/>
  <c r="O29" i="1"/>
  <c r="O28" i="1"/>
  <c r="O27" i="1"/>
  <c r="O26" i="1"/>
  <c r="O25" i="1"/>
  <c r="M24" i="1"/>
  <c r="O24" i="1" s="1"/>
  <c r="O23" i="1"/>
  <c r="K22" i="1"/>
  <c r="O21" i="1"/>
  <c r="O20" i="1"/>
  <c r="O19" i="1"/>
  <c r="M18" i="1"/>
  <c r="O18" i="1" s="1"/>
  <c r="M17" i="1"/>
  <c r="O17" i="1" s="1"/>
  <c r="O16" i="1"/>
  <c r="O15" i="1"/>
  <c r="M14" i="1"/>
  <c r="O14" i="1" s="1"/>
  <c r="O13" i="1"/>
  <c r="M12" i="1"/>
  <c r="O12" i="1" s="1"/>
  <c r="K10" i="1"/>
  <c r="O10" i="1" s="1"/>
  <c r="O9" i="1"/>
  <c r="K8" i="1"/>
  <c r="O8" i="1" s="1"/>
  <c r="K7" i="1"/>
  <c r="O7" i="1" s="1"/>
  <c r="O6" i="1"/>
  <c r="O5" i="1"/>
  <c r="K4" i="1"/>
  <c r="O4" i="1" s="1"/>
  <c r="O3" i="1"/>
  <c r="O2" i="1"/>
  <c r="O37" i="1" l="1"/>
  <c r="O46" i="1"/>
  <c r="O22" i="1"/>
</calcChain>
</file>

<file path=xl/sharedStrings.xml><?xml version="1.0" encoding="utf-8"?>
<sst xmlns="http://schemas.openxmlformats.org/spreadsheetml/2006/main" count="3095" uniqueCount="1319">
  <si>
    <t>Year</t>
  </si>
  <si>
    <t>Month</t>
  </si>
  <si>
    <t>Day</t>
  </si>
  <si>
    <t>Customer</t>
  </si>
  <si>
    <t>Customer Type</t>
  </si>
  <si>
    <t>Product</t>
  </si>
  <si>
    <t>Purchasing_Platform</t>
  </si>
  <si>
    <t>Sell Price</t>
  </si>
  <si>
    <t>USD Cost</t>
  </si>
  <si>
    <t>CNY Cost</t>
  </si>
  <si>
    <t>Cashback</t>
  </si>
  <si>
    <t>Profit</t>
  </si>
  <si>
    <t>Profit Rate</t>
  </si>
  <si>
    <t>Payment method</t>
  </si>
  <si>
    <t>Comment</t>
  </si>
  <si>
    <t>妈妈</t>
  </si>
  <si>
    <t>边颖</t>
  </si>
  <si>
    <t>LAMER经典30ml</t>
  </si>
  <si>
    <t>小棕瓶50ml无盒子</t>
  </si>
  <si>
    <t>雅诗兰黛大礼包暖色</t>
  </si>
  <si>
    <t>兰蔻大礼包</t>
  </si>
  <si>
    <t>DW粉底1W1</t>
  </si>
  <si>
    <t>mac chili</t>
  </si>
  <si>
    <t>DW粉底1C0</t>
  </si>
  <si>
    <t>儿童防晒</t>
  </si>
  <si>
    <t>儿童液体钙</t>
  </si>
  <si>
    <t>Lancome-BB</t>
  </si>
  <si>
    <t>胶原蛋白糖</t>
  </si>
  <si>
    <t>南妮</t>
  </si>
  <si>
    <t>CK牛仔裤</t>
  </si>
  <si>
    <t>同行</t>
  </si>
  <si>
    <t>蓝胖子100ml</t>
  </si>
  <si>
    <t>EL蓝色洗面奶</t>
  </si>
  <si>
    <t>英国男</t>
  </si>
  <si>
    <t>男士书包coach</t>
  </si>
  <si>
    <t>ucla</t>
  </si>
  <si>
    <t>白色</t>
  </si>
  <si>
    <t>代理</t>
  </si>
  <si>
    <t>黑色charlie</t>
  </si>
  <si>
    <t>刘晨</t>
  </si>
  <si>
    <t>coach-tabby白色</t>
  </si>
  <si>
    <t>fenty高光</t>
  </si>
  <si>
    <t>知足</t>
  </si>
  <si>
    <t>安耐晒</t>
  </si>
  <si>
    <t>高保湿面霜</t>
  </si>
  <si>
    <t>红石榴200ml</t>
  </si>
  <si>
    <t>2群</t>
  </si>
  <si>
    <t>科颜氏100ml淡斑</t>
  </si>
  <si>
    <t>科颜氏乳液250ml</t>
  </si>
  <si>
    <t>海淘</t>
  </si>
  <si>
    <t>白色双面coach-tote</t>
  </si>
  <si>
    <t>玻尿酸</t>
  </si>
  <si>
    <t>蓝风铃</t>
  </si>
  <si>
    <t>mac-316</t>
  </si>
  <si>
    <t>香缇卡A色</t>
  </si>
  <si>
    <t>tommy钱包</t>
  </si>
  <si>
    <t>coach钱包</t>
  </si>
  <si>
    <t>阿玛尼405</t>
  </si>
  <si>
    <t>晓晨</t>
  </si>
  <si>
    <t>50ml蓝胖子</t>
  </si>
  <si>
    <t>MK嫩黄色mercer小号</t>
  </si>
  <si>
    <t>螃蟹树护手霜</t>
  </si>
  <si>
    <t>双面包</t>
  </si>
  <si>
    <t>蛇皮coach的parker红色</t>
  </si>
  <si>
    <t>蛇皮coach的parker银色</t>
  </si>
  <si>
    <t>coach的双面tote（褐色）</t>
  </si>
  <si>
    <t>卡拉泡泡4个小东西</t>
  </si>
  <si>
    <t>小鑫</t>
  </si>
  <si>
    <t>小东</t>
  </si>
  <si>
    <t>敷尔佳白膜</t>
  </si>
  <si>
    <t>邂逅香水绿色</t>
  </si>
  <si>
    <t>lancer</t>
  </si>
  <si>
    <t>安耐晒套装*2</t>
  </si>
  <si>
    <t>mac的316</t>
  </si>
  <si>
    <t>shmly</t>
  </si>
  <si>
    <t>coach的双面tote（彩虹）</t>
  </si>
  <si>
    <t>科颜氏白泥</t>
  </si>
  <si>
    <t>晶鑫</t>
  </si>
  <si>
    <t>fresh红茶隔夜</t>
  </si>
  <si>
    <t>VS睡衣</t>
  </si>
  <si>
    <t>科颜氏淡斑50ml</t>
  </si>
  <si>
    <t>科颜氏淡斑100ml</t>
  </si>
  <si>
    <t>luna玫红色套装</t>
  </si>
  <si>
    <t>蜗牛</t>
  </si>
  <si>
    <t>科颜氏防晒60ml</t>
  </si>
  <si>
    <t>谢</t>
  </si>
  <si>
    <t>coach的双面tote（V字的黑色）</t>
  </si>
  <si>
    <t>少杰</t>
  </si>
  <si>
    <t>小黑瓶眼霜</t>
  </si>
  <si>
    <t>史金笛</t>
  </si>
  <si>
    <t>媛媛在洛杉矶</t>
  </si>
  <si>
    <t>吴彦祖</t>
  </si>
  <si>
    <t>欧洲代购</t>
  </si>
  <si>
    <t>甜甜</t>
  </si>
  <si>
    <t>coach化妆包（彩虹）拼邮</t>
  </si>
  <si>
    <t>MJ相机包325美元</t>
  </si>
  <si>
    <t>coach的单面tote（褐色）</t>
  </si>
  <si>
    <t>小草</t>
  </si>
  <si>
    <t>小黄瓜水</t>
  </si>
  <si>
    <t>大黄瓜水</t>
  </si>
  <si>
    <t>眼霜</t>
  </si>
  <si>
    <t>vc精华</t>
  </si>
  <si>
    <t>coach山茶花白色大号</t>
  </si>
  <si>
    <t>LUNA洗脸仪粉色</t>
  </si>
  <si>
    <t>草莓</t>
  </si>
  <si>
    <t>红石榴套装</t>
  </si>
  <si>
    <t>桃子</t>
  </si>
  <si>
    <t>白姑娘</t>
  </si>
  <si>
    <t>孔</t>
  </si>
  <si>
    <t>曼陀罗手表</t>
  </si>
  <si>
    <t>北极狐书包</t>
  </si>
  <si>
    <t>挖掘机</t>
  </si>
  <si>
    <t>美速</t>
  </si>
  <si>
    <t>lamer精粹水*2</t>
  </si>
  <si>
    <t>kaka</t>
  </si>
  <si>
    <t>安耐晒套装</t>
  </si>
  <si>
    <t>科颜氏睡眠面膜</t>
  </si>
  <si>
    <t>daisy</t>
  </si>
  <si>
    <t>郭小璐</t>
  </si>
  <si>
    <t>代理费</t>
  </si>
  <si>
    <t>suqqu粉霜</t>
  </si>
  <si>
    <t>阿玛尼红气垫3号</t>
  </si>
  <si>
    <t>小金盏花水</t>
  </si>
  <si>
    <t>小棕瓶50ml</t>
  </si>
  <si>
    <t>400ml大粉水</t>
  </si>
  <si>
    <t>露得清防晒乳</t>
  </si>
  <si>
    <t>tf眼影01</t>
  </si>
  <si>
    <t>MK的jetset的tote蓝色</t>
  </si>
  <si>
    <t>杨颖（Yyyyy）</t>
  </si>
  <si>
    <t>小安素（草莓，巧克力）</t>
  </si>
  <si>
    <t>科颜氏套装</t>
  </si>
  <si>
    <t>科颜氏防晒125ml</t>
  </si>
  <si>
    <t>唐林</t>
  </si>
  <si>
    <t>小唐</t>
  </si>
  <si>
    <t>敷尔佳白</t>
  </si>
  <si>
    <t>敷尔佳绿</t>
  </si>
  <si>
    <t>闲鱼</t>
  </si>
  <si>
    <t>adidas三宅抽绳包</t>
  </si>
  <si>
    <t>adidas三宅抽绳包*3</t>
  </si>
  <si>
    <t>安之若素</t>
  </si>
  <si>
    <t>uiuc</t>
  </si>
  <si>
    <t>香奈儿渣男香100ml</t>
  </si>
  <si>
    <t>薇拉</t>
  </si>
  <si>
    <t>EL口红333</t>
  </si>
  <si>
    <t>mac的chili</t>
  </si>
  <si>
    <t>耳机-红色</t>
  </si>
  <si>
    <t>耳机-蓝色</t>
  </si>
  <si>
    <t>ygg媳妇</t>
  </si>
  <si>
    <t>小小榜</t>
  </si>
  <si>
    <t>快递费</t>
  </si>
  <si>
    <t>快递打包费</t>
  </si>
  <si>
    <t>耳机-绿色</t>
  </si>
  <si>
    <t>芋头</t>
  </si>
  <si>
    <t>coach老花波士顿</t>
  </si>
  <si>
    <t>YSL黑妆前乳</t>
  </si>
  <si>
    <t>nars蜜粉饼</t>
  </si>
  <si>
    <t>淡斑精华100ml</t>
  </si>
  <si>
    <t>nars高潮</t>
  </si>
  <si>
    <t>coach的国旗双面tote</t>
  </si>
  <si>
    <t>贝德玛卸妆水</t>
  </si>
  <si>
    <t>兔子</t>
  </si>
  <si>
    <t>凶凶怪</t>
  </si>
  <si>
    <t>智妍面霜</t>
  </si>
  <si>
    <t>杨疆</t>
  </si>
  <si>
    <t>小许</t>
  </si>
  <si>
    <t>人大附小姑娘</t>
  </si>
  <si>
    <t>疤克</t>
  </si>
  <si>
    <t>耳机-（红色换绿色）</t>
  </si>
  <si>
    <t>粉盐</t>
  </si>
  <si>
    <t>鲸</t>
  </si>
  <si>
    <t>二群</t>
  </si>
  <si>
    <t>高保湿水</t>
  </si>
  <si>
    <t>倩碧黄油有油</t>
  </si>
  <si>
    <t>兰蔻粉水400ml</t>
  </si>
  <si>
    <t>ysl416</t>
  </si>
  <si>
    <t>祖马龙鼠尾草</t>
  </si>
  <si>
    <t>科颜氏唇膏</t>
  </si>
  <si>
    <t>香缇卡petal</t>
  </si>
  <si>
    <t>mac替换眼影</t>
  </si>
  <si>
    <t>母婴</t>
  </si>
  <si>
    <t>科颜氏爽肤水</t>
  </si>
  <si>
    <t>牛油果眼霜</t>
  </si>
  <si>
    <t>倩碧黄油</t>
  </si>
  <si>
    <t>日期</t>
  </si>
  <si>
    <t>货源</t>
  </si>
  <si>
    <t>货品名</t>
  </si>
  <si>
    <t>邮费成本</t>
  </si>
  <si>
    <t>返利源</t>
  </si>
  <si>
    <t>返利金额</t>
  </si>
  <si>
    <t>丝芙兰</t>
  </si>
  <si>
    <t>小金条21</t>
  </si>
  <si>
    <t>TO</t>
  </si>
  <si>
    <t>lamer7ml经典</t>
  </si>
  <si>
    <t>很久以前</t>
  </si>
  <si>
    <t>兰蔻官网</t>
  </si>
  <si>
    <t>安瓶+兰蔻30ml小黑瓶套装</t>
  </si>
  <si>
    <t>安瓶</t>
  </si>
  <si>
    <t>兰蔻</t>
  </si>
  <si>
    <t>英国</t>
  </si>
  <si>
    <t>Nichole</t>
  </si>
  <si>
    <t>数量</t>
  </si>
  <si>
    <t>冠军</t>
  </si>
  <si>
    <t>七天小套装</t>
  </si>
  <si>
    <t>5.3O</t>
  </si>
  <si>
    <t>实际成本</t>
  </si>
  <si>
    <t>rebate</t>
  </si>
  <si>
    <t>购买人</t>
  </si>
  <si>
    <t>购买人类型</t>
  </si>
  <si>
    <t>产品名称</t>
  </si>
  <si>
    <t>¥售价</t>
  </si>
  <si>
    <t>$买入价</t>
  </si>
  <si>
    <t>¥买入价</t>
  </si>
  <si>
    <t>$返现</t>
  </si>
  <si>
    <t>¥利润</t>
  </si>
  <si>
    <t>利润比例</t>
  </si>
  <si>
    <t>当日利润</t>
  </si>
  <si>
    <t>好呀</t>
  </si>
  <si>
    <t>BB定妆粉饼</t>
  </si>
  <si>
    <t>眉笔</t>
  </si>
  <si>
    <t>淡斑精华</t>
  </si>
  <si>
    <t>luoer</t>
  </si>
  <si>
    <t>菌菇水</t>
  </si>
  <si>
    <t>nyx眼影</t>
  </si>
  <si>
    <t>肥羊</t>
  </si>
  <si>
    <t>阿码尼高光</t>
  </si>
  <si>
    <t>海蓝之谜60ml</t>
  </si>
  <si>
    <t>苏三</t>
  </si>
  <si>
    <t>雅诗兰黛小棕瓶套装98美元</t>
  </si>
  <si>
    <t>红石榴面霜</t>
  </si>
  <si>
    <t>菌菇50ml</t>
  </si>
  <si>
    <t>菌菇贵50ml</t>
  </si>
  <si>
    <t>液体钙</t>
  </si>
  <si>
    <t>小鹤</t>
  </si>
  <si>
    <t>高保湿霜</t>
  </si>
  <si>
    <t>秃子</t>
  </si>
  <si>
    <t>鱼油</t>
  </si>
  <si>
    <t>吃吃</t>
  </si>
  <si>
    <t>蓝色妆前乳</t>
  </si>
  <si>
    <t>同学</t>
  </si>
  <si>
    <t>敷尔佳</t>
  </si>
  <si>
    <t>金条21同行</t>
  </si>
  <si>
    <t>娃娃</t>
  </si>
  <si>
    <t>钻石</t>
  </si>
  <si>
    <t>钙片</t>
  </si>
  <si>
    <t>香奈儿154代发</t>
  </si>
  <si>
    <t>毛怪</t>
  </si>
  <si>
    <t>钻石两对</t>
  </si>
  <si>
    <t>钻石一对</t>
  </si>
  <si>
    <t>雅诗兰黛眼霜</t>
  </si>
  <si>
    <t>粉水-lamer</t>
  </si>
  <si>
    <t>mac-sakura</t>
  </si>
  <si>
    <t>tf16</t>
  </si>
  <si>
    <t>mia</t>
  </si>
  <si>
    <t>mac316</t>
  </si>
  <si>
    <t>萝卜丁</t>
  </si>
  <si>
    <t>芝加哥</t>
  </si>
  <si>
    <t>雅诗兰黛粉水</t>
  </si>
  <si>
    <t>nyx天使</t>
  </si>
  <si>
    <t>智妍30ml</t>
  </si>
  <si>
    <t xml:space="preserve"> </t>
  </si>
  <si>
    <t>臻豪</t>
  </si>
  <si>
    <t>armani506</t>
  </si>
  <si>
    <t>ysl口红52号</t>
  </si>
  <si>
    <t>armani514黑管</t>
  </si>
  <si>
    <t>mac口红-ruby</t>
  </si>
  <si>
    <t>armani500+402</t>
  </si>
  <si>
    <t>154三只，dior两只</t>
  </si>
  <si>
    <t>biu</t>
  </si>
  <si>
    <t>1.10-</t>
  </si>
  <si>
    <t>nars高潮腮红</t>
  </si>
  <si>
    <t>韩国</t>
  </si>
  <si>
    <t>30ml淡斑精华</t>
  </si>
  <si>
    <t>小鱼</t>
  </si>
  <si>
    <t>雅诗兰黛30ml夜间面霜</t>
  </si>
  <si>
    <t>EL420</t>
  </si>
  <si>
    <t>高阿姨</t>
  </si>
  <si>
    <t>幸福阳光</t>
  </si>
  <si>
    <t>雅诗兰黛洗面奶</t>
  </si>
  <si>
    <t>小猪</t>
  </si>
  <si>
    <t>tf口红白管07</t>
  </si>
  <si>
    <t>chen</t>
  </si>
  <si>
    <t>姜饼人</t>
  </si>
  <si>
    <t>iron</t>
  </si>
  <si>
    <t>黑鸦片50ml。Edp</t>
  </si>
  <si>
    <t>AJ鞋子</t>
  </si>
  <si>
    <t>胶原蛋白糖（小）</t>
  </si>
  <si>
    <t>紫草膏</t>
  </si>
  <si>
    <t>美宝莲粉底</t>
  </si>
  <si>
    <t>LAMER唇膏</t>
  </si>
  <si>
    <t>YSL唇釉12号</t>
  </si>
  <si>
    <t>heat口红</t>
  </si>
  <si>
    <t>打包费加开箱费</t>
  </si>
  <si>
    <t>春暖</t>
  </si>
  <si>
    <t>其他收入</t>
  </si>
  <si>
    <t>带东西费</t>
  </si>
  <si>
    <t>纽约</t>
  </si>
  <si>
    <t>颈霜</t>
  </si>
  <si>
    <t>阿玛尼豆沙色赠品口红</t>
  </si>
  <si>
    <t>郑君媳妇</t>
  </si>
  <si>
    <t>雅诗兰黛暖色</t>
  </si>
  <si>
    <t>JC耳钉</t>
  </si>
  <si>
    <t>张铁琼</t>
  </si>
  <si>
    <t>雅诗兰黛65美元眼霜套装</t>
  </si>
  <si>
    <t>妍妍</t>
  </si>
  <si>
    <t>YSL416</t>
  </si>
  <si>
    <t>智妍50ml</t>
  </si>
  <si>
    <t>北京的</t>
  </si>
  <si>
    <t>mac-marr</t>
  </si>
  <si>
    <t>MACY耳钉*2</t>
  </si>
  <si>
    <t>娇韵诗50ml*2</t>
  </si>
  <si>
    <t>DHA儿童，四瓶</t>
  </si>
  <si>
    <t>小王</t>
  </si>
  <si>
    <t>mac marr色</t>
  </si>
  <si>
    <t>杨普通</t>
  </si>
  <si>
    <t>小余</t>
  </si>
  <si>
    <t>米粉</t>
  </si>
  <si>
    <t>luna mini2玫红色</t>
  </si>
  <si>
    <t>海军</t>
  </si>
  <si>
    <t>眼霜红石榴</t>
  </si>
  <si>
    <t>百优果眼霜</t>
  </si>
  <si>
    <t>科颜氏金盏花大</t>
  </si>
  <si>
    <t>兰蔻粉水小</t>
  </si>
  <si>
    <t>二叶</t>
  </si>
  <si>
    <t>羽绒被</t>
  </si>
  <si>
    <t>香奈儿58</t>
  </si>
  <si>
    <t>fresh</t>
  </si>
  <si>
    <t>郑君</t>
  </si>
  <si>
    <t>雅诗兰黛红石榴套装</t>
  </si>
  <si>
    <t>mac-chili</t>
  </si>
  <si>
    <t>1.2O</t>
  </si>
  <si>
    <t>沁水粉底</t>
  </si>
  <si>
    <t>维骨力蓝色绿色</t>
  </si>
  <si>
    <t>COACH包直邮</t>
  </si>
  <si>
    <t>敷尔佳面膜*2</t>
  </si>
  <si>
    <t>维骨力</t>
  </si>
  <si>
    <t>mac-dare-you</t>
  </si>
  <si>
    <t>临风</t>
  </si>
  <si>
    <t>黄油无油</t>
  </si>
  <si>
    <t>TF80+MAC316</t>
  </si>
  <si>
    <t>nyx遮瑕</t>
  </si>
  <si>
    <t>LAMER精华油小样</t>
  </si>
  <si>
    <t>日落盘</t>
  </si>
  <si>
    <t>花之语</t>
  </si>
  <si>
    <t>耳钉</t>
  </si>
  <si>
    <t>卵磷脂</t>
  </si>
  <si>
    <t>黑鸦片50ml浓</t>
  </si>
  <si>
    <t>olay</t>
  </si>
  <si>
    <t>医美</t>
  </si>
  <si>
    <t>巧克力</t>
  </si>
  <si>
    <t>硕</t>
  </si>
  <si>
    <t>TATCHA口红</t>
  </si>
  <si>
    <t>香水</t>
  </si>
  <si>
    <t>美妆蛋</t>
  </si>
  <si>
    <t>香芹籽</t>
  </si>
  <si>
    <t>1.3O</t>
  </si>
  <si>
    <t>小棕瓶50ml套装</t>
  </si>
  <si>
    <t>蜜粉饼</t>
  </si>
  <si>
    <t>红腰子小样（付北京邮费了）</t>
  </si>
  <si>
    <t>coach包</t>
  </si>
  <si>
    <t>维骨力红色两瓶，绿色一瓶</t>
  </si>
  <si>
    <t>辅酶Q10</t>
  </si>
  <si>
    <t>country</t>
  </si>
  <si>
    <t>维骨力蓝色，绿色</t>
  </si>
  <si>
    <t>TF07</t>
  </si>
  <si>
    <t>兰蔻小粉水</t>
  </si>
  <si>
    <t>mac-ladybug</t>
  </si>
  <si>
    <t>香缇卡最白</t>
  </si>
  <si>
    <t>绵阳的</t>
  </si>
  <si>
    <t>大红瓶</t>
  </si>
  <si>
    <t>大连的</t>
  </si>
  <si>
    <t>沁水2W1</t>
  </si>
  <si>
    <t>满天星</t>
  </si>
  <si>
    <t>海军阿姨</t>
  </si>
  <si>
    <t>欧缇丽水</t>
  </si>
  <si>
    <t>coach腰带</t>
  </si>
  <si>
    <t>玉儿</t>
  </si>
  <si>
    <t>coach腰带*4（刘晨）</t>
  </si>
  <si>
    <t>自由鸟</t>
  </si>
  <si>
    <t>2.1O</t>
  </si>
  <si>
    <t>luna玫红色</t>
  </si>
  <si>
    <t>金盏花水</t>
  </si>
  <si>
    <t>白清洁面膜</t>
  </si>
  <si>
    <t>T妈妈</t>
  </si>
  <si>
    <t>雅诗兰黛眼部精华</t>
  </si>
  <si>
    <t>小棕豆胶囊</t>
  </si>
  <si>
    <t>pinko</t>
  </si>
  <si>
    <t>亚光999</t>
  </si>
  <si>
    <t>金盏花</t>
  </si>
  <si>
    <t>红腰子50ml</t>
  </si>
  <si>
    <t>白泥面膜</t>
  </si>
  <si>
    <t>fresh黄糖</t>
  </si>
  <si>
    <t>占军</t>
  </si>
  <si>
    <t>puma鞋子</t>
  </si>
  <si>
    <t>eqt男士鞋子</t>
  </si>
  <si>
    <t>露小小</t>
  </si>
  <si>
    <t>牙贴</t>
  </si>
  <si>
    <t>黄小林(知足常乐）</t>
  </si>
  <si>
    <t>劳拉</t>
  </si>
  <si>
    <t>芦荟</t>
  </si>
  <si>
    <t>一一</t>
  </si>
  <si>
    <t>白泥</t>
  </si>
  <si>
    <t>origins30ml面霜</t>
  </si>
  <si>
    <t>100ml的lamer</t>
  </si>
  <si>
    <t>娇韵诗</t>
  </si>
  <si>
    <t>tf</t>
  </si>
  <si>
    <t>精华一堆</t>
  </si>
  <si>
    <t>芦荟*7</t>
  </si>
  <si>
    <t>返利</t>
  </si>
  <si>
    <t>cardcash买sehora礼品卡</t>
  </si>
  <si>
    <t>2.2o</t>
  </si>
  <si>
    <t>olay白色套装</t>
  </si>
  <si>
    <t>lancome粉水400ml</t>
  </si>
  <si>
    <t>GNC的milk保健品</t>
  </si>
  <si>
    <t>mont腰带</t>
  </si>
  <si>
    <t>菌菇水*2</t>
  </si>
  <si>
    <t>美国菌菇水</t>
  </si>
  <si>
    <t>褪黑素</t>
  </si>
  <si>
    <t>无油黄油</t>
  </si>
  <si>
    <t>lamer绿色眼霜</t>
  </si>
  <si>
    <t>coach丑红色波士顿包</t>
  </si>
  <si>
    <t>MK包-粉白拼</t>
  </si>
  <si>
    <t>君安充值</t>
  </si>
  <si>
    <t>大瓶钙</t>
  </si>
  <si>
    <t>直邮adidas</t>
  </si>
  <si>
    <t>拼邮adidas</t>
  </si>
  <si>
    <t>小黑瓶精华100ml</t>
  </si>
  <si>
    <t>CT口红</t>
  </si>
  <si>
    <t>阿玛尼500</t>
  </si>
  <si>
    <t>垚姐</t>
  </si>
  <si>
    <t>coach飞行员包</t>
  </si>
  <si>
    <t>MOVEFREE红色</t>
  </si>
  <si>
    <t>MOVEFREE白色</t>
  </si>
  <si>
    <t>智妍面霜50ml</t>
  </si>
  <si>
    <t>施华洛世奇</t>
  </si>
  <si>
    <t>dior哑光999</t>
  </si>
  <si>
    <t>GVC散粉*2</t>
  </si>
  <si>
    <t>GVC散粉</t>
  </si>
  <si>
    <t>answer</t>
  </si>
  <si>
    <t>奇迹香水</t>
  </si>
  <si>
    <t>知足常乐</t>
  </si>
  <si>
    <t>fila老爹鞋</t>
  </si>
  <si>
    <t>雅诗兰黛大礼包冷色</t>
  </si>
  <si>
    <t>防晒</t>
  </si>
  <si>
    <t>粉水小样</t>
  </si>
  <si>
    <t>黑鸦片</t>
  </si>
  <si>
    <t>EL粉水</t>
  </si>
  <si>
    <t>3.1O</t>
  </si>
  <si>
    <t>FRESH红茶</t>
  </si>
  <si>
    <t>-</t>
  </si>
  <si>
    <t>origins乳液</t>
  </si>
  <si>
    <t>玫瑰</t>
  </si>
  <si>
    <t>科颜氏防晒</t>
  </si>
  <si>
    <t>碧欧泉</t>
  </si>
  <si>
    <t>蕾蕾</t>
  </si>
  <si>
    <t>cpb</t>
  </si>
  <si>
    <t>nars</t>
  </si>
  <si>
    <t>30mljomalone</t>
  </si>
  <si>
    <t>粉底液兰蔻</t>
  </si>
  <si>
    <t>香奈儿口红</t>
  </si>
  <si>
    <t>YSL13</t>
  </si>
  <si>
    <t>无油黄油*3</t>
  </si>
  <si>
    <t>乐乐</t>
  </si>
  <si>
    <t>小安素</t>
  </si>
  <si>
    <t>秋秋</t>
  </si>
  <si>
    <t>岚姐</t>
  </si>
  <si>
    <t>敷尔佳*2</t>
  </si>
  <si>
    <t>玲玲</t>
  </si>
  <si>
    <t>核桃油</t>
  </si>
  <si>
    <t>水乳</t>
  </si>
  <si>
    <t>GNC的milk thisle</t>
  </si>
  <si>
    <t>meta无糖（两个）</t>
  </si>
  <si>
    <t>单个锅（卖了三个）</t>
  </si>
  <si>
    <t>单个锅（一个）</t>
  </si>
  <si>
    <t>海盐</t>
  </si>
  <si>
    <t>垚</t>
  </si>
  <si>
    <t>成人钙*2</t>
  </si>
  <si>
    <t>都发货了</t>
  </si>
  <si>
    <t>儿童液体钙*2</t>
  </si>
  <si>
    <t>儿童钙糖*1</t>
  </si>
  <si>
    <t>北京</t>
  </si>
  <si>
    <t>散粉</t>
  </si>
  <si>
    <t>macy礼品卡</t>
  </si>
  <si>
    <t>90ml浓香的反转巴黎</t>
  </si>
  <si>
    <t>家居</t>
  </si>
  <si>
    <t>ARMANI小样套装</t>
  </si>
  <si>
    <t>维生素糖</t>
  </si>
  <si>
    <t>ANR精华50ml</t>
  </si>
  <si>
    <t>美妆蛋一个</t>
  </si>
  <si>
    <t>ANR精华50ml套装</t>
  </si>
  <si>
    <t>黑樱桃</t>
  </si>
  <si>
    <t>口红</t>
  </si>
  <si>
    <t>二群的</t>
  </si>
  <si>
    <t>bad air</t>
  </si>
  <si>
    <t>coach tote</t>
  </si>
  <si>
    <t>coach 波士顿</t>
  </si>
  <si>
    <t>王</t>
  </si>
  <si>
    <t>nyx天使妆前乳</t>
  </si>
  <si>
    <t>腰带</t>
  </si>
  <si>
    <t>沁水</t>
  </si>
  <si>
    <t>祖马龙蓝风铃+英国梨</t>
  </si>
  <si>
    <t>vans</t>
  </si>
  <si>
    <t>香奈儿507</t>
  </si>
  <si>
    <t>退货</t>
  </si>
  <si>
    <t>金盏花洁面</t>
  </si>
  <si>
    <t>粉底P-01</t>
  </si>
  <si>
    <t>锦</t>
  </si>
  <si>
    <t>祖马龙橙花</t>
  </si>
  <si>
    <t>CK内衣</t>
  </si>
  <si>
    <t>3.2O</t>
  </si>
  <si>
    <t>萝卜丁001M</t>
  </si>
  <si>
    <t>fresh走珠</t>
  </si>
  <si>
    <t>敷尔佳*4</t>
  </si>
  <si>
    <t>维骨力蓝色</t>
  </si>
  <si>
    <t>小小</t>
  </si>
  <si>
    <t>蓝胖子防晒100ml</t>
  </si>
  <si>
    <t>转运四方邮费</t>
  </si>
  <si>
    <t>liya</t>
  </si>
  <si>
    <t>META</t>
  </si>
  <si>
    <t>李莉</t>
  </si>
  <si>
    <t>burberry香水</t>
  </si>
  <si>
    <t>自由的</t>
  </si>
  <si>
    <t>芦荟无香</t>
  </si>
  <si>
    <t>ysl唇釉12</t>
  </si>
  <si>
    <t>敷尔佳面膜</t>
  </si>
  <si>
    <t>妈妈的客人</t>
  </si>
  <si>
    <t>胶原蛋白粉糖</t>
  </si>
  <si>
    <t>jomalone无盒英国梨</t>
  </si>
  <si>
    <t>雅诗兰黛紫瓶套装</t>
  </si>
  <si>
    <t>SK2套装</t>
  </si>
  <si>
    <t>mac赠品口红（dozen，dozen）</t>
  </si>
  <si>
    <t>mac的lady danger</t>
  </si>
  <si>
    <t>边</t>
  </si>
  <si>
    <t>30ml反转巴黎</t>
  </si>
  <si>
    <t>swiss直邮</t>
  </si>
  <si>
    <t>mac高光</t>
  </si>
  <si>
    <t>雪花秀木莲花气垫</t>
  </si>
  <si>
    <t>jomalone蓝风铃带盒</t>
  </si>
  <si>
    <t>唐</t>
  </si>
  <si>
    <t>ck衣服短袖</t>
  </si>
  <si>
    <t>麦片</t>
  </si>
  <si>
    <t>香奈儿154</t>
  </si>
  <si>
    <t>妈妈朋友</t>
  </si>
  <si>
    <t>斯凯奇熊猫鞋子</t>
  </si>
  <si>
    <t>高保湿50ml</t>
  </si>
  <si>
    <t>清都</t>
  </si>
  <si>
    <t>徐老师</t>
  </si>
  <si>
    <t>lamer-7ml经典面霜</t>
  </si>
  <si>
    <t>tfal锅</t>
  </si>
  <si>
    <t>盐</t>
  </si>
  <si>
    <t>维骨力蓝色*2</t>
  </si>
  <si>
    <t>olay大红*1（单瓶）</t>
  </si>
  <si>
    <t>岚姐朋友</t>
  </si>
  <si>
    <t>ruby woo</t>
  </si>
  <si>
    <t>mac marr</t>
  </si>
  <si>
    <t>四川</t>
  </si>
  <si>
    <t>蓝光眼霜</t>
  </si>
  <si>
    <t>shimly</t>
  </si>
  <si>
    <t>GVC散粉一号色</t>
  </si>
  <si>
    <t>ck内衣</t>
  </si>
  <si>
    <t>人参</t>
  </si>
  <si>
    <t>bayer药</t>
  </si>
  <si>
    <t>香缇卡腮红</t>
  </si>
  <si>
    <t>敷尔佳黑膜</t>
  </si>
  <si>
    <t>睫毛雨衣</t>
  </si>
  <si>
    <t>tina</t>
  </si>
  <si>
    <t>META无糖</t>
  </si>
  <si>
    <t>粉水</t>
  </si>
  <si>
    <t>黄油</t>
  </si>
  <si>
    <t>不认识</t>
  </si>
  <si>
    <t>MK包</t>
  </si>
  <si>
    <t>转运珠</t>
  </si>
  <si>
    <t>%</t>
  </si>
  <si>
    <t>粉糖</t>
  </si>
  <si>
    <t>puma裤子*2</t>
  </si>
  <si>
    <t>防晒喷雾</t>
  </si>
  <si>
    <t>红色维骨力</t>
  </si>
  <si>
    <t>蓝胖子防晒50ml</t>
  </si>
  <si>
    <t>jomalone蓝风铃</t>
  </si>
  <si>
    <t>蓝光眼霜套装</t>
  </si>
  <si>
    <t>身体乳</t>
  </si>
  <si>
    <t>雅诗兰黛赠品面霜</t>
  </si>
  <si>
    <t>海蓝之谜面霜套装</t>
  </si>
  <si>
    <t>coach男包</t>
  </si>
  <si>
    <t>nars腮红</t>
  </si>
  <si>
    <t>dw粉底</t>
  </si>
  <si>
    <t>VS身体乳</t>
  </si>
  <si>
    <t>TF16+香奈儿154</t>
  </si>
  <si>
    <t>waterpik</t>
  </si>
  <si>
    <t>LAMER白眼霜</t>
  </si>
  <si>
    <t>护手霜</t>
  </si>
  <si>
    <t>香缇卡B色</t>
  </si>
  <si>
    <t>？</t>
  </si>
  <si>
    <t>gnc鱼油</t>
  </si>
  <si>
    <t>MK-TINA</t>
  </si>
  <si>
    <t>香奈儿香水100ml</t>
  </si>
  <si>
    <t>西米</t>
  </si>
  <si>
    <t>小棕瓶100ml</t>
  </si>
  <si>
    <t>高保湿125ml</t>
  </si>
  <si>
    <t>香奈儿口红91</t>
  </si>
  <si>
    <t>DW的1w1</t>
  </si>
  <si>
    <t>shmily</t>
  </si>
  <si>
    <t>COQ10</t>
  </si>
  <si>
    <t>斯凯奇男士一脚蹬</t>
  </si>
  <si>
    <t>兰蔻套装</t>
  </si>
  <si>
    <t>雅诗兰黛赠品套装</t>
  </si>
  <si>
    <t>四川老乡</t>
  </si>
  <si>
    <t>coach托特</t>
  </si>
  <si>
    <t>娇韵诗双萃</t>
  </si>
  <si>
    <t>牛油果28g</t>
  </si>
  <si>
    <t>钙镁锌*2</t>
  </si>
  <si>
    <t>nyx喷雾</t>
  </si>
  <si>
    <t>双萃</t>
  </si>
  <si>
    <t>纪梵希1号</t>
  </si>
  <si>
    <t>口红999</t>
  </si>
  <si>
    <t>口红651</t>
  </si>
  <si>
    <t>刘晨国际运费</t>
  </si>
  <si>
    <t>JML100ml的伯爵茶</t>
  </si>
  <si>
    <t>益生菌</t>
  </si>
  <si>
    <t>公主也有爱</t>
  </si>
  <si>
    <t>两个包</t>
  </si>
  <si>
    <t>隔离</t>
  </si>
  <si>
    <t>老爹鞋</t>
  </si>
  <si>
    <t>蓝光眼霜*3</t>
  </si>
  <si>
    <t>科颜氏水</t>
  </si>
  <si>
    <t>线雕一瓶</t>
  </si>
  <si>
    <t>维骨力白色</t>
  </si>
  <si>
    <t>维骨力红色</t>
  </si>
  <si>
    <t>EL双瓶套装</t>
  </si>
  <si>
    <t>小王弦</t>
  </si>
  <si>
    <t>阿玛尼405*5</t>
  </si>
  <si>
    <t>EL蓝水</t>
  </si>
  <si>
    <t>白色维骨力*9</t>
  </si>
  <si>
    <t>白金1C0</t>
  </si>
  <si>
    <t>大红瓶costco</t>
  </si>
  <si>
    <t>FILA拖鞋</t>
  </si>
  <si>
    <t>调货群</t>
  </si>
  <si>
    <t>chili-mac</t>
  </si>
  <si>
    <t>美丽</t>
  </si>
  <si>
    <t>科颜氏面霜</t>
  </si>
  <si>
    <t>科颜氏隔夜面膜</t>
  </si>
  <si>
    <t>兰蔻360度眼霜</t>
  </si>
  <si>
    <t>科颜氏金盏花面膜瑕疵</t>
  </si>
  <si>
    <t>YSL黑色妆前</t>
  </si>
  <si>
    <t>ALL HOURS</t>
  </si>
  <si>
    <t>面膜*2</t>
  </si>
  <si>
    <t>雅诗兰黛面膜</t>
  </si>
  <si>
    <t>小黄瓜爽肤水</t>
  </si>
  <si>
    <t>雅诗兰黛智妍面霜30mlSPF15</t>
  </si>
  <si>
    <t>B色换A色香缇卡</t>
  </si>
  <si>
    <t>TF16八个</t>
  </si>
  <si>
    <t>水杯，君安代发</t>
  </si>
  <si>
    <t>水杯，蜗牛</t>
  </si>
  <si>
    <t>口红CHILI</t>
  </si>
  <si>
    <t>山东</t>
  </si>
  <si>
    <t>口红BRIC-O-LA</t>
  </si>
  <si>
    <t>口红阿玛尼405</t>
  </si>
  <si>
    <t>真假</t>
  </si>
  <si>
    <t>胡小</t>
  </si>
  <si>
    <t>菌菇水9个</t>
  </si>
  <si>
    <t>米粉-地球最好</t>
  </si>
  <si>
    <t>luna套装</t>
  </si>
  <si>
    <t>刘阿姨</t>
  </si>
  <si>
    <t>小猪朋友</t>
  </si>
  <si>
    <t>DW手表</t>
  </si>
  <si>
    <t>脱毛机</t>
  </si>
  <si>
    <t>芦荟胶</t>
  </si>
  <si>
    <t>带行李成本</t>
  </si>
  <si>
    <t>带行李成本+70运费</t>
  </si>
  <si>
    <t>本人</t>
  </si>
  <si>
    <t>送远平阿姨的鞋子</t>
  </si>
  <si>
    <t>礼品卡</t>
  </si>
  <si>
    <t>济南</t>
  </si>
  <si>
    <t>kiehls乳液</t>
  </si>
  <si>
    <t>kiehls小黄瓜水</t>
  </si>
  <si>
    <t>MK一大堆的官网订单费</t>
  </si>
  <si>
    <t>MK一大堆的邮费</t>
  </si>
  <si>
    <t>tf80</t>
  </si>
  <si>
    <t>LAMER-concentrate</t>
  </si>
  <si>
    <t>LAMER-精粹水</t>
  </si>
  <si>
    <t>小胖</t>
  </si>
  <si>
    <t>鸡蛋</t>
  </si>
  <si>
    <t>olay-pro-x</t>
  </si>
  <si>
    <t>100ml小棕瓶</t>
  </si>
  <si>
    <t>桂兰</t>
  </si>
  <si>
    <t>儿童时光液体钙</t>
  </si>
  <si>
    <t>雅诗兰黛SPF15智妍面霜</t>
  </si>
  <si>
    <t>lancome小样</t>
  </si>
  <si>
    <t>elta三个洗面奶+香水小样+nyx遮瑕</t>
  </si>
  <si>
    <t>斯凯奇鞋子</t>
  </si>
  <si>
    <t>付</t>
  </si>
  <si>
    <t>权利粉底液</t>
  </si>
  <si>
    <t>叶仙女</t>
  </si>
  <si>
    <t>萝卜丁三件套套装</t>
  </si>
  <si>
    <t>JOMALONE香水小样</t>
  </si>
  <si>
    <t>我群里的客户</t>
  </si>
  <si>
    <t>coach腰带皮带宽</t>
  </si>
  <si>
    <t>白姑娘国际邮费差</t>
  </si>
  <si>
    <t>TB白色chelsea包</t>
  </si>
  <si>
    <t>星星妈</t>
  </si>
  <si>
    <t>维生素</t>
  </si>
  <si>
    <t>COACH山茶花包</t>
  </si>
  <si>
    <t>COACH贝壳包</t>
  </si>
  <si>
    <t>汇率差价</t>
  </si>
  <si>
    <t>MAC口红ruby</t>
  </si>
  <si>
    <t>MAC口红chili</t>
  </si>
  <si>
    <t>两个玫瑰金的项链</t>
  </si>
  <si>
    <t>新客人</t>
  </si>
  <si>
    <t>口红at night</t>
  </si>
  <si>
    <t>COACH皮带</t>
  </si>
  <si>
    <t>mac口红调货</t>
  </si>
  <si>
    <t>黑鸦片套装</t>
  </si>
  <si>
    <t>明</t>
  </si>
  <si>
    <t>施华洛世奇黑天鹅</t>
  </si>
  <si>
    <t>阿铁</t>
  </si>
  <si>
    <t>纤维素糖</t>
  </si>
  <si>
    <t>锅</t>
  </si>
  <si>
    <t>pat口红</t>
  </si>
  <si>
    <t>格格米</t>
  </si>
  <si>
    <t>MK包天蓝色戴妃</t>
  </si>
  <si>
    <t>nyx眼影盘</t>
  </si>
  <si>
    <t>50美元的亚马逊礼品卡</t>
  </si>
  <si>
    <t>aveeno儿童</t>
  </si>
  <si>
    <t>线雕</t>
  </si>
  <si>
    <t>崔荣</t>
  </si>
  <si>
    <t>nature made 的B complex</t>
  </si>
  <si>
    <t>国内</t>
  </si>
  <si>
    <t>萝卜丁001M*3(转运无税)</t>
  </si>
  <si>
    <t>客服</t>
  </si>
  <si>
    <t>ADIDAS刷卡</t>
  </si>
  <si>
    <t>lamer赠品</t>
  </si>
  <si>
    <t>纪梵希项链，转运珠玫瑰金</t>
  </si>
  <si>
    <t>薛</t>
  </si>
  <si>
    <t>AK手表粉色套装</t>
  </si>
  <si>
    <t>coach钱包短款套装</t>
  </si>
  <si>
    <t>纪梵希307五只</t>
  </si>
  <si>
    <t>闲鱼链接</t>
  </si>
  <si>
    <t>jml祖马龙蓝风铃</t>
  </si>
  <si>
    <t>粉色洗面奶</t>
  </si>
  <si>
    <t>柠檬</t>
  </si>
  <si>
    <t>白色维骨力</t>
  </si>
  <si>
    <t>儿童乳液</t>
  </si>
  <si>
    <t>定妆喷雾</t>
  </si>
  <si>
    <t>纪梵希项链</t>
  </si>
  <si>
    <t>心月</t>
  </si>
  <si>
    <t>维骨力绿色</t>
  </si>
  <si>
    <t>雅诗兰黛蓝色洁面</t>
  </si>
  <si>
    <t>宋小皇</t>
  </si>
  <si>
    <t>香缇卡A</t>
  </si>
  <si>
    <t>权可爱</t>
  </si>
  <si>
    <t>香缇卡A（毛怪的货）</t>
  </si>
  <si>
    <t>MK黑色-天线进货</t>
  </si>
  <si>
    <t>海军妹妹</t>
  </si>
  <si>
    <t>MK雏菊黄-天线进货</t>
  </si>
  <si>
    <t>国内海淘</t>
  </si>
  <si>
    <t>MK蓝色戴妃</t>
  </si>
  <si>
    <t>送礼物</t>
  </si>
  <si>
    <t>ted baker鞋子</t>
  </si>
  <si>
    <t>雅诗兰黛双瓶套装*2</t>
  </si>
  <si>
    <t>欠一个钱</t>
  </si>
  <si>
    <t>雅诗兰黛蓝光眼霜*3</t>
  </si>
  <si>
    <t>嗜睡少女</t>
  </si>
  <si>
    <t>卡拉泡泡</t>
  </si>
  <si>
    <t>代餐粉</t>
  </si>
  <si>
    <t>纪梵希五只307</t>
  </si>
  <si>
    <t>皮带</t>
  </si>
  <si>
    <t>armani405-20只</t>
  </si>
  <si>
    <t>MK黑色包</t>
  </si>
  <si>
    <t>日本elxir防晒</t>
  </si>
  <si>
    <t>小金条21号*6+9号*4</t>
  </si>
  <si>
    <t>葡萄籽</t>
  </si>
  <si>
    <t>马小胖</t>
  </si>
  <si>
    <t>黑白MERCER</t>
  </si>
  <si>
    <t>金盏花500ml</t>
  </si>
  <si>
    <t>小棕瓶套装</t>
  </si>
  <si>
    <t>芭比布朗，虫草粉底0</t>
  </si>
  <si>
    <t>coach双面</t>
  </si>
  <si>
    <t>COQ10五个</t>
  </si>
  <si>
    <t>dha儿童时光胶囊</t>
  </si>
  <si>
    <t>儿童时光childlife液体钙</t>
  </si>
  <si>
    <t>第一防御液</t>
  </si>
  <si>
    <t>汇率差</t>
  </si>
  <si>
    <t>运费+打包费</t>
  </si>
  <si>
    <t>周宇</t>
  </si>
  <si>
    <t>YSL香水套装</t>
  </si>
  <si>
    <t>行李费</t>
  </si>
  <si>
    <t>moschino熊</t>
  </si>
  <si>
    <t>armani406红管</t>
  </si>
  <si>
    <t>当代</t>
  </si>
  <si>
    <t>止汗膏</t>
  </si>
  <si>
    <t>科颜氏乳液SPF30</t>
  </si>
  <si>
    <t>依依</t>
  </si>
  <si>
    <t>水牙线</t>
  </si>
  <si>
    <t>杨子代购</t>
  </si>
  <si>
    <t>EL蓝水400ml</t>
  </si>
  <si>
    <t>阿玛尼405两只</t>
  </si>
  <si>
    <t>adidas金标</t>
  </si>
  <si>
    <t>兰蔻粉水</t>
  </si>
  <si>
    <t>香奈儿蔚蓝100ml</t>
  </si>
  <si>
    <t>雅诗兰黛白金水</t>
  </si>
  <si>
    <t>面膜赠品</t>
  </si>
  <si>
    <t>蓝光小棕瓶眼霜</t>
  </si>
  <si>
    <t>鸭梨</t>
  </si>
  <si>
    <t>香缇卡A+B</t>
  </si>
  <si>
    <t>国内群</t>
  </si>
  <si>
    <t>吃豆人男士</t>
  </si>
  <si>
    <t>纪梵希307</t>
  </si>
  <si>
    <t>TB小包</t>
  </si>
  <si>
    <t>GNC的鱼油（120粒）*3</t>
  </si>
  <si>
    <t>加拿大玛卡</t>
  </si>
  <si>
    <t>GNC的triple*3</t>
  </si>
  <si>
    <t>GNC护肝*7</t>
  </si>
  <si>
    <t>浪琴</t>
  </si>
  <si>
    <t>MK</t>
  </si>
  <si>
    <t>小黑瓶套装</t>
  </si>
  <si>
    <t>白色lamer眼霜</t>
  </si>
  <si>
    <t>不知道</t>
  </si>
  <si>
    <t>粉糖送人</t>
  </si>
  <si>
    <t>小慧</t>
  </si>
  <si>
    <t>白吸盘</t>
  </si>
  <si>
    <t>科颜氏高保湿125ml</t>
  </si>
  <si>
    <t>lamer的60ml的softcream</t>
  </si>
  <si>
    <t>花妍面膜</t>
  </si>
  <si>
    <t>summer</t>
  </si>
  <si>
    <t>线雕防晒</t>
  </si>
  <si>
    <t>蓝色天鹅,施华洛世奇</t>
  </si>
  <si>
    <t>精粹水</t>
  </si>
  <si>
    <t>雅诗兰黛棕瓶duo</t>
  </si>
  <si>
    <t>三宅一生包包</t>
  </si>
  <si>
    <t>Mkmercer戚薇</t>
  </si>
  <si>
    <t>dior染唇液</t>
  </si>
  <si>
    <t>TF80*2</t>
  </si>
  <si>
    <t>TF16*2</t>
  </si>
  <si>
    <t>娇兰14片赠品</t>
  </si>
  <si>
    <t>Jomalone</t>
  </si>
  <si>
    <t>冠军白M</t>
  </si>
  <si>
    <t>elta防晒</t>
  </si>
  <si>
    <t>国内群，大表哥</t>
  </si>
  <si>
    <t>雅诗兰黛蓝色爽肤水400ml</t>
  </si>
  <si>
    <t>五个科颜氏50ml精华</t>
  </si>
  <si>
    <t>四个科颜氏精华存着（只收钱了三个）</t>
  </si>
  <si>
    <t>我群里</t>
  </si>
  <si>
    <t>贺丹</t>
  </si>
  <si>
    <t>contigo水杯</t>
  </si>
  <si>
    <t>露得清防晒</t>
  </si>
  <si>
    <t>michelle</t>
  </si>
  <si>
    <t>保健品</t>
  </si>
  <si>
    <t>小肥羊</t>
  </si>
  <si>
    <t>天气丹</t>
  </si>
  <si>
    <t>雅诗兰黛420口红</t>
  </si>
  <si>
    <t>群里</t>
  </si>
  <si>
    <t>冠军衣服</t>
  </si>
  <si>
    <t>施华洛世奇蝴蝶结</t>
  </si>
  <si>
    <t>宝宝</t>
  </si>
  <si>
    <t>雅诗兰黛LORD赠品礼包</t>
  </si>
  <si>
    <t>鹤哒哒</t>
  </si>
  <si>
    <t>nars口红笔</t>
  </si>
  <si>
    <t>香缇卡B</t>
  </si>
  <si>
    <t>雪梅</t>
  </si>
  <si>
    <t>杜克</t>
  </si>
  <si>
    <t>眼影盘TF01</t>
  </si>
  <si>
    <t>贝儿</t>
  </si>
  <si>
    <t>钻石面膜</t>
  </si>
  <si>
    <t>coach双面tote吃豆小人</t>
  </si>
  <si>
    <t>小群</t>
  </si>
  <si>
    <t>沁水1C1</t>
  </si>
  <si>
    <t>SS群里妹子</t>
  </si>
  <si>
    <t>coach parker</t>
  </si>
  <si>
    <t>科颜氏50ml淡斑精华</t>
  </si>
  <si>
    <t>coach腰带礼盒</t>
  </si>
  <si>
    <t>天津</t>
  </si>
  <si>
    <t>coach饺子包</t>
  </si>
  <si>
    <t>阿玛尼405*2</t>
  </si>
  <si>
    <t>ysl金条9*2</t>
  </si>
  <si>
    <t>沈饶</t>
  </si>
  <si>
    <t>蓝色</t>
  </si>
  <si>
    <t>水杯</t>
  </si>
  <si>
    <t>花生</t>
  </si>
  <si>
    <t>dior001</t>
  </si>
  <si>
    <t>安耐晒*10</t>
  </si>
  <si>
    <t>幸福</t>
  </si>
  <si>
    <t>EL蓝色洗面奶*2</t>
  </si>
  <si>
    <t>一千汇率差</t>
  </si>
  <si>
    <t>coq10</t>
  </si>
  <si>
    <t>敷尔佳（白色*8+绿*13+黑*4）</t>
  </si>
  <si>
    <t>敷尔佳绿色+白色</t>
  </si>
  <si>
    <t>敷尔佳（白色*2+绿*2）</t>
  </si>
  <si>
    <t>白色S长标冠军</t>
  </si>
  <si>
    <t>阿玛尼405*3</t>
  </si>
  <si>
    <t>冠军小标白色黑色</t>
  </si>
  <si>
    <t>冠军小标白色M</t>
  </si>
  <si>
    <t>转运四方</t>
  </si>
  <si>
    <t>coach白色波士顿</t>
  </si>
  <si>
    <t>DW1W1</t>
  </si>
  <si>
    <t>200macy礼品卡</t>
  </si>
  <si>
    <t>鞋子运费</t>
  </si>
  <si>
    <t>静</t>
  </si>
  <si>
    <t>MK-tina粉色中号</t>
  </si>
  <si>
    <t>菌菇小样</t>
  </si>
  <si>
    <t>黑白MERCER，代发</t>
  </si>
  <si>
    <t>土豆</t>
  </si>
  <si>
    <t>黑白MERCER，代发*2</t>
  </si>
  <si>
    <t>马</t>
  </si>
  <si>
    <t>线雕精华</t>
  </si>
  <si>
    <t>智妍75ml</t>
  </si>
  <si>
    <t>资生堂蓝胖子100ml</t>
  </si>
  <si>
    <t>lamer眼部精华</t>
  </si>
  <si>
    <t>coach专柜parker</t>
  </si>
  <si>
    <t>YSL21</t>
  </si>
  <si>
    <t>金笛</t>
  </si>
  <si>
    <t>burberry男士钱包</t>
  </si>
  <si>
    <t>小</t>
  </si>
  <si>
    <t>mac口红蜜桃</t>
  </si>
  <si>
    <t>欧缇丽小套装</t>
  </si>
  <si>
    <t>dior740</t>
  </si>
  <si>
    <t>TF眼影01</t>
  </si>
  <si>
    <t>芦荟霜</t>
  </si>
  <si>
    <t>香缇卡A色*2（japan）</t>
  </si>
  <si>
    <t>敷尔佳白*2</t>
  </si>
  <si>
    <t>shm</t>
  </si>
  <si>
    <t>糖尿病</t>
  </si>
  <si>
    <t>牛油果</t>
  </si>
  <si>
    <t>GNC三倍卵磷脂</t>
  </si>
  <si>
    <t>银色防晒</t>
  </si>
  <si>
    <t>美国</t>
  </si>
  <si>
    <t>金条9</t>
  </si>
  <si>
    <t>睡衣</t>
  </si>
  <si>
    <t>EL套装</t>
  </si>
  <si>
    <t>AK手表套装</t>
  </si>
  <si>
    <t>yao姐</t>
  </si>
  <si>
    <t>奶瓶</t>
  </si>
  <si>
    <t>ddrops</t>
  </si>
  <si>
    <t>AK手表套装黑色</t>
  </si>
  <si>
    <t>海蓝之谜毛怪那里进的</t>
  </si>
  <si>
    <t>高保湿</t>
  </si>
  <si>
    <t>纪梵希转运珠</t>
  </si>
  <si>
    <t>spaceNK</t>
  </si>
  <si>
    <t>fresh大豆洁面</t>
  </si>
  <si>
    <t>娇韵诗防晒</t>
  </si>
  <si>
    <t>冠军黄色</t>
  </si>
  <si>
    <t>许永秀</t>
  </si>
  <si>
    <t>全球购</t>
  </si>
  <si>
    <t>大哥大防晒</t>
  </si>
  <si>
    <t>粉洁</t>
  </si>
  <si>
    <t>lwt</t>
  </si>
  <si>
    <t>?.?</t>
  </si>
  <si>
    <t>lamer-15ml面霜</t>
  </si>
  <si>
    <t>黑鸦片Q*4</t>
  </si>
  <si>
    <t>纪梵希散粉02</t>
  </si>
  <si>
    <t>淡斑精华50ml</t>
  </si>
  <si>
    <t>adidas鞋子</t>
  </si>
  <si>
    <t>lu_shopper</t>
  </si>
  <si>
    <t>三宅一生包（我自己的货源）</t>
  </si>
  <si>
    <t>小袁</t>
  </si>
  <si>
    <t>YANKEE蜡烛</t>
  </si>
  <si>
    <t>coach-rouge25白色</t>
  </si>
  <si>
    <t>眼影</t>
  </si>
  <si>
    <t>coach-粉紫色</t>
  </si>
  <si>
    <t>MK-黑色小包</t>
  </si>
  <si>
    <t>棕瓶套装</t>
  </si>
  <si>
    <t>白膜*3</t>
  </si>
  <si>
    <t>LAMER-30ml面霜</t>
  </si>
  <si>
    <t>衣服</t>
  </si>
  <si>
    <t>三宅一生包</t>
  </si>
  <si>
    <t>白膜*2</t>
  </si>
  <si>
    <t>zfb</t>
  </si>
  <si>
    <t>EL粉色洗面奶</t>
  </si>
  <si>
    <t>淡斑30ml</t>
  </si>
  <si>
    <t>LAMER精华</t>
  </si>
  <si>
    <t>支出</t>
  </si>
  <si>
    <t>转运中国运费</t>
  </si>
  <si>
    <t>YSL的B10粉底all-hour</t>
  </si>
  <si>
    <t>mk包-白色小包</t>
  </si>
  <si>
    <t>牛仔裤</t>
  </si>
  <si>
    <t>泥娃娃</t>
  </si>
  <si>
    <t>冷伯燕</t>
  </si>
  <si>
    <t>渣渣</t>
  </si>
  <si>
    <t>红色L冲锋衣</t>
  </si>
  <si>
    <t>南佛</t>
  </si>
  <si>
    <t>Burberry衣服</t>
  </si>
  <si>
    <t>木木</t>
  </si>
  <si>
    <t>淡斑100ml</t>
  </si>
  <si>
    <t>玉米米</t>
  </si>
  <si>
    <t>zfb299+131</t>
  </si>
  <si>
    <t>MK大tote褐色中间白色（799售价）找tele</t>
  </si>
  <si>
    <t>刘晨生日</t>
  </si>
  <si>
    <t>小唐机票</t>
  </si>
  <si>
    <t>venmo</t>
  </si>
  <si>
    <t>OLAY两瓶装七套</t>
  </si>
  <si>
    <t>维骨力绿色*2</t>
  </si>
  <si>
    <t>hx</t>
  </si>
  <si>
    <t>meta无糖</t>
  </si>
  <si>
    <t>vx</t>
  </si>
  <si>
    <t>dior垃圾色号</t>
  </si>
  <si>
    <t>夭夭</t>
  </si>
  <si>
    <t>cindy wang</t>
  </si>
  <si>
    <t>蓝胖子100ml（闲鱼代发</t>
  </si>
  <si>
    <t>红401</t>
  </si>
  <si>
    <t>GVC散粉1号</t>
  </si>
  <si>
    <t>文子</t>
  </si>
  <si>
    <t>金条21号</t>
  </si>
  <si>
    <t>coach书包</t>
  </si>
  <si>
    <t>coach波士顿</t>
  </si>
  <si>
    <t>我客人</t>
  </si>
  <si>
    <t>C字小贝壳黑色</t>
  </si>
  <si>
    <t>MK大tote（白色）-Sheng张圣</t>
  </si>
  <si>
    <t>秦王</t>
  </si>
  <si>
    <t>coach玫红色边（曾）</t>
  </si>
  <si>
    <t>小棕瓶50ml带盒</t>
  </si>
  <si>
    <t>占君</t>
  </si>
  <si>
    <t>红色冲锋衣S</t>
  </si>
  <si>
    <t>红色冲锋衣XL</t>
  </si>
  <si>
    <t>MK褐色包（宛宛代发）</t>
  </si>
  <si>
    <t>换汇挣钱</t>
  </si>
  <si>
    <t>金条21号*2</t>
  </si>
  <si>
    <t>蓝色书包（毛怪）</t>
  </si>
  <si>
    <t>三只小猪</t>
  </si>
  <si>
    <t>香缇卡a色（王宁</t>
  </si>
  <si>
    <t>倩碧黄油无油</t>
  </si>
  <si>
    <t>妞妈</t>
  </si>
  <si>
    <t>文</t>
  </si>
  <si>
    <t>coach包*3(暖光+ucla)</t>
  </si>
  <si>
    <t>五一礼物</t>
  </si>
  <si>
    <t>coach老花小贝壳（菊子</t>
  </si>
  <si>
    <t>coach老花小贝壳（我自己</t>
  </si>
  <si>
    <t>红石榴洗面奶</t>
  </si>
  <si>
    <t>小金条9号</t>
  </si>
  <si>
    <t>白色晚礼服</t>
  </si>
  <si>
    <t>coach的单面tote（</t>
  </si>
  <si>
    <t>鼎级</t>
  </si>
  <si>
    <t>EL暖色大礼包</t>
  </si>
  <si>
    <t>MK的gucci同款（tele</t>
  </si>
  <si>
    <t>MK的风琴</t>
  </si>
  <si>
    <t>蓝胖子</t>
  </si>
  <si>
    <t>coach女士方盒子</t>
  </si>
  <si>
    <t>coach双面tote（深褐色）</t>
  </si>
  <si>
    <t>DW粉底1N1包邮</t>
  </si>
  <si>
    <t>纪梵希散粉5号色</t>
  </si>
  <si>
    <t>金盏花水包邮</t>
  </si>
  <si>
    <t>nars口红笔+U</t>
  </si>
  <si>
    <t>黄油修容</t>
  </si>
  <si>
    <t>dior001唇膏</t>
  </si>
  <si>
    <t>Q香香水套装</t>
  </si>
  <si>
    <t>post麦片*2</t>
  </si>
  <si>
    <t>香奈儿五号，50ml</t>
  </si>
  <si>
    <t>POLO四件</t>
  </si>
  <si>
    <t>贝壳</t>
  </si>
  <si>
    <t>lady bug海南</t>
  </si>
  <si>
    <t>黄瓜水</t>
  </si>
  <si>
    <t>晓芳</t>
  </si>
  <si>
    <t>mk单面tote</t>
  </si>
  <si>
    <t>格格妈</t>
  </si>
  <si>
    <t>淡斑精华100ml*2</t>
  </si>
  <si>
    <t>意夏</t>
  </si>
  <si>
    <t>shml</t>
  </si>
  <si>
    <t>儿童液体钙镁锌*3</t>
  </si>
  <si>
    <t>方盒子</t>
  </si>
  <si>
    <t>dw粉底液2c0（薯条</t>
  </si>
  <si>
    <t>自然哲理洗面奶</t>
  </si>
  <si>
    <t>MK的蓝色老花（果果妈）</t>
  </si>
  <si>
    <t>coach的化妆包</t>
  </si>
  <si>
    <t>刘晨BG退款</t>
  </si>
  <si>
    <t>双面tote</t>
  </si>
  <si>
    <t>coach男士包</t>
  </si>
  <si>
    <t>三宅一生书包</t>
  </si>
  <si>
    <t>coach双面tote（白色）</t>
  </si>
  <si>
    <t>毒</t>
  </si>
  <si>
    <t>coach男士专柜包</t>
  </si>
  <si>
    <t>coach双肩包（水墨)</t>
  </si>
  <si>
    <t>mac口红限定色号（包邮新疆）</t>
  </si>
  <si>
    <t>MK专柜包</t>
  </si>
  <si>
    <t>MK小羊皮</t>
  </si>
  <si>
    <t>coach皮带礼盒</t>
  </si>
  <si>
    <t>MK风衣</t>
  </si>
  <si>
    <t>女性清洁液</t>
  </si>
  <si>
    <t>科颜氏乳液</t>
  </si>
  <si>
    <t>科颜氏黄瓜水</t>
  </si>
  <si>
    <t>海蓝之谜精粹水</t>
  </si>
  <si>
    <t>娇韵诗防晒霜</t>
  </si>
  <si>
    <t>海蓝之谜卸妆水</t>
  </si>
  <si>
    <t>日本身体防晒</t>
  </si>
  <si>
    <t>EL大礼包暖色</t>
  </si>
  <si>
    <t>资生堂蓝胖子</t>
  </si>
  <si>
    <t>coach男士书包</t>
  </si>
  <si>
    <t>账面成本rmb</t>
  </si>
  <si>
    <t>账面成本usd</t>
  </si>
  <si>
    <t>coach黑色双面tote</t>
  </si>
  <si>
    <t>白色维骨力*4</t>
  </si>
  <si>
    <t>冠军衣服XS</t>
  </si>
  <si>
    <t>提拉米苏</t>
  </si>
  <si>
    <t>perfume</t>
  </si>
  <si>
    <t>螃蟹树</t>
  </si>
  <si>
    <t>mr.REBATES</t>
  </si>
  <si>
    <t>saks</t>
  </si>
  <si>
    <t>gocashback</t>
  </si>
  <si>
    <t>水喝完了也不烧 自己在家也不照顾自己</t>
  </si>
  <si>
    <t>我是恰好喝完了（嘴硬）</t>
  </si>
  <si>
    <t>没事，你不照顾自己我替你照顾你</t>
  </si>
  <si>
    <t>小尼丸子</t>
  </si>
  <si>
    <t>狐狸</t>
  </si>
  <si>
    <t>丫丫</t>
  </si>
  <si>
    <t>coach白色双面tote</t>
  </si>
  <si>
    <t>lamer唇膏</t>
  </si>
  <si>
    <t>直客</t>
  </si>
  <si>
    <t>LUNA-MINI2玫红色</t>
  </si>
  <si>
    <t>科颜氏套装(ND)</t>
  </si>
  <si>
    <t>95刀智妍套装</t>
  </si>
  <si>
    <t>chloe小猪香水</t>
  </si>
  <si>
    <t>dw的1w1粉底</t>
  </si>
  <si>
    <t>兰兔子</t>
  </si>
  <si>
    <t>天山</t>
  </si>
  <si>
    <t>DW的1n0粉底</t>
  </si>
  <si>
    <t>俄</t>
  </si>
  <si>
    <t>Brand</t>
  </si>
  <si>
    <t>EL</t>
  </si>
  <si>
    <t>君</t>
  </si>
  <si>
    <t>LORD</t>
  </si>
  <si>
    <t>倩碧</t>
  </si>
  <si>
    <t>仙</t>
  </si>
  <si>
    <t>el</t>
  </si>
  <si>
    <t>BB</t>
  </si>
  <si>
    <t>75号精油</t>
  </si>
  <si>
    <t>JML</t>
  </si>
  <si>
    <t>coach黑色tote（跑单）</t>
  </si>
  <si>
    <t>全能乳</t>
  </si>
  <si>
    <t>红石榴赠品套装</t>
  </si>
  <si>
    <t>小草明</t>
  </si>
  <si>
    <t>唇膏套装</t>
  </si>
  <si>
    <t>身体乳套装</t>
  </si>
  <si>
    <t>aveeno</t>
  </si>
  <si>
    <t>lamer</t>
  </si>
  <si>
    <t>MK专柜托特包</t>
  </si>
  <si>
    <t>黑色</t>
  </si>
  <si>
    <t>Property</t>
  </si>
  <si>
    <t>coach钱包套盒</t>
  </si>
  <si>
    <t>老花</t>
  </si>
  <si>
    <t>曾</t>
  </si>
  <si>
    <t>AK</t>
  </si>
  <si>
    <t>手表</t>
  </si>
  <si>
    <t>amazon</t>
  </si>
  <si>
    <t>刘晨5月</t>
  </si>
  <si>
    <t>韩ss</t>
  </si>
  <si>
    <t>香缇卡a色</t>
  </si>
  <si>
    <t>kiehls</t>
  </si>
  <si>
    <t>lancome</t>
  </si>
  <si>
    <t>armani</t>
  </si>
  <si>
    <t>仙气</t>
  </si>
  <si>
    <t>clinique</t>
  </si>
  <si>
    <t>黄油无油+有油</t>
  </si>
  <si>
    <t>Q香套装</t>
  </si>
  <si>
    <t>YSL</t>
  </si>
  <si>
    <t>金条21</t>
  </si>
  <si>
    <t>鹤</t>
  </si>
  <si>
    <t>喵喵女侠</t>
  </si>
  <si>
    <t>PF</t>
  </si>
  <si>
    <t>大英及代</t>
  </si>
  <si>
    <t>150ml</t>
  </si>
  <si>
    <t>太阳</t>
  </si>
  <si>
    <t>mac</t>
  </si>
  <si>
    <t>dubonnet</t>
  </si>
  <si>
    <t>marr</t>
  </si>
  <si>
    <t>#6166328900402765 04709113</t>
  </si>
  <si>
    <t>ND</t>
  </si>
  <si>
    <t>cardcash</t>
  </si>
  <si>
    <t>#8024140831971600 683</t>
  </si>
  <si>
    <t>第一单</t>
  </si>
  <si>
    <t>第二单</t>
  </si>
  <si>
    <t>第三单</t>
  </si>
  <si>
    <t>$385，我账号，海蓝套装+赠品</t>
  </si>
  <si>
    <t>兰蔻粉水套</t>
  </si>
  <si>
    <t>#6164943137842860 30398659</t>
  </si>
  <si>
    <t>兰蔻粉水套（YRR.AR. #607613703,转四）</t>
  </si>
  <si>
    <t>红气垫</t>
  </si>
  <si>
    <t>2号色</t>
  </si>
  <si>
    <t>转四</t>
  </si>
  <si>
    <t>香缇卡</t>
  </si>
  <si>
    <t>a色</t>
  </si>
  <si>
    <t>#Card Number : 6021779014456314
Pin : 1676</t>
  </si>
  <si>
    <t>lord</t>
  </si>
  <si>
    <t>giftcardspread</t>
  </si>
  <si>
    <t>小棕瓶duo。149。8060账号</t>
  </si>
  <si>
    <t>小棕瓶duo。102。8060账号</t>
  </si>
  <si>
    <t>gvc</t>
  </si>
  <si>
    <t>小羊皮</t>
  </si>
  <si>
    <t>b色</t>
  </si>
  <si>
    <t>biubiu</t>
  </si>
  <si>
    <t>酵素</t>
  </si>
  <si>
    <t>神奇</t>
  </si>
  <si>
    <t>徐文虹</t>
  </si>
  <si>
    <t>VS</t>
  </si>
  <si>
    <t>dior</t>
  </si>
  <si>
    <t>999金属</t>
  </si>
  <si>
    <t>1C1,1N1</t>
  </si>
  <si>
    <t>郭宣</t>
  </si>
  <si>
    <t>女办</t>
  </si>
  <si>
    <t>咖啡因眼霜</t>
  </si>
  <si>
    <t>TO(Caffeine Solution 5% + EGCG-卖了85
SIZE 1 oz/ 30 mL•ITEM 2031409)</t>
  </si>
  <si>
    <t>eric</t>
  </si>
  <si>
    <t>光辉岁月</t>
  </si>
  <si>
    <t>GNC</t>
  </si>
  <si>
    <t>妆前乳</t>
  </si>
  <si>
    <t>美购</t>
  </si>
  <si>
    <t>红石榴</t>
  </si>
  <si>
    <t>LANCOME</t>
  </si>
  <si>
    <t>小怪兽</t>
  </si>
  <si>
    <t>反转巴黎套装</t>
  </si>
  <si>
    <t>shicff</t>
  </si>
  <si>
    <t>赠品</t>
  </si>
  <si>
    <t>小棕瓶</t>
  </si>
  <si>
    <t>50ml</t>
  </si>
  <si>
    <t>champion</t>
  </si>
  <si>
    <t>童装XL</t>
  </si>
  <si>
    <t>蓝标</t>
  </si>
  <si>
    <t>成人L</t>
  </si>
  <si>
    <t>黑色长标</t>
  </si>
  <si>
    <t>coach</t>
  </si>
  <si>
    <t>男士钱包套装</t>
  </si>
  <si>
    <t>史</t>
  </si>
  <si>
    <t>薇</t>
  </si>
  <si>
    <t>1号色</t>
  </si>
  <si>
    <t>GVC</t>
  </si>
  <si>
    <t>眼部精华</t>
  </si>
  <si>
    <t>elta</t>
  </si>
  <si>
    <t>遮瑕</t>
  </si>
  <si>
    <t>stila</t>
  </si>
  <si>
    <t>001M</t>
  </si>
  <si>
    <t>猪小小</t>
  </si>
  <si>
    <t>400ml</t>
  </si>
  <si>
    <t>clarins</t>
  </si>
  <si>
    <t>白色双面tote</t>
  </si>
  <si>
    <t>白膜</t>
  </si>
  <si>
    <t>*4</t>
  </si>
  <si>
    <t>老花小书包mini</t>
  </si>
  <si>
    <t>*2</t>
  </si>
  <si>
    <t>*1</t>
  </si>
  <si>
    <t>山茶花18</t>
  </si>
  <si>
    <t>see sheer</t>
  </si>
  <si>
    <t>水墨画贝壳</t>
  </si>
  <si>
    <t>CL</t>
  </si>
  <si>
    <t>adidas</t>
  </si>
  <si>
    <t>三宅一生抽绳包</t>
  </si>
  <si>
    <t>givenchy</t>
  </si>
  <si>
    <t>金条</t>
  </si>
  <si>
    <t>ADIDAS</t>
  </si>
  <si>
    <t>RAISE</t>
  </si>
  <si>
    <t>150+50</t>
  </si>
  <si>
    <t>new</t>
  </si>
  <si>
    <t>#6006491674261301518，4867</t>
  </si>
  <si>
    <t>#6006491674261298177，4568</t>
  </si>
  <si>
    <t>chanel</t>
  </si>
  <si>
    <t>粉邂逅香水</t>
  </si>
  <si>
    <t>lil critter</t>
  </si>
  <si>
    <t>小熊dha</t>
  </si>
  <si>
    <t>kevin</t>
  </si>
  <si>
    <t>foreo</t>
  </si>
  <si>
    <t>luna</t>
  </si>
  <si>
    <t>mini2</t>
  </si>
  <si>
    <t>开箱费</t>
  </si>
  <si>
    <t>胃药</t>
  </si>
  <si>
    <t>costco</t>
  </si>
  <si>
    <t>蓝水</t>
  </si>
  <si>
    <t>淡斑</t>
  </si>
  <si>
    <t>100ml</t>
  </si>
  <si>
    <t>顺丰</t>
  </si>
  <si>
    <t>blumercury</t>
  </si>
  <si>
    <t>ALL-HOUR</t>
  </si>
  <si>
    <t>YSL超模</t>
  </si>
  <si>
    <t>dior999亚光</t>
  </si>
  <si>
    <t>钻石高光*3</t>
  </si>
  <si>
    <t>YSL粉底</t>
  </si>
  <si>
    <t>YSL粉底*2</t>
  </si>
  <si>
    <t>YSL气垫</t>
  </si>
  <si>
    <t>鉴定费</t>
  </si>
  <si>
    <t>智妍套装*2</t>
  </si>
  <si>
    <t>变色唇膏</t>
  </si>
  <si>
    <t>missdior香水</t>
  </si>
  <si>
    <t>吃豆人tote</t>
  </si>
  <si>
    <t>洗发水</t>
  </si>
  <si>
    <t>露得清</t>
  </si>
  <si>
    <t>30ml小棕瓶</t>
  </si>
  <si>
    <t>包</t>
  </si>
  <si>
    <t>LUNA-mini2</t>
  </si>
  <si>
    <t>ddrops90</t>
  </si>
  <si>
    <t>露得清A醇</t>
  </si>
  <si>
    <t>小白瓶*4</t>
  </si>
  <si>
    <t>美妆蛋-乱七八糟形状*2</t>
  </si>
  <si>
    <t>香草膏</t>
  </si>
  <si>
    <t>智妍套装</t>
  </si>
  <si>
    <t>阳阳</t>
  </si>
  <si>
    <t>蓝光</t>
  </si>
  <si>
    <t>趣</t>
  </si>
  <si>
    <t>DW粉底</t>
  </si>
  <si>
    <t>1n1</t>
  </si>
  <si>
    <t>远驰</t>
  </si>
  <si>
    <t>Lancome</t>
  </si>
  <si>
    <t>Coach</t>
  </si>
  <si>
    <t>粉色</t>
  </si>
  <si>
    <t>专柜水桶包</t>
  </si>
  <si>
    <t>隔离A色</t>
  </si>
  <si>
    <t>sephora</t>
  </si>
  <si>
    <t>礼盒</t>
  </si>
  <si>
    <t>丝芙兰套盒</t>
  </si>
  <si>
    <t>三件套</t>
  </si>
  <si>
    <t>折腾</t>
  </si>
  <si>
    <t>disney包</t>
  </si>
  <si>
    <t>男</t>
  </si>
  <si>
    <t>便宜</t>
  </si>
  <si>
    <t>南佛小镇</t>
  </si>
  <si>
    <t>白色波士顿</t>
  </si>
  <si>
    <t>鱼子酱洗发水</t>
  </si>
  <si>
    <t>gnc</t>
  </si>
  <si>
    <t>挪威小鱼</t>
  </si>
  <si>
    <t>香水套装</t>
  </si>
  <si>
    <t>马司令</t>
  </si>
  <si>
    <t>250ml</t>
  </si>
  <si>
    <t>爆水面霜</t>
  </si>
  <si>
    <t>olay三件套白瓶</t>
  </si>
  <si>
    <t>转运中国运费去西雅图</t>
  </si>
  <si>
    <t>竹林</t>
  </si>
  <si>
    <t>衣服L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</si>
</sst>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1F1F1F"/>
      <name val="HelveticaNeueLTStd65Medium"/>
    </font>
    <font>
      <sz val="11"/>
      <color theme="7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C00000"/>
      <name val="Calibri"/>
      <family val="2"/>
      <scheme val="minor"/>
    </font>
    <font>
      <b/>
      <sz val="7"/>
      <name val="Proxima-nova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ill="1" applyAlignment="1">
      <alignment wrapText="1"/>
    </xf>
    <xf numFmtId="0" fontId="6" fillId="0" borderId="0" xfId="0" applyFont="1"/>
    <xf numFmtId="0" fontId="2" fillId="0" borderId="0" xfId="0" applyFont="1" applyFill="1"/>
    <xf numFmtId="0" fontId="0" fillId="0" borderId="0" xfId="0" applyFont="1"/>
    <xf numFmtId="0" fontId="0" fillId="3" borderId="0" xfId="0" applyFill="1"/>
    <xf numFmtId="16" fontId="0" fillId="0" borderId="0" xfId="0" applyNumberFormat="1"/>
    <xf numFmtId="0" fontId="8" fillId="0" borderId="0" xfId="0" applyFont="1"/>
    <xf numFmtId="0" fontId="8" fillId="0" borderId="0" xfId="0" applyFont="1" applyFill="1"/>
    <xf numFmtId="0" fontId="0" fillId="4" borderId="0" xfId="0" applyFill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8" fillId="2" borderId="0" xfId="0" applyFont="1" applyFill="1"/>
    <xf numFmtId="44" fontId="0" fillId="0" borderId="0" xfId="1" applyFont="1"/>
    <xf numFmtId="0" fontId="0" fillId="2" borderId="0" xfId="0" applyFont="1" applyFill="1"/>
    <xf numFmtId="0" fontId="1" fillId="0" borderId="2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A312" zoomScale="94" workbookViewId="0">
      <selection activeCell="K318" sqref="K318"/>
    </sheetView>
  </sheetViews>
  <sheetFormatPr defaultRowHeight="14.25"/>
  <cols>
    <col min="5" max="5" width="16.19921875" customWidth="1"/>
    <col min="7" max="7" width="29.1328125" customWidth="1"/>
    <col min="8" max="8" width="20.6640625" customWidth="1"/>
    <col min="9" max="9" width="27.5976562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7" t="s">
        <v>1112</v>
      </c>
      <c r="H1" s="1" t="s">
        <v>5</v>
      </c>
      <c r="I1" s="27" t="s">
        <v>1132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7" t="s">
        <v>14</v>
      </c>
    </row>
    <row r="2" spans="1:18">
      <c r="A2" s="1">
        <v>0</v>
      </c>
      <c r="B2">
        <v>2019</v>
      </c>
      <c r="C2">
        <v>7</v>
      </c>
      <c r="D2">
        <v>1</v>
      </c>
      <c r="E2" t="s">
        <v>16</v>
      </c>
      <c r="H2" t="s">
        <v>17</v>
      </c>
      <c r="K2">
        <v>1080</v>
      </c>
      <c r="L2">
        <v>175</v>
      </c>
      <c r="M2">
        <f>L2*0.7*6.8</f>
        <v>832.99999999999989</v>
      </c>
      <c r="O2" s="2">
        <f t="shared" ref="O2:O10" si="0">K2-M2+N2</f>
        <v>247.00000000000011</v>
      </c>
    </row>
    <row r="3" spans="1:18">
      <c r="A3" s="1">
        <v>1</v>
      </c>
      <c r="H3" t="s">
        <v>18</v>
      </c>
      <c r="K3">
        <v>540</v>
      </c>
      <c r="M3">
        <f>935/2</f>
        <v>467.5</v>
      </c>
      <c r="O3" s="2">
        <f t="shared" si="0"/>
        <v>72.5</v>
      </c>
    </row>
    <row r="4" spans="1:18">
      <c r="A4" s="1">
        <v>2</v>
      </c>
      <c r="H4" t="s">
        <v>19</v>
      </c>
      <c r="K4">
        <f>800*2</f>
        <v>1600</v>
      </c>
      <c r="L4">
        <v>68</v>
      </c>
      <c r="M4">
        <f>L4*2*6.8</f>
        <v>924.8</v>
      </c>
      <c r="O4" s="2">
        <f t="shared" si="0"/>
        <v>675.2</v>
      </c>
    </row>
    <row r="5" spans="1:18">
      <c r="A5" s="1">
        <v>3</v>
      </c>
      <c r="H5" t="s">
        <v>20</v>
      </c>
      <c r="K5">
        <v>735</v>
      </c>
      <c r="L5">
        <v>65</v>
      </c>
      <c r="M5">
        <f>L5*6.8</f>
        <v>442</v>
      </c>
      <c r="O5" s="2">
        <f t="shared" si="0"/>
        <v>293</v>
      </c>
    </row>
    <row r="6" spans="1:18">
      <c r="A6" s="1">
        <v>4</v>
      </c>
      <c r="H6" t="s">
        <v>21</v>
      </c>
      <c r="K6">
        <v>249</v>
      </c>
      <c r="L6">
        <v>42</v>
      </c>
      <c r="M6">
        <f>L6*0.8*6.88</f>
        <v>231.16800000000001</v>
      </c>
      <c r="O6" s="2">
        <f t="shared" si="0"/>
        <v>17.831999999999994</v>
      </c>
    </row>
    <row r="7" spans="1:18">
      <c r="A7" s="1">
        <v>5</v>
      </c>
      <c r="H7" t="s">
        <v>22</v>
      </c>
      <c r="K7">
        <f>115-8</f>
        <v>107</v>
      </c>
      <c r="M7">
        <v>92</v>
      </c>
      <c r="O7" s="2">
        <f t="shared" si="0"/>
        <v>15</v>
      </c>
    </row>
    <row r="8" spans="1:18">
      <c r="A8" s="1">
        <v>6</v>
      </c>
      <c r="H8" t="s">
        <v>23</v>
      </c>
      <c r="K8">
        <f>245-9</f>
        <v>236</v>
      </c>
      <c r="M8">
        <v>173.63</v>
      </c>
      <c r="O8" s="2">
        <f t="shared" si="0"/>
        <v>62.370000000000005</v>
      </c>
    </row>
    <row r="9" spans="1:18">
      <c r="A9" s="1">
        <v>7</v>
      </c>
      <c r="H9" s="3" t="s">
        <v>24</v>
      </c>
      <c r="K9" s="3">
        <v>118</v>
      </c>
      <c r="L9" s="3">
        <v>8</v>
      </c>
      <c r="M9" s="3">
        <f>L9*7</f>
        <v>56</v>
      </c>
      <c r="N9" s="3"/>
      <c r="O9" s="2">
        <f t="shared" si="0"/>
        <v>62</v>
      </c>
    </row>
    <row r="10" spans="1:18">
      <c r="A10" s="1">
        <v>8</v>
      </c>
      <c r="H10" s="3" t="s">
        <v>25</v>
      </c>
      <c r="K10" s="3">
        <f>180*2</f>
        <v>360</v>
      </c>
      <c r="L10" s="3"/>
      <c r="M10" s="3">
        <f>125*2+1</f>
        <v>251</v>
      </c>
      <c r="N10" s="3"/>
      <c r="O10" s="2">
        <f t="shared" si="0"/>
        <v>109</v>
      </c>
    </row>
    <row r="11" spans="1:18">
      <c r="A11" s="1">
        <v>9</v>
      </c>
    </row>
    <row r="12" spans="1:18">
      <c r="A12" s="1">
        <v>10</v>
      </c>
      <c r="C12">
        <v>7</v>
      </c>
      <c r="D12">
        <v>2</v>
      </c>
      <c r="E12" t="s">
        <v>1114</v>
      </c>
      <c r="F12" t="s">
        <v>15</v>
      </c>
      <c r="G12" t="s">
        <v>1113</v>
      </c>
      <c r="H12" t="s">
        <v>498</v>
      </c>
      <c r="K12">
        <v>385</v>
      </c>
      <c r="L12">
        <v>50</v>
      </c>
      <c r="M12">
        <f>L12*0.8*6.88</f>
        <v>275.2</v>
      </c>
      <c r="O12" s="2">
        <f t="shared" ref="O12:O24" si="1">K12-M12+N12</f>
        <v>109.80000000000001</v>
      </c>
    </row>
    <row r="13" spans="1:18">
      <c r="A13" s="1">
        <v>11</v>
      </c>
      <c r="E13" t="s">
        <v>1114</v>
      </c>
      <c r="F13" s="2" t="s">
        <v>15</v>
      </c>
      <c r="H13" s="2" t="s">
        <v>26</v>
      </c>
      <c r="K13" s="2">
        <v>355</v>
      </c>
      <c r="L13" s="2"/>
      <c r="M13" s="2">
        <v>278</v>
      </c>
      <c r="N13" s="2"/>
      <c r="O13" s="2">
        <f t="shared" si="1"/>
        <v>77</v>
      </c>
    </row>
    <row r="14" spans="1:18">
      <c r="A14" s="1">
        <v>12</v>
      </c>
      <c r="F14" t="s">
        <v>15</v>
      </c>
      <c r="H14" t="s">
        <v>27</v>
      </c>
      <c r="K14">
        <v>199</v>
      </c>
      <c r="M14">
        <f>118</f>
        <v>118</v>
      </c>
      <c r="O14" s="2">
        <f t="shared" si="1"/>
        <v>81</v>
      </c>
    </row>
    <row r="15" spans="1:18">
      <c r="A15" s="1">
        <v>13</v>
      </c>
      <c r="E15" t="s">
        <v>28</v>
      </c>
      <c r="H15" t="s">
        <v>29</v>
      </c>
      <c r="K15">
        <v>265</v>
      </c>
      <c r="M15">
        <v>161.09</v>
      </c>
      <c r="O15" s="2">
        <f t="shared" si="1"/>
        <v>103.91</v>
      </c>
    </row>
    <row r="16" spans="1:18">
      <c r="A16" s="1">
        <v>14</v>
      </c>
      <c r="F16" t="s">
        <v>30</v>
      </c>
      <c r="H16" t="s">
        <v>31</v>
      </c>
      <c r="K16">
        <v>275</v>
      </c>
      <c r="M16">
        <v>235</v>
      </c>
      <c r="O16" s="2">
        <f t="shared" si="1"/>
        <v>40</v>
      </c>
    </row>
    <row r="17" spans="1:15">
      <c r="A17" s="1">
        <v>15</v>
      </c>
      <c r="F17" t="s">
        <v>30</v>
      </c>
      <c r="H17" t="s">
        <v>31</v>
      </c>
      <c r="K17">
        <v>275</v>
      </c>
      <c r="M17">
        <f>228</f>
        <v>228</v>
      </c>
      <c r="O17" s="2">
        <f t="shared" si="1"/>
        <v>47</v>
      </c>
    </row>
    <row r="18" spans="1:15">
      <c r="A18" s="1">
        <v>16</v>
      </c>
      <c r="F18" t="s">
        <v>30</v>
      </c>
      <c r="H18" t="s">
        <v>32</v>
      </c>
      <c r="K18">
        <v>160</v>
      </c>
      <c r="L18">
        <v>26</v>
      </c>
      <c r="M18">
        <f>L18*6.88</f>
        <v>178.88</v>
      </c>
      <c r="O18" s="2">
        <f t="shared" si="1"/>
        <v>-18.879999999999995</v>
      </c>
    </row>
    <row r="19" spans="1:15">
      <c r="A19" s="1">
        <v>17</v>
      </c>
      <c r="E19" t="s">
        <v>33</v>
      </c>
      <c r="H19" t="s">
        <v>34</v>
      </c>
      <c r="J19" t="s">
        <v>35</v>
      </c>
      <c r="K19">
        <v>2980</v>
      </c>
      <c r="M19">
        <v>1900</v>
      </c>
      <c r="O19" s="2">
        <f t="shared" si="1"/>
        <v>1080</v>
      </c>
    </row>
    <row r="20" spans="1:15">
      <c r="A20" s="1">
        <v>18</v>
      </c>
      <c r="E20" t="s">
        <v>36</v>
      </c>
      <c r="F20" t="s">
        <v>37</v>
      </c>
      <c r="H20" t="s">
        <v>38</v>
      </c>
      <c r="J20" t="s">
        <v>35</v>
      </c>
      <c r="K20">
        <v>1600</v>
      </c>
      <c r="M20">
        <v>1285</v>
      </c>
      <c r="O20" s="2">
        <f t="shared" si="1"/>
        <v>315</v>
      </c>
    </row>
    <row r="21" spans="1:15">
      <c r="A21" s="1">
        <v>19</v>
      </c>
      <c r="E21" t="s">
        <v>39</v>
      </c>
      <c r="F21" t="s">
        <v>37</v>
      </c>
      <c r="H21" t="s">
        <v>40</v>
      </c>
      <c r="K21">
        <v>2750</v>
      </c>
      <c r="M21">
        <v>2400</v>
      </c>
      <c r="O21" s="2">
        <f t="shared" si="1"/>
        <v>350</v>
      </c>
    </row>
    <row r="22" spans="1:15">
      <c r="A22" s="1">
        <v>20</v>
      </c>
      <c r="E22" t="s">
        <v>39</v>
      </c>
      <c r="F22" s="4" t="s">
        <v>30</v>
      </c>
      <c r="H22" s="4" t="s">
        <v>41</v>
      </c>
      <c r="K22" s="4">
        <f>260*2+8+8</f>
        <v>536</v>
      </c>
      <c r="L22" s="4"/>
      <c r="M22" s="4">
        <f>587*0.667+8+8</f>
        <v>407.529</v>
      </c>
      <c r="N22" s="4"/>
      <c r="O22" s="5">
        <f t="shared" si="1"/>
        <v>128.471</v>
      </c>
    </row>
    <row r="23" spans="1:15">
      <c r="A23" s="1">
        <v>21</v>
      </c>
      <c r="E23" t="s">
        <v>42</v>
      </c>
      <c r="H23" t="s">
        <v>43</v>
      </c>
      <c r="K23">
        <v>259</v>
      </c>
      <c r="M23">
        <v>185</v>
      </c>
      <c r="O23" s="2">
        <f t="shared" si="1"/>
        <v>74</v>
      </c>
    </row>
    <row r="24" spans="1:15">
      <c r="A24" s="1">
        <v>22</v>
      </c>
      <c r="F24" t="s">
        <v>30</v>
      </c>
      <c r="H24" t="s">
        <v>44</v>
      </c>
      <c r="K24">
        <v>320</v>
      </c>
      <c r="L24">
        <v>50</v>
      </c>
      <c r="M24">
        <f>L24*0.8*6.8</f>
        <v>272</v>
      </c>
      <c r="O24" s="2">
        <f t="shared" si="1"/>
        <v>48</v>
      </c>
    </row>
    <row r="25" spans="1:15">
      <c r="A25" s="1">
        <v>23</v>
      </c>
      <c r="O25" s="2">
        <f t="shared" ref="O25:O35" si="2">K25-M25+N25</f>
        <v>0</v>
      </c>
    </row>
    <row r="26" spans="1:15">
      <c r="A26" s="1">
        <v>24</v>
      </c>
      <c r="C26">
        <v>7</v>
      </c>
      <c r="D26">
        <v>3</v>
      </c>
      <c r="E26" t="s">
        <v>39</v>
      </c>
      <c r="F26" t="s">
        <v>30</v>
      </c>
      <c r="H26" t="s">
        <v>94</v>
      </c>
      <c r="J26" t="s">
        <v>93</v>
      </c>
      <c r="K26">
        <v>330</v>
      </c>
      <c r="M26">
        <v>290</v>
      </c>
      <c r="O26" s="2">
        <f t="shared" si="2"/>
        <v>40</v>
      </c>
    </row>
    <row r="27" spans="1:15">
      <c r="A27" s="1">
        <v>25</v>
      </c>
      <c r="F27" t="s">
        <v>30</v>
      </c>
      <c r="H27" t="s">
        <v>40</v>
      </c>
      <c r="J27" t="s">
        <v>35</v>
      </c>
      <c r="K27">
        <v>2470</v>
      </c>
      <c r="M27">
        <v>2000</v>
      </c>
      <c r="O27" s="2">
        <f t="shared" si="2"/>
        <v>470</v>
      </c>
    </row>
    <row r="28" spans="1:15">
      <c r="A28" s="1">
        <v>26</v>
      </c>
      <c r="E28" t="s">
        <v>39</v>
      </c>
      <c r="F28" t="s">
        <v>30</v>
      </c>
      <c r="H28" t="s">
        <v>45</v>
      </c>
      <c r="J28" t="s">
        <v>87</v>
      </c>
      <c r="K28">
        <v>245</v>
      </c>
      <c r="M28">
        <v>215</v>
      </c>
      <c r="O28" s="2">
        <f t="shared" si="2"/>
        <v>30</v>
      </c>
    </row>
    <row r="29" spans="1:15">
      <c r="A29" s="1">
        <v>27</v>
      </c>
      <c r="E29" t="s">
        <v>46</v>
      </c>
      <c r="H29" t="s">
        <v>47</v>
      </c>
      <c r="K29">
        <v>835</v>
      </c>
      <c r="M29">
        <v>700</v>
      </c>
      <c r="O29" s="2">
        <f t="shared" si="2"/>
        <v>135</v>
      </c>
    </row>
    <row r="30" spans="1:15">
      <c r="A30" s="1">
        <v>28</v>
      </c>
      <c r="F30" t="s">
        <v>30</v>
      </c>
      <c r="H30" t="s">
        <v>48</v>
      </c>
      <c r="K30">
        <v>300</v>
      </c>
      <c r="M30">
        <v>280</v>
      </c>
      <c r="O30" s="2">
        <f t="shared" si="2"/>
        <v>20</v>
      </c>
    </row>
    <row r="31" spans="1:15">
      <c r="A31" s="1">
        <v>29</v>
      </c>
      <c r="E31" t="s">
        <v>49</v>
      </c>
      <c r="F31" t="s">
        <v>37</v>
      </c>
      <c r="H31" t="s">
        <v>50</v>
      </c>
      <c r="K31">
        <v>700</v>
      </c>
      <c r="M31">
        <v>600</v>
      </c>
      <c r="O31" s="2">
        <f t="shared" si="2"/>
        <v>100</v>
      </c>
    </row>
    <row r="32" spans="1:15">
      <c r="A32" s="1">
        <v>30</v>
      </c>
      <c r="E32" t="s">
        <v>49</v>
      </c>
      <c r="F32" t="s">
        <v>37</v>
      </c>
      <c r="H32" t="s">
        <v>50</v>
      </c>
      <c r="K32">
        <v>700</v>
      </c>
      <c r="M32">
        <v>600</v>
      </c>
      <c r="O32" s="2">
        <f t="shared" si="2"/>
        <v>100</v>
      </c>
    </row>
    <row r="33" spans="1:15">
      <c r="A33" s="1">
        <v>31</v>
      </c>
      <c r="F33" t="s">
        <v>30</v>
      </c>
      <c r="H33" t="s">
        <v>51</v>
      </c>
      <c r="K33">
        <v>225</v>
      </c>
      <c r="M33">
        <v>168</v>
      </c>
      <c r="O33" s="2">
        <f t="shared" si="2"/>
        <v>57</v>
      </c>
    </row>
    <row r="34" spans="1:15">
      <c r="A34" s="1">
        <v>32</v>
      </c>
      <c r="F34" t="s">
        <v>37</v>
      </c>
      <c r="H34" t="s">
        <v>52</v>
      </c>
      <c r="K34">
        <v>389</v>
      </c>
      <c r="M34">
        <f>1475/5</f>
        <v>295</v>
      </c>
      <c r="O34" s="2">
        <f t="shared" si="2"/>
        <v>94</v>
      </c>
    </row>
    <row r="35" spans="1:15">
      <c r="A35" s="1">
        <v>33</v>
      </c>
      <c r="F35" t="s">
        <v>37</v>
      </c>
      <c r="H35" t="s">
        <v>53</v>
      </c>
      <c r="K35">
        <v>133</v>
      </c>
      <c r="M35">
        <v>110</v>
      </c>
      <c r="O35" s="2">
        <f t="shared" si="2"/>
        <v>23</v>
      </c>
    </row>
    <row r="36" spans="1:15">
      <c r="A36" s="1">
        <v>34</v>
      </c>
      <c r="O36" s="2"/>
    </row>
    <row r="37" spans="1:15">
      <c r="A37" s="1">
        <v>35</v>
      </c>
      <c r="C37">
        <v>7</v>
      </c>
      <c r="D37">
        <v>4</v>
      </c>
      <c r="F37" t="s">
        <v>30</v>
      </c>
      <c r="H37" t="s">
        <v>54</v>
      </c>
      <c r="K37">
        <f>495*2</f>
        <v>990</v>
      </c>
      <c r="M37">
        <f>417.73*2</f>
        <v>835.46</v>
      </c>
      <c r="O37" s="2">
        <f t="shared" ref="O37:O49" si="3">K37-M37+N37</f>
        <v>154.53999999999996</v>
      </c>
    </row>
    <row r="38" spans="1:15">
      <c r="A38" s="1">
        <v>36</v>
      </c>
      <c r="H38" t="s">
        <v>55</v>
      </c>
      <c r="K38">
        <v>129</v>
      </c>
      <c r="L38">
        <f>7</f>
        <v>7</v>
      </c>
      <c r="M38">
        <f>L38*6.9</f>
        <v>48.300000000000004</v>
      </c>
      <c r="O38" s="2">
        <f t="shared" si="3"/>
        <v>80.699999999999989</v>
      </c>
    </row>
    <row r="39" spans="1:15">
      <c r="A39" s="1">
        <v>37</v>
      </c>
      <c r="H39" t="s">
        <v>79</v>
      </c>
      <c r="K39">
        <v>199</v>
      </c>
      <c r="M39">
        <f>108+7</f>
        <v>115</v>
      </c>
      <c r="O39" s="2">
        <f t="shared" si="3"/>
        <v>84</v>
      </c>
    </row>
    <row r="40" spans="1:15">
      <c r="A40" s="1">
        <v>38</v>
      </c>
      <c r="H40" t="s">
        <v>79</v>
      </c>
      <c r="K40">
        <v>199</v>
      </c>
      <c r="M40">
        <f>108+7</f>
        <v>115</v>
      </c>
      <c r="O40" s="2">
        <f t="shared" si="3"/>
        <v>84</v>
      </c>
    </row>
    <row r="41" spans="1:15">
      <c r="A41" s="1">
        <v>39</v>
      </c>
      <c r="H41" t="s">
        <v>56</v>
      </c>
      <c r="K41">
        <v>259</v>
      </c>
      <c r="M41">
        <v>200</v>
      </c>
      <c r="O41" s="2">
        <f t="shared" si="3"/>
        <v>59</v>
      </c>
    </row>
    <row r="42" spans="1:15">
      <c r="A42" s="1">
        <v>40</v>
      </c>
      <c r="F42" t="s">
        <v>30</v>
      </c>
      <c r="H42" t="s">
        <v>57</v>
      </c>
      <c r="K42">
        <v>245</v>
      </c>
      <c r="L42">
        <f>38</f>
        <v>38</v>
      </c>
      <c r="M42">
        <f>L42*0.8*6.88+10</f>
        <v>219.15200000000002</v>
      </c>
      <c r="O42" s="2">
        <f t="shared" si="3"/>
        <v>25.847999999999985</v>
      </c>
    </row>
    <row r="43" spans="1:15">
      <c r="A43" s="1">
        <v>41</v>
      </c>
      <c r="E43" t="s">
        <v>58</v>
      </c>
      <c r="F43" t="s">
        <v>30</v>
      </c>
      <c r="H43" t="s">
        <v>59</v>
      </c>
      <c r="K43">
        <v>190</v>
      </c>
      <c r="M43">
        <v>165</v>
      </c>
      <c r="O43" s="2">
        <f t="shared" si="3"/>
        <v>25</v>
      </c>
    </row>
    <row r="44" spans="1:15">
      <c r="A44" s="1">
        <v>42</v>
      </c>
      <c r="E44" t="s">
        <v>92</v>
      </c>
      <c r="F44" t="s">
        <v>30</v>
      </c>
      <c r="H44" t="s">
        <v>60</v>
      </c>
      <c r="J44" t="s">
        <v>35</v>
      </c>
      <c r="K44">
        <v>1000</v>
      </c>
      <c r="M44">
        <v>930</v>
      </c>
      <c r="O44" s="2">
        <f t="shared" si="3"/>
        <v>70</v>
      </c>
    </row>
    <row r="45" spans="1:15">
      <c r="A45" s="1">
        <v>43</v>
      </c>
      <c r="H45" t="s">
        <v>61</v>
      </c>
      <c r="K45">
        <v>66</v>
      </c>
      <c r="L45">
        <f>5</f>
        <v>5</v>
      </c>
      <c r="M45">
        <f>L45*6.8</f>
        <v>34</v>
      </c>
      <c r="O45" s="2">
        <f t="shared" si="3"/>
        <v>32</v>
      </c>
    </row>
    <row r="46" spans="1:15">
      <c r="A46" s="1">
        <v>44</v>
      </c>
      <c r="H46" t="s">
        <v>60</v>
      </c>
      <c r="J46" t="s">
        <v>35</v>
      </c>
      <c r="K46">
        <f>1030*2</f>
        <v>2060</v>
      </c>
      <c r="M46">
        <f>930*2</f>
        <v>1860</v>
      </c>
      <c r="O46" s="2">
        <f t="shared" si="3"/>
        <v>200</v>
      </c>
    </row>
    <row r="47" spans="1:15">
      <c r="A47" s="1">
        <v>45</v>
      </c>
      <c r="E47" t="s">
        <v>39</v>
      </c>
      <c r="F47" t="s">
        <v>37</v>
      </c>
      <c r="H47" t="s">
        <v>99</v>
      </c>
      <c r="K47">
        <v>210</v>
      </c>
      <c r="L47">
        <f>14.62</f>
        <v>14.62</v>
      </c>
      <c r="M47">
        <f>L47*1.055*6.8+6.8</f>
        <v>111.68387999999997</v>
      </c>
      <c r="O47" s="2">
        <f t="shared" si="3"/>
        <v>98.316120000000026</v>
      </c>
    </row>
    <row r="48" spans="1:15">
      <c r="A48" s="1">
        <v>46</v>
      </c>
      <c r="H48" t="s">
        <v>62</v>
      </c>
      <c r="K48">
        <v>700</v>
      </c>
      <c r="M48">
        <v>600</v>
      </c>
      <c r="O48" s="2">
        <f t="shared" si="3"/>
        <v>100</v>
      </c>
    </row>
    <row r="49" spans="1:15">
      <c r="A49" s="1">
        <v>47</v>
      </c>
      <c r="F49" t="s">
        <v>30</v>
      </c>
      <c r="H49" t="s">
        <v>63</v>
      </c>
      <c r="J49" t="s">
        <v>35</v>
      </c>
      <c r="K49">
        <v>2485</v>
      </c>
      <c r="M49">
        <v>2185</v>
      </c>
      <c r="O49" s="2">
        <f t="shared" si="3"/>
        <v>300</v>
      </c>
    </row>
    <row r="50" spans="1:15">
      <c r="A50" s="1">
        <v>48</v>
      </c>
      <c r="O50" s="2"/>
    </row>
    <row r="51" spans="1:15">
      <c r="A51" s="1">
        <v>49</v>
      </c>
      <c r="C51">
        <v>7</v>
      </c>
      <c r="D51">
        <v>5</v>
      </c>
      <c r="F51" t="s">
        <v>37</v>
      </c>
      <c r="H51" t="s">
        <v>64</v>
      </c>
      <c r="J51" t="s">
        <v>35</v>
      </c>
      <c r="K51">
        <v>1800</v>
      </c>
      <c r="M51">
        <v>1550</v>
      </c>
      <c r="O51" s="2">
        <f t="shared" ref="O51:O57" si="4">K51-M51+N51</f>
        <v>250</v>
      </c>
    </row>
    <row r="52" spans="1:15">
      <c r="A52" s="1">
        <v>50</v>
      </c>
      <c r="E52" t="s">
        <v>49</v>
      </c>
      <c r="F52" t="s">
        <v>37</v>
      </c>
      <c r="H52" t="s">
        <v>65</v>
      </c>
      <c r="J52" t="s">
        <v>35</v>
      </c>
      <c r="K52">
        <v>720</v>
      </c>
      <c r="M52">
        <v>600</v>
      </c>
      <c r="O52" s="2">
        <f t="shared" si="4"/>
        <v>120</v>
      </c>
    </row>
    <row r="53" spans="1:15">
      <c r="A53" s="1">
        <v>51</v>
      </c>
      <c r="E53" t="s">
        <v>16</v>
      </c>
      <c r="H53" t="s">
        <v>66</v>
      </c>
      <c r="J53" t="s">
        <v>67</v>
      </c>
      <c r="K53">
        <v>225</v>
      </c>
      <c r="M53">
        <v>163</v>
      </c>
      <c r="O53" s="2">
        <f>K53-M53+N53</f>
        <v>62</v>
      </c>
    </row>
    <row r="54" spans="1:15">
      <c r="A54" s="1">
        <v>52</v>
      </c>
      <c r="E54" t="s">
        <v>68</v>
      </c>
      <c r="F54" t="s">
        <v>37</v>
      </c>
      <c r="H54" t="s">
        <v>69</v>
      </c>
      <c r="K54">
        <f>75*2+10</f>
        <v>160</v>
      </c>
      <c r="M54">
        <f>1550/15</f>
        <v>103.33333333333333</v>
      </c>
      <c r="O54" s="2">
        <f t="shared" si="4"/>
        <v>56.666666666666671</v>
      </c>
    </row>
    <row r="55" spans="1:15">
      <c r="A55" s="1">
        <v>53</v>
      </c>
      <c r="F55" t="s">
        <v>30</v>
      </c>
      <c r="H55" t="s">
        <v>70</v>
      </c>
      <c r="J55" t="s">
        <v>91</v>
      </c>
      <c r="K55">
        <v>800</v>
      </c>
      <c r="M55">
        <v>688</v>
      </c>
      <c r="O55" s="2">
        <f t="shared" si="4"/>
        <v>112</v>
      </c>
    </row>
    <row r="56" spans="1:15">
      <c r="A56" s="1">
        <v>54</v>
      </c>
      <c r="E56" t="s">
        <v>71</v>
      </c>
      <c r="H56" t="s">
        <v>72</v>
      </c>
      <c r="K56">
        <v>518</v>
      </c>
      <c r="M56">
        <f>185*2+10</f>
        <v>380</v>
      </c>
      <c r="O56" s="2">
        <f>K56-M56+N56</f>
        <v>138</v>
      </c>
    </row>
    <row r="57" spans="1:15">
      <c r="A57" s="1">
        <v>55</v>
      </c>
      <c r="F57" t="s">
        <v>30</v>
      </c>
      <c r="H57" t="s">
        <v>73</v>
      </c>
      <c r="K57">
        <v>220</v>
      </c>
      <c r="M57">
        <v>220</v>
      </c>
      <c r="O57" s="2">
        <f t="shared" si="4"/>
        <v>0</v>
      </c>
    </row>
    <row r="58" spans="1:15">
      <c r="A58" s="1">
        <v>56</v>
      </c>
      <c r="O58" s="2"/>
    </row>
    <row r="59" spans="1:15">
      <c r="A59" s="1">
        <v>57</v>
      </c>
      <c r="C59">
        <v>7</v>
      </c>
      <c r="D59">
        <v>6</v>
      </c>
      <c r="F59" t="s">
        <v>30</v>
      </c>
      <c r="H59" t="s">
        <v>60</v>
      </c>
      <c r="J59" t="s">
        <v>35</v>
      </c>
      <c r="K59">
        <v>1030</v>
      </c>
      <c r="M59">
        <v>930</v>
      </c>
      <c r="O59" s="2"/>
    </row>
    <row r="60" spans="1:15">
      <c r="A60" s="1">
        <v>58</v>
      </c>
      <c r="E60" t="s">
        <v>74</v>
      </c>
      <c r="F60" t="s">
        <v>37</v>
      </c>
      <c r="H60" t="s">
        <v>75</v>
      </c>
      <c r="J60" t="s">
        <v>35</v>
      </c>
      <c r="K60">
        <v>700</v>
      </c>
      <c r="M60">
        <v>600</v>
      </c>
      <c r="O60" s="2"/>
    </row>
    <row r="61" spans="1:15">
      <c r="A61" s="1">
        <v>59</v>
      </c>
      <c r="F61" t="s">
        <v>30</v>
      </c>
      <c r="H61" t="s">
        <v>65</v>
      </c>
      <c r="J61" t="s">
        <v>35</v>
      </c>
      <c r="K61">
        <v>720</v>
      </c>
      <c r="M61">
        <v>600</v>
      </c>
      <c r="O61" s="2"/>
    </row>
    <row r="62" spans="1:15">
      <c r="A62" s="1">
        <v>60</v>
      </c>
      <c r="F62" t="s">
        <v>30</v>
      </c>
      <c r="H62" t="s">
        <v>76</v>
      </c>
      <c r="J62" t="s">
        <v>77</v>
      </c>
      <c r="K62">
        <v>195</v>
      </c>
      <c r="M62">
        <v>175</v>
      </c>
    </row>
    <row r="63" spans="1:15">
      <c r="A63" s="1">
        <v>61</v>
      </c>
      <c r="F63" t="s">
        <v>30</v>
      </c>
      <c r="H63" t="s">
        <v>78</v>
      </c>
      <c r="J63" t="s">
        <v>77</v>
      </c>
      <c r="K63">
        <v>560</v>
      </c>
      <c r="M63">
        <v>450</v>
      </c>
    </row>
    <row r="64" spans="1:15">
      <c r="A64" s="1">
        <v>62</v>
      </c>
      <c r="F64" t="s">
        <v>30</v>
      </c>
      <c r="H64" t="s">
        <v>82</v>
      </c>
      <c r="J64" t="s">
        <v>83</v>
      </c>
      <c r="K64">
        <v>705</v>
      </c>
      <c r="M64">
        <v>685</v>
      </c>
    </row>
    <row r="65" spans="1:16">
      <c r="A65" s="1">
        <v>63</v>
      </c>
      <c r="F65" t="s">
        <v>30</v>
      </c>
      <c r="H65" t="s">
        <v>80</v>
      </c>
      <c r="K65">
        <v>480</v>
      </c>
      <c r="M65">
        <v>410</v>
      </c>
    </row>
    <row r="66" spans="1:16">
      <c r="A66" s="1">
        <v>64</v>
      </c>
      <c r="F66" t="s">
        <v>30</v>
      </c>
      <c r="H66" t="s">
        <v>81</v>
      </c>
      <c r="K66">
        <v>775</v>
      </c>
      <c r="M66">
        <v>700</v>
      </c>
    </row>
    <row r="67" spans="1:16">
      <c r="A67" s="1">
        <v>65</v>
      </c>
      <c r="E67" t="s">
        <v>85</v>
      </c>
      <c r="F67" t="s">
        <v>37</v>
      </c>
      <c r="H67" t="s">
        <v>84</v>
      </c>
      <c r="K67">
        <v>240</v>
      </c>
      <c r="M67">
        <f>392/2+10</f>
        <v>206</v>
      </c>
    </row>
    <row r="68" spans="1:16">
      <c r="A68" s="1">
        <v>66</v>
      </c>
      <c r="E68" t="s">
        <v>36</v>
      </c>
      <c r="F68" t="s">
        <v>37</v>
      </c>
      <c r="H68" t="s">
        <v>63</v>
      </c>
      <c r="J68" t="s">
        <v>35</v>
      </c>
      <c r="K68">
        <v>2470</v>
      </c>
      <c r="M68">
        <v>2185</v>
      </c>
    </row>
    <row r="69" spans="1:16">
      <c r="A69" s="1">
        <v>67</v>
      </c>
      <c r="E69" t="s">
        <v>90</v>
      </c>
      <c r="F69" t="s">
        <v>30</v>
      </c>
      <c r="H69" t="s">
        <v>86</v>
      </c>
      <c r="J69" t="s">
        <v>35</v>
      </c>
      <c r="K69">
        <v>700</v>
      </c>
      <c r="M69">
        <v>600</v>
      </c>
    </row>
    <row r="70" spans="1:16">
      <c r="A70" s="1">
        <v>68</v>
      </c>
      <c r="E70" t="s">
        <v>89</v>
      </c>
      <c r="H70" t="s">
        <v>88</v>
      </c>
      <c r="J70" t="s">
        <v>87</v>
      </c>
      <c r="K70">
        <v>375</v>
      </c>
      <c r="M70">
        <v>299</v>
      </c>
    </row>
    <row r="71" spans="1:16">
      <c r="A71" s="1">
        <v>69</v>
      </c>
      <c r="F71" t="s">
        <v>30</v>
      </c>
      <c r="H71" t="s">
        <v>95</v>
      </c>
      <c r="J71" t="s">
        <v>35</v>
      </c>
      <c r="K71">
        <v>1940</v>
      </c>
      <c r="M71">
        <v>1450</v>
      </c>
    </row>
    <row r="72" spans="1:16">
      <c r="A72" s="1">
        <v>70</v>
      </c>
      <c r="E72" t="s">
        <v>74</v>
      </c>
      <c r="F72" t="s">
        <v>37</v>
      </c>
      <c r="H72" t="s">
        <v>96</v>
      </c>
      <c r="J72" t="s">
        <v>35</v>
      </c>
      <c r="K72">
        <v>640</v>
      </c>
      <c r="M72">
        <v>525</v>
      </c>
    </row>
    <row r="73" spans="1:16">
      <c r="A73" s="1">
        <v>71</v>
      </c>
      <c r="K73" s="14">
        <v>265</v>
      </c>
      <c r="M73">
        <v>240</v>
      </c>
    </row>
    <row r="74" spans="1:16">
      <c r="A74" s="1">
        <v>72</v>
      </c>
    </row>
    <row r="75" spans="1:16">
      <c r="A75" s="1">
        <v>73</v>
      </c>
      <c r="C75">
        <v>7</v>
      </c>
      <c r="D75">
        <v>7</v>
      </c>
      <c r="F75" t="s">
        <v>15</v>
      </c>
      <c r="H75" t="s">
        <v>121</v>
      </c>
      <c r="K75">
        <v>470</v>
      </c>
      <c r="M75">
        <f>375+8</f>
        <v>383</v>
      </c>
    </row>
    <row r="76" spans="1:16">
      <c r="A76" s="1">
        <v>74</v>
      </c>
      <c r="F76" t="s">
        <v>15</v>
      </c>
      <c r="H76" t="s">
        <v>120</v>
      </c>
      <c r="K76">
        <v>620</v>
      </c>
      <c r="M76">
        <v>550</v>
      </c>
    </row>
    <row r="77" spans="1:16">
      <c r="A77" s="1">
        <v>75</v>
      </c>
      <c r="F77" t="s">
        <v>15</v>
      </c>
      <c r="H77" t="s">
        <v>103</v>
      </c>
      <c r="K77">
        <v>1099</v>
      </c>
      <c r="L77">
        <v>103.6</v>
      </c>
      <c r="M77">
        <f>L77*0.985*6.8</f>
        <v>693.91279999999995</v>
      </c>
      <c r="O77" s="2">
        <f>K77-M77+N77</f>
        <v>405.08720000000005</v>
      </c>
      <c r="P77" s="2">
        <f>O77/K77</f>
        <v>0.36859617834394909</v>
      </c>
    </row>
    <row r="78" spans="1:16">
      <c r="A78" s="1">
        <v>76</v>
      </c>
      <c r="E78" t="s">
        <v>97</v>
      </c>
      <c r="F78" t="s">
        <v>37</v>
      </c>
      <c r="H78" t="s">
        <v>100</v>
      </c>
      <c r="K78">
        <v>60</v>
      </c>
      <c r="M78">
        <v>0</v>
      </c>
    </row>
    <row r="79" spans="1:16">
      <c r="A79" s="1">
        <v>77</v>
      </c>
      <c r="E79" t="s">
        <v>97</v>
      </c>
      <c r="F79" t="s">
        <v>37</v>
      </c>
      <c r="H79" t="s">
        <v>101</v>
      </c>
      <c r="K79">
        <v>99</v>
      </c>
      <c r="M79">
        <v>99</v>
      </c>
    </row>
    <row r="80" spans="1:16">
      <c r="A80" s="1">
        <v>78</v>
      </c>
      <c r="E80" t="s">
        <v>104</v>
      </c>
      <c r="F80" t="s">
        <v>30</v>
      </c>
      <c r="H80" t="s">
        <v>98</v>
      </c>
      <c r="K80">
        <f>122</f>
        <v>122</v>
      </c>
      <c r="M80">
        <v>70</v>
      </c>
    </row>
    <row r="81" spans="1:14">
      <c r="A81" s="1">
        <v>79</v>
      </c>
      <c r="E81" t="s">
        <v>104</v>
      </c>
      <c r="F81" t="s">
        <v>30</v>
      </c>
      <c r="H81" t="s">
        <v>122</v>
      </c>
      <c r="K81">
        <v>260</v>
      </c>
      <c r="M81">
        <f>210+8</f>
        <v>218</v>
      </c>
    </row>
    <row r="82" spans="1:14">
      <c r="A82" s="1">
        <v>80</v>
      </c>
      <c r="E82" t="s">
        <v>39</v>
      </c>
      <c r="F82" t="s">
        <v>30</v>
      </c>
      <c r="H82" s="11" t="s">
        <v>123</v>
      </c>
      <c r="J82" s="11"/>
      <c r="K82" s="11">
        <v>550</v>
      </c>
      <c r="L82" s="11"/>
      <c r="M82" s="11">
        <v>467.5</v>
      </c>
    </row>
    <row r="83" spans="1:14">
      <c r="A83" s="1">
        <v>81</v>
      </c>
      <c r="E83" t="s">
        <v>39</v>
      </c>
      <c r="F83" t="s">
        <v>30</v>
      </c>
      <c r="H83" s="13" t="s">
        <v>124</v>
      </c>
      <c r="J83" s="13"/>
      <c r="K83" s="13">
        <v>335</v>
      </c>
      <c r="L83" s="13">
        <v>52</v>
      </c>
      <c r="M83" s="13">
        <f>L83*0.7*6.8</f>
        <v>247.51999999999998</v>
      </c>
    </row>
    <row r="84" spans="1:14">
      <c r="A84" s="1">
        <v>82</v>
      </c>
    </row>
    <row r="85" spans="1:14">
      <c r="A85" s="1">
        <v>83</v>
      </c>
    </row>
    <row r="86" spans="1:14">
      <c r="A86" s="1">
        <v>84</v>
      </c>
      <c r="C86">
        <v>7</v>
      </c>
      <c r="D86">
        <v>8</v>
      </c>
      <c r="E86" s="17" t="s">
        <v>39</v>
      </c>
      <c r="F86" s="17" t="s">
        <v>37</v>
      </c>
      <c r="G86" s="17"/>
      <c r="H86" s="17" t="s">
        <v>102</v>
      </c>
      <c r="I86" s="17"/>
      <c r="J86" s="17"/>
      <c r="K86" s="17">
        <v>2300</v>
      </c>
      <c r="L86" s="17">
        <v>265.20999999999998</v>
      </c>
      <c r="M86" s="17">
        <f>L86*6.88</f>
        <v>1824.6447999999998</v>
      </c>
      <c r="N86" s="3"/>
    </row>
    <row r="87" spans="1:14">
      <c r="A87" s="1">
        <v>85</v>
      </c>
      <c r="E87" s="17"/>
      <c r="F87" s="17"/>
      <c r="G87" s="17"/>
      <c r="H87" s="17"/>
      <c r="I87" s="17"/>
      <c r="J87" s="17"/>
      <c r="K87" s="17"/>
      <c r="L87" s="17"/>
      <c r="M87" s="17"/>
      <c r="N87" s="3"/>
    </row>
    <row r="88" spans="1:14">
      <c r="A88" s="1">
        <v>86</v>
      </c>
      <c r="E88" s="17"/>
      <c r="F88" s="17" t="s">
        <v>30</v>
      </c>
      <c r="G88" s="17"/>
      <c r="H88" s="17" t="s">
        <v>105</v>
      </c>
      <c r="I88" s="17"/>
      <c r="J88" s="17" t="s">
        <v>106</v>
      </c>
      <c r="K88" s="17">
        <v>755</v>
      </c>
      <c r="L88" s="17"/>
      <c r="M88" s="17">
        <v>680</v>
      </c>
    </row>
    <row r="89" spans="1:14">
      <c r="A89" s="1">
        <v>87</v>
      </c>
      <c r="E89" s="17" t="s">
        <v>108</v>
      </c>
      <c r="F89" s="17" t="s">
        <v>107</v>
      </c>
      <c r="G89" s="17"/>
      <c r="H89" s="17" t="s">
        <v>109</v>
      </c>
      <c r="I89" s="17"/>
      <c r="J89" s="17" t="s">
        <v>111</v>
      </c>
      <c r="K89" s="17">
        <v>1400</v>
      </c>
      <c r="L89" s="17">
        <v>123.5</v>
      </c>
      <c r="M89" s="17">
        <f>L89*6.88</f>
        <v>849.68</v>
      </c>
    </row>
    <row r="90" spans="1:14">
      <c r="A90" s="1">
        <v>88</v>
      </c>
      <c r="E90" s="17" t="s">
        <v>108</v>
      </c>
      <c r="F90" s="17" t="s">
        <v>107</v>
      </c>
      <c r="G90" s="17"/>
      <c r="H90" s="17" t="s">
        <v>110</v>
      </c>
      <c r="I90" s="17"/>
      <c r="J90" s="17" t="s">
        <v>112</v>
      </c>
      <c r="K90" s="17">
        <v>640</v>
      </c>
      <c r="L90" s="17"/>
      <c r="M90" s="17">
        <v>533</v>
      </c>
    </row>
    <row r="91" spans="1:14">
      <c r="A91" s="1">
        <v>89</v>
      </c>
      <c r="E91" s="7" t="s">
        <v>118</v>
      </c>
      <c r="F91" s="7" t="s">
        <v>117</v>
      </c>
      <c r="H91" s="7" t="s">
        <v>113</v>
      </c>
      <c r="J91" s="7"/>
      <c r="K91" s="7">
        <f>880*2</f>
        <v>1760</v>
      </c>
      <c r="L91" s="7"/>
      <c r="M91" s="7">
        <f>120*0.85*6.88*2</f>
        <v>1403.52</v>
      </c>
    </row>
    <row r="92" spans="1:14">
      <c r="A92" s="1">
        <v>90</v>
      </c>
      <c r="E92" t="s">
        <v>118</v>
      </c>
      <c r="F92" t="s">
        <v>117</v>
      </c>
      <c r="H92" t="s">
        <v>115</v>
      </c>
      <c r="K92">
        <v>259</v>
      </c>
      <c r="M92">
        <v>185</v>
      </c>
    </row>
    <row r="93" spans="1:14">
      <c r="A93" s="1">
        <v>91</v>
      </c>
      <c r="E93" t="s">
        <v>118</v>
      </c>
      <c r="F93" t="s">
        <v>117</v>
      </c>
      <c r="H93" t="s">
        <v>116</v>
      </c>
      <c r="J93" t="s">
        <v>114</v>
      </c>
      <c r="K93">
        <v>379</v>
      </c>
      <c r="M93">
        <v>258</v>
      </c>
    </row>
    <row r="94" spans="1:14">
      <c r="A94" s="1">
        <v>92</v>
      </c>
      <c r="H94" t="s">
        <v>119</v>
      </c>
      <c r="K94">
        <v>600</v>
      </c>
      <c r="M94">
        <v>0</v>
      </c>
    </row>
    <row r="95" spans="1:14">
      <c r="A95" s="1">
        <v>93</v>
      </c>
      <c r="E95" t="s">
        <v>164</v>
      </c>
      <c r="H95" t="s">
        <v>125</v>
      </c>
      <c r="K95">
        <f>87</f>
        <v>87</v>
      </c>
      <c r="M95">
        <f>12*6.9+8</f>
        <v>90.800000000000011</v>
      </c>
    </row>
    <row r="96" spans="1:14">
      <c r="A96" s="1">
        <v>94</v>
      </c>
    </row>
    <row r="97" spans="1:13">
      <c r="A97" s="1">
        <v>95</v>
      </c>
      <c r="C97">
        <v>7</v>
      </c>
      <c r="D97">
        <v>9</v>
      </c>
      <c r="F97" t="s">
        <v>30</v>
      </c>
      <c r="H97" t="s">
        <v>126</v>
      </c>
      <c r="K97">
        <v>385</v>
      </c>
      <c r="M97">
        <f>320+10</f>
        <v>330</v>
      </c>
    </row>
    <row r="98" spans="1:13">
      <c r="A98" s="1">
        <v>96</v>
      </c>
      <c r="E98" t="s">
        <v>128</v>
      </c>
      <c r="H98" t="s">
        <v>127</v>
      </c>
      <c r="K98">
        <f>200+592</f>
        <v>792</v>
      </c>
      <c r="M98">
        <v>499</v>
      </c>
    </row>
    <row r="99" spans="1:13">
      <c r="A99" s="1">
        <v>97</v>
      </c>
      <c r="E99" t="s">
        <v>132</v>
      </c>
      <c r="F99" t="s">
        <v>37</v>
      </c>
      <c r="H99" t="s">
        <v>129</v>
      </c>
      <c r="K99">
        <v>600</v>
      </c>
      <c r="M99">
        <f>238*2</f>
        <v>476</v>
      </c>
    </row>
    <row r="100" spans="1:13">
      <c r="A100" s="1">
        <v>98</v>
      </c>
      <c r="E100" s="11" t="s">
        <v>133</v>
      </c>
      <c r="F100" s="11" t="s">
        <v>37</v>
      </c>
      <c r="H100" s="11" t="s">
        <v>130</v>
      </c>
      <c r="J100" s="11"/>
      <c r="K100" s="11">
        <v>300</v>
      </c>
      <c r="L100" s="11"/>
      <c r="M100" s="11">
        <v>200</v>
      </c>
    </row>
    <row r="101" spans="1:13">
      <c r="A101" s="1">
        <v>99</v>
      </c>
      <c r="F101" t="s">
        <v>30</v>
      </c>
      <c r="H101" t="s">
        <v>137</v>
      </c>
      <c r="J101" t="s">
        <v>136</v>
      </c>
      <c r="K101">
        <v>300</v>
      </c>
      <c r="M101">
        <f>240+8</f>
        <v>248</v>
      </c>
    </row>
    <row r="102" spans="1:13">
      <c r="A102" s="1">
        <v>100</v>
      </c>
      <c r="G102" t="s">
        <v>1113</v>
      </c>
      <c r="H102" t="s">
        <v>1206</v>
      </c>
      <c r="K102">
        <v>165</v>
      </c>
      <c r="M102">
        <v>6</v>
      </c>
    </row>
    <row r="103" spans="1:13">
      <c r="A103" s="1">
        <v>101</v>
      </c>
      <c r="C103">
        <v>7</v>
      </c>
      <c r="D103">
        <v>10</v>
      </c>
      <c r="F103" t="s">
        <v>37</v>
      </c>
      <c r="H103" t="s">
        <v>134</v>
      </c>
      <c r="K103">
        <f>70*3</f>
        <v>210</v>
      </c>
      <c r="M103">
        <f>1550/10</f>
        <v>155</v>
      </c>
    </row>
    <row r="104" spans="1:13">
      <c r="A104" s="1">
        <v>102</v>
      </c>
      <c r="F104" t="s">
        <v>37</v>
      </c>
      <c r="H104" t="s">
        <v>135</v>
      </c>
      <c r="K104">
        <f>70*2</f>
        <v>140</v>
      </c>
      <c r="M104">
        <f>1600/15</f>
        <v>106.66666666666667</v>
      </c>
    </row>
    <row r="105" spans="1:13">
      <c r="A105" s="1">
        <v>103</v>
      </c>
      <c r="F105" t="s">
        <v>37</v>
      </c>
      <c r="H105" t="s">
        <v>141</v>
      </c>
      <c r="J105" t="s">
        <v>77</v>
      </c>
      <c r="K105">
        <v>690</v>
      </c>
      <c r="M105">
        <f>635+6</f>
        <v>641</v>
      </c>
    </row>
    <row r="106" spans="1:13">
      <c r="A106" s="1">
        <v>104</v>
      </c>
      <c r="E106" t="s">
        <v>142</v>
      </c>
      <c r="H106" t="s">
        <v>143</v>
      </c>
      <c r="J106" t="s">
        <v>77</v>
      </c>
      <c r="K106">
        <f>209*3</f>
        <v>627</v>
      </c>
      <c r="M106">
        <v>465</v>
      </c>
    </row>
    <row r="107" spans="1:13">
      <c r="A107" s="1">
        <v>105</v>
      </c>
      <c r="E107" t="s">
        <v>142</v>
      </c>
      <c r="H107" t="s">
        <v>144</v>
      </c>
      <c r="K107">
        <v>135</v>
      </c>
      <c r="M107">
        <v>95</v>
      </c>
    </row>
    <row r="108" spans="1:13">
      <c r="A108" s="1">
        <v>106</v>
      </c>
      <c r="E108" s="2" t="s">
        <v>39</v>
      </c>
      <c r="F108" s="2" t="s">
        <v>37</v>
      </c>
      <c r="H108" s="2" t="s">
        <v>158</v>
      </c>
      <c r="J108" s="2"/>
      <c r="K108" s="2">
        <v>830</v>
      </c>
      <c r="L108" s="2"/>
      <c r="M108" s="2">
        <v>700</v>
      </c>
    </row>
    <row r="109" spans="1:13">
      <c r="A109" s="1">
        <v>107</v>
      </c>
      <c r="F109" t="s">
        <v>140</v>
      </c>
      <c r="H109" t="s">
        <v>134</v>
      </c>
      <c r="K109">
        <v>200</v>
      </c>
      <c r="M109">
        <f>1550/15</f>
        <v>103.33333333333333</v>
      </c>
    </row>
    <row r="110" spans="1:13">
      <c r="A110" s="1">
        <v>108</v>
      </c>
      <c r="E110" t="s">
        <v>39</v>
      </c>
      <c r="F110" t="s">
        <v>37</v>
      </c>
      <c r="H110" t="s">
        <v>149</v>
      </c>
      <c r="K110">
        <f>2.5*6.9*6</f>
        <v>103.5</v>
      </c>
      <c r="M110">
        <v>0</v>
      </c>
    </row>
    <row r="111" spans="1:13">
      <c r="A111" s="1">
        <v>109</v>
      </c>
      <c r="E111" t="s">
        <v>39</v>
      </c>
      <c r="F111" t="s">
        <v>37</v>
      </c>
      <c r="H111" t="s">
        <v>150</v>
      </c>
      <c r="K111">
        <f>8*6.9</f>
        <v>55.2</v>
      </c>
      <c r="M111">
        <v>0</v>
      </c>
    </row>
    <row r="112" spans="1:13">
      <c r="A112" s="1">
        <v>110</v>
      </c>
      <c r="E112" t="s">
        <v>39</v>
      </c>
      <c r="F112" t="s">
        <v>30</v>
      </c>
      <c r="H112" t="s">
        <v>154</v>
      </c>
      <c r="K112">
        <v>295</v>
      </c>
      <c r="M112">
        <v>260</v>
      </c>
    </row>
    <row r="113" spans="1:13">
      <c r="A113" s="1">
        <v>111</v>
      </c>
      <c r="E113" t="s">
        <v>39</v>
      </c>
      <c r="F113" t="s">
        <v>30</v>
      </c>
      <c r="H113" t="s">
        <v>155</v>
      </c>
      <c r="K113">
        <v>220</v>
      </c>
      <c r="M113">
        <v>195</v>
      </c>
    </row>
    <row r="114" spans="1:13">
      <c r="A114" s="1">
        <v>112</v>
      </c>
      <c r="E114" t="s">
        <v>39</v>
      </c>
      <c r="F114" t="s">
        <v>30</v>
      </c>
      <c r="H114" t="s">
        <v>156</v>
      </c>
      <c r="K114">
        <v>755</v>
      </c>
      <c r="M114">
        <v>700</v>
      </c>
    </row>
    <row r="115" spans="1:13">
      <c r="A115" s="1">
        <v>113</v>
      </c>
      <c r="E115" t="s">
        <v>39</v>
      </c>
      <c r="F115" t="s">
        <v>30</v>
      </c>
      <c r="H115" t="s">
        <v>157</v>
      </c>
      <c r="K115">
        <v>170</v>
      </c>
      <c r="M115">
        <v>140</v>
      </c>
    </row>
    <row r="116" spans="1:13">
      <c r="A116" s="1">
        <v>114</v>
      </c>
      <c r="E116" t="s">
        <v>142</v>
      </c>
      <c r="H116" t="s">
        <v>159</v>
      </c>
      <c r="K116">
        <f>139*2</f>
        <v>278</v>
      </c>
      <c r="M116">
        <f>95*2</f>
        <v>190</v>
      </c>
    </row>
    <row r="117" spans="1:13">
      <c r="A117" s="1">
        <v>115</v>
      </c>
    </row>
    <row r="118" spans="1:13">
      <c r="A118" s="1">
        <v>116</v>
      </c>
      <c r="C118">
        <v>7</v>
      </c>
      <c r="D118">
        <v>11</v>
      </c>
      <c r="F118" t="s">
        <v>37</v>
      </c>
      <c r="H118" t="s">
        <v>145</v>
      </c>
      <c r="K118">
        <v>210</v>
      </c>
      <c r="M118">
        <v>150</v>
      </c>
    </row>
    <row r="119" spans="1:13">
      <c r="A119" s="1">
        <v>117</v>
      </c>
      <c r="E119" t="s">
        <v>139</v>
      </c>
      <c r="H119" t="s">
        <v>167</v>
      </c>
      <c r="K119">
        <v>249</v>
      </c>
      <c r="M119">
        <v>150</v>
      </c>
    </row>
    <row r="120" spans="1:13">
      <c r="A120" s="1">
        <v>118</v>
      </c>
      <c r="E120" t="s">
        <v>147</v>
      </c>
      <c r="H120" t="s">
        <v>146</v>
      </c>
      <c r="K120">
        <v>249</v>
      </c>
      <c r="M120">
        <v>150</v>
      </c>
    </row>
    <row r="121" spans="1:13">
      <c r="A121" s="1">
        <v>119</v>
      </c>
      <c r="F121" t="s">
        <v>30</v>
      </c>
      <c r="H121" t="s">
        <v>138</v>
      </c>
      <c r="K121">
        <f>900</f>
        <v>900</v>
      </c>
      <c r="M121">
        <f>240*3+10</f>
        <v>730</v>
      </c>
    </row>
    <row r="122" spans="1:13">
      <c r="A122" s="1">
        <v>120</v>
      </c>
      <c r="E122" t="s">
        <v>148</v>
      </c>
      <c r="H122" t="s">
        <v>145</v>
      </c>
      <c r="K122">
        <v>249</v>
      </c>
      <c r="M122">
        <v>150</v>
      </c>
    </row>
    <row r="123" spans="1:13">
      <c r="A123" s="1">
        <v>121</v>
      </c>
      <c r="E123" t="s">
        <v>152</v>
      </c>
      <c r="H123" t="s">
        <v>151</v>
      </c>
      <c r="K123">
        <v>249</v>
      </c>
      <c r="M123">
        <v>150</v>
      </c>
    </row>
    <row r="124" spans="1:13">
      <c r="A124" s="1">
        <v>122</v>
      </c>
      <c r="F124" t="s">
        <v>30</v>
      </c>
      <c r="H124" t="s">
        <v>153</v>
      </c>
      <c r="K124">
        <v>695</v>
      </c>
      <c r="M124">
        <f>298*0.3*0.8*6.85*1.0775*0.985</f>
        <v>519.96197729999983</v>
      </c>
    </row>
    <row r="125" spans="1:13">
      <c r="A125" s="1">
        <v>123</v>
      </c>
      <c r="E125" t="s">
        <v>161</v>
      </c>
      <c r="F125" t="s">
        <v>160</v>
      </c>
      <c r="H125" t="s">
        <v>145</v>
      </c>
      <c r="K125">
        <v>249</v>
      </c>
      <c r="M125">
        <v>150</v>
      </c>
    </row>
    <row r="126" spans="1:13">
      <c r="A126" s="1">
        <v>124</v>
      </c>
      <c r="F126" t="s">
        <v>30</v>
      </c>
      <c r="H126" t="s">
        <v>162</v>
      </c>
      <c r="J126" t="s">
        <v>163</v>
      </c>
      <c r="K126">
        <v>540</v>
      </c>
      <c r="M126">
        <v>520</v>
      </c>
    </row>
    <row r="127" spans="1:13">
      <c r="A127" s="1">
        <v>125</v>
      </c>
      <c r="E127" t="s">
        <v>165</v>
      </c>
      <c r="H127" t="s">
        <v>151</v>
      </c>
      <c r="K127">
        <v>249</v>
      </c>
      <c r="M127">
        <v>150</v>
      </c>
    </row>
    <row r="128" spans="1:13">
      <c r="A128" s="1">
        <v>126</v>
      </c>
      <c r="E128" t="s">
        <v>68</v>
      </c>
      <c r="F128" t="s">
        <v>37</v>
      </c>
      <c r="H128" t="s">
        <v>143</v>
      </c>
      <c r="K128">
        <f>189*3+10</f>
        <v>577</v>
      </c>
      <c r="M128">
        <f>155*3+8</f>
        <v>473</v>
      </c>
    </row>
    <row r="129" spans="1:13">
      <c r="A129" s="1">
        <v>127</v>
      </c>
      <c r="E129" t="s">
        <v>39</v>
      </c>
      <c r="F129" t="s">
        <v>37</v>
      </c>
      <c r="H129" s="2" t="s">
        <v>1122</v>
      </c>
      <c r="J129" s="2"/>
      <c r="K129" s="2">
        <v>60</v>
      </c>
      <c r="L129" s="2"/>
      <c r="M129" s="2">
        <v>0</v>
      </c>
    </row>
    <row r="130" spans="1:13">
      <c r="A130" s="1">
        <v>128</v>
      </c>
      <c r="E130" t="s">
        <v>170</v>
      </c>
      <c r="H130" t="s">
        <v>166</v>
      </c>
      <c r="J130" t="s">
        <v>179</v>
      </c>
      <c r="K130">
        <v>460</v>
      </c>
      <c r="M130">
        <v>230</v>
      </c>
    </row>
    <row r="131" spans="1:13">
      <c r="A131" s="1">
        <v>129</v>
      </c>
      <c r="E131" t="s">
        <v>169</v>
      </c>
      <c r="H131" t="s">
        <v>145</v>
      </c>
      <c r="K131">
        <v>249</v>
      </c>
      <c r="M131">
        <v>150</v>
      </c>
    </row>
    <row r="132" spans="1:13">
      <c r="A132" s="1">
        <v>130</v>
      </c>
      <c r="E132" t="s">
        <v>169</v>
      </c>
      <c r="H132" t="s">
        <v>168</v>
      </c>
      <c r="K132">
        <v>259</v>
      </c>
      <c r="M132">
        <v>155</v>
      </c>
    </row>
    <row r="133" spans="1:13">
      <c r="A133" s="1">
        <v>131</v>
      </c>
      <c r="F133" t="s">
        <v>30</v>
      </c>
      <c r="G133" t="s">
        <v>1227</v>
      </c>
      <c r="H133" t="s">
        <v>442</v>
      </c>
      <c r="I133" t="s">
        <v>1208</v>
      </c>
      <c r="K133">
        <v>275</v>
      </c>
      <c r="L133">
        <v>43</v>
      </c>
      <c r="M133">
        <f>L133*0.8*6.8+7</f>
        <v>240.92</v>
      </c>
    </row>
    <row r="134" spans="1:13">
      <c r="A134" s="1">
        <v>132</v>
      </c>
      <c r="F134" t="s">
        <v>30</v>
      </c>
      <c r="G134" t="s">
        <v>1227</v>
      </c>
      <c r="H134" t="s">
        <v>442</v>
      </c>
      <c r="I134" t="s">
        <v>1208</v>
      </c>
      <c r="K134">
        <v>275</v>
      </c>
      <c r="L134">
        <v>43</v>
      </c>
      <c r="M134">
        <f t="shared" ref="M134:M135" si="5">L134*0.8*6.8+7</f>
        <v>240.92</v>
      </c>
    </row>
    <row r="135" spans="1:13">
      <c r="A135" s="1">
        <v>133</v>
      </c>
      <c r="F135" t="s">
        <v>30</v>
      </c>
      <c r="G135" t="s">
        <v>1227</v>
      </c>
      <c r="H135" t="s">
        <v>442</v>
      </c>
      <c r="I135" t="s">
        <v>1208</v>
      </c>
      <c r="K135">
        <v>275</v>
      </c>
      <c r="L135">
        <v>43</v>
      </c>
      <c r="M135">
        <f t="shared" si="5"/>
        <v>240.92</v>
      </c>
    </row>
    <row r="136" spans="1:13">
      <c r="A136" s="1">
        <v>134</v>
      </c>
    </row>
    <row r="137" spans="1:13">
      <c r="A137" s="1">
        <v>135</v>
      </c>
    </row>
    <row r="138" spans="1:13">
      <c r="A138" s="1">
        <v>136</v>
      </c>
      <c r="C138">
        <v>7</v>
      </c>
      <c r="D138">
        <v>12</v>
      </c>
      <c r="E138" t="s">
        <v>85</v>
      </c>
      <c r="F138" t="s">
        <v>37</v>
      </c>
      <c r="H138" t="s">
        <v>172</v>
      </c>
      <c r="K138">
        <f>179</f>
        <v>179</v>
      </c>
      <c r="M138">
        <f>114.24+6</f>
        <v>120.24</v>
      </c>
    </row>
    <row r="139" spans="1:13">
      <c r="A139" s="1">
        <v>137</v>
      </c>
      <c r="F139" t="s">
        <v>30</v>
      </c>
      <c r="H139" t="s">
        <v>175</v>
      </c>
      <c r="K139">
        <f>325</f>
        <v>325</v>
      </c>
      <c r="M139">
        <f>273+10</f>
        <v>283</v>
      </c>
    </row>
    <row r="140" spans="1:13">
      <c r="A140" s="1">
        <v>138</v>
      </c>
      <c r="F140" t="s">
        <v>30</v>
      </c>
      <c r="H140" t="s">
        <v>175</v>
      </c>
      <c r="K140">
        <v>277</v>
      </c>
      <c r="M140">
        <f>273</f>
        <v>273</v>
      </c>
    </row>
    <row r="141" spans="1:13">
      <c r="A141" s="1">
        <v>139</v>
      </c>
      <c r="F141" t="s">
        <v>15</v>
      </c>
      <c r="G141" t="s">
        <v>1142</v>
      </c>
      <c r="H141" t="s">
        <v>181</v>
      </c>
      <c r="K141">
        <v>255</v>
      </c>
      <c r="L141">
        <v>30</v>
      </c>
      <c r="M141">
        <f>L141*0.8*6.8</f>
        <v>163.19999999999999</v>
      </c>
    </row>
    <row r="142" spans="1:13">
      <c r="A142" s="1">
        <v>140</v>
      </c>
    </row>
    <row r="143" spans="1:13">
      <c r="A143" s="1">
        <v>141</v>
      </c>
      <c r="C143">
        <v>7</v>
      </c>
      <c r="D143">
        <v>13</v>
      </c>
      <c r="E143" t="s">
        <v>28</v>
      </c>
      <c r="H143" t="s">
        <v>145</v>
      </c>
      <c r="K143">
        <v>249</v>
      </c>
      <c r="M143">
        <v>150</v>
      </c>
    </row>
    <row r="144" spans="1:13">
      <c r="A144" s="1">
        <v>142</v>
      </c>
      <c r="F144" t="s">
        <v>30</v>
      </c>
      <c r="H144" t="s">
        <v>171</v>
      </c>
      <c r="K144">
        <v>140</v>
      </c>
      <c r="L144">
        <v>16</v>
      </c>
      <c r="M144">
        <f>L144*0.8*6.85+6</f>
        <v>93.68</v>
      </c>
    </row>
    <row r="145" spans="1:15">
      <c r="A145" s="1">
        <v>143</v>
      </c>
      <c r="F145" t="s">
        <v>30</v>
      </c>
      <c r="H145" t="s">
        <v>173</v>
      </c>
      <c r="K145">
        <v>340</v>
      </c>
      <c r="L145">
        <v>52</v>
      </c>
      <c r="M145">
        <f>L145*0.7*6.8</f>
        <v>247.51999999999998</v>
      </c>
    </row>
    <row r="146" spans="1:15">
      <c r="A146" s="1">
        <v>144</v>
      </c>
      <c r="F146" t="s">
        <v>30</v>
      </c>
      <c r="H146" t="s">
        <v>174</v>
      </c>
      <c r="K146">
        <v>215</v>
      </c>
      <c r="L146">
        <f>37</f>
        <v>37</v>
      </c>
      <c r="M146">
        <f>L146*0.8*6.8*0.95</f>
        <v>191.21599999999998</v>
      </c>
    </row>
    <row r="147" spans="1:15">
      <c r="A147" s="1">
        <v>145</v>
      </c>
      <c r="F147" t="s">
        <v>30</v>
      </c>
      <c r="H147" t="s">
        <v>174</v>
      </c>
      <c r="K147">
        <v>210</v>
      </c>
      <c r="L147">
        <f>37</f>
        <v>37</v>
      </c>
      <c r="M147">
        <f>L147*0.8*6.8*0.95+6</f>
        <v>197.21599999999998</v>
      </c>
    </row>
    <row r="148" spans="1:15">
      <c r="A148" s="1">
        <v>146</v>
      </c>
      <c r="F148" t="s">
        <v>30</v>
      </c>
      <c r="H148" t="s">
        <v>79</v>
      </c>
      <c r="K148">
        <v>128</v>
      </c>
      <c r="M148">
        <f>108+6</f>
        <v>114</v>
      </c>
    </row>
    <row r="149" spans="1:15">
      <c r="A149" s="1">
        <v>147</v>
      </c>
      <c r="F149" t="s">
        <v>30</v>
      </c>
      <c r="H149" t="s">
        <v>176</v>
      </c>
      <c r="K149">
        <v>70</v>
      </c>
      <c r="L149">
        <v>9.5</v>
      </c>
      <c r="M149">
        <f>L149*0.8*6.85+6</f>
        <v>58.06</v>
      </c>
    </row>
    <row r="150" spans="1:15">
      <c r="A150" s="1">
        <v>148</v>
      </c>
      <c r="F150" t="s">
        <v>30</v>
      </c>
      <c r="H150" t="s">
        <v>177</v>
      </c>
      <c r="K150">
        <v>455</v>
      </c>
      <c r="M150">
        <v>400</v>
      </c>
    </row>
    <row r="151" spans="1:15">
      <c r="A151" s="1">
        <v>149</v>
      </c>
      <c r="E151" t="s">
        <v>152</v>
      </c>
      <c r="H151" t="s">
        <v>178</v>
      </c>
      <c r="K151">
        <f>55+55</f>
        <v>110</v>
      </c>
      <c r="M151">
        <f>40+45</f>
        <v>85</v>
      </c>
    </row>
    <row r="152" spans="1:15">
      <c r="A152" s="1">
        <v>150</v>
      </c>
      <c r="E152" t="s">
        <v>133</v>
      </c>
      <c r="H152" t="s">
        <v>1104</v>
      </c>
      <c r="K152">
        <v>255</v>
      </c>
      <c r="M152">
        <f>10</f>
        <v>10</v>
      </c>
    </row>
    <row r="153" spans="1:15">
      <c r="A153" s="1">
        <v>151</v>
      </c>
      <c r="E153" t="s">
        <v>39</v>
      </c>
      <c r="F153" t="s">
        <v>30</v>
      </c>
      <c r="H153" t="s">
        <v>57</v>
      </c>
      <c r="K153">
        <v>235</v>
      </c>
      <c r="L153">
        <v>38</v>
      </c>
      <c r="M153">
        <f>L153*0.75*0.95*6.8</f>
        <v>184.10999999999999</v>
      </c>
    </row>
    <row r="154" spans="1:15">
      <c r="A154" s="1">
        <v>152</v>
      </c>
      <c r="F154" t="s">
        <v>30</v>
      </c>
      <c r="H154" t="s">
        <v>180</v>
      </c>
      <c r="K154">
        <v>140</v>
      </c>
      <c r="L154">
        <v>16</v>
      </c>
      <c r="M154">
        <f>L154*0.8*6.8+6</f>
        <v>93.04</v>
      </c>
      <c r="O154" s="2"/>
    </row>
    <row r="155" spans="1:15">
      <c r="A155" s="1">
        <v>153</v>
      </c>
    </row>
    <row r="156" spans="1:15">
      <c r="A156" s="1">
        <v>154</v>
      </c>
    </row>
    <row r="157" spans="1:15">
      <c r="A157" s="1">
        <v>155</v>
      </c>
      <c r="C157">
        <v>7</v>
      </c>
      <c r="D157">
        <v>14</v>
      </c>
      <c r="E157" t="s">
        <v>39</v>
      </c>
      <c r="F157" t="s">
        <v>30</v>
      </c>
      <c r="H157" t="s">
        <v>1024</v>
      </c>
      <c r="K157">
        <v>190</v>
      </c>
      <c r="M157">
        <v>165</v>
      </c>
      <c r="N157" s="2"/>
    </row>
    <row r="158" spans="1:15">
      <c r="A158" s="1">
        <v>156</v>
      </c>
      <c r="E158" t="s">
        <v>873</v>
      </c>
      <c r="F158" t="s">
        <v>30</v>
      </c>
      <c r="H158" t="s">
        <v>1081</v>
      </c>
      <c r="K158">
        <v>275</v>
      </c>
      <c r="M158">
        <f>191+6</f>
        <v>197</v>
      </c>
    </row>
    <row r="159" spans="1:15">
      <c r="A159" s="1">
        <v>157</v>
      </c>
      <c r="E159" t="s">
        <v>873</v>
      </c>
      <c r="F159" t="s">
        <v>30</v>
      </c>
      <c r="H159" t="s">
        <v>57</v>
      </c>
      <c r="K159">
        <v>245</v>
      </c>
      <c r="L159">
        <f>38</f>
        <v>38</v>
      </c>
      <c r="M159">
        <f>L159*0.8*6.88+10</f>
        <v>219.15200000000002</v>
      </c>
    </row>
    <row r="160" spans="1:15">
      <c r="A160" s="1">
        <v>158</v>
      </c>
      <c r="E160" t="s">
        <v>245</v>
      </c>
      <c r="F160" t="s">
        <v>30</v>
      </c>
      <c r="G160" t="s">
        <v>1129</v>
      </c>
      <c r="H160" t="s">
        <v>825</v>
      </c>
      <c r="I160" t="s">
        <v>1155</v>
      </c>
      <c r="K160">
        <v>800</v>
      </c>
      <c r="M160">
        <f>120*0.85*6.88</f>
        <v>701.76</v>
      </c>
    </row>
    <row r="161" spans="1:15">
      <c r="A161" s="1">
        <v>159</v>
      </c>
      <c r="E161" s="2"/>
      <c r="F161" s="2" t="s">
        <v>37</v>
      </c>
      <c r="H161" s="2" t="s">
        <v>1082</v>
      </c>
      <c r="J161" s="2"/>
      <c r="K161" s="2">
        <v>1240</v>
      </c>
      <c r="L161" s="2"/>
      <c r="M161" s="2">
        <f>130*6.88</f>
        <v>894.4</v>
      </c>
    </row>
    <row r="162" spans="1:15">
      <c r="A162" s="1">
        <v>160</v>
      </c>
      <c r="F162" t="s">
        <v>30</v>
      </c>
      <c r="H162" t="s">
        <v>942</v>
      </c>
      <c r="K162">
        <v>140</v>
      </c>
      <c r="L162">
        <v>22</v>
      </c>
      <c r="M162">
        <f>L162*0.8*6.88+6</f>
        <v>127.08800000000001</v>
      </c>
    </row>
    <row r="163" spans="1:15">
      <c r="A163" s="1">
        <v>161</v>
      </c>
      <c r="F163" t="s">
        <v>30</v>
      </c>
      <c r="G163" t="s">
        <v>1121</v>
      </c>
      <c r="H163" t="s">
        <v>52</v>
      </c>
      <c r="K163">
        <v>325</v>
      </c>
      <c r="M163">
        <f>295+1.5+6</f>
        <v>302.5</v>
      </c>
    </row>
    <row r="164" spans="1:15">
      <c r="A164" s="1">
        <v>162</v>
      </c>
      <c r="E164" s="2" t="s">
        <v>1088</v>
      </c>
      <c r="F164" s="2" t="s">
        <v>37</v>
      </c>
      <c r="G164" s="2"/>
      <c r="H164" s="2" t="s">
        <v>1085</v>
      </c>
      <c r="I164" s="2"/>
      <c r="J164" s="2"/>
      <c r="K164" s="2">
        <v>740</v>
      </c>
      <c r="L164" s="2"/>
      <c r="M164" s="2">
        <v>690</v>
      </c>
    </row>
    <row r="165" spans="1:15">
      <c r="A165" s="1">
        <v>163</v>
      </c>
      <c r="F165" t="s">
        <v>30</v>
      </c>
      <c r="H165" t="s">
        <v>1086</v>
      </c>
      <c r="K165">
        <v>690</v>
      </c>
      <c r="M165">
        <f>159*4+6</f>
        <v>642</v>
      </c>
    </row>
    <row r="166" spans="1:15">
      <c r="A166" s="1">
        <v>164</v>
      </c>
      <c r="H166" t="s">
        <v>1087</v>
      </c>
      <c r="K166">
        <v>125</v>
      </c>
      <c r="M166">
        <f>10+45+2</f>
        <v>57</v>
      </c>
      <c r="O166">
        <f>95+149</f>
        <v>244</v>
      </c>
    </row>
    <row r="167" spans="1:15">
      <c r="A167" s="1">
        <v>165</v>
      </c>
      <c r="F167" t="s">
        <v>30</v>
      </c>
      <c r="H167" t="s">
        <v>1039</v>
      </c>
      <c r="K167">
        <v>87</v>
      </c>
      <c r="M167">
        <f>6+55.04</f>
        <v>61.04</v>
      </c>
    </row>
    <row r="168" spans="1:15">
      <c r="A168" s="1">
        <v>166</v>
      </c>
      <c r="E168" t="s">
        <v>68</v>
      </c>
      <c r="F168" t="s">
        <v>37</v>
      </c>
      <c r="H168" t="s">
        <v>1087</v>
      </c>
      <c r="K168">
        <v>210</v>
      </c>
      <c r="M168">
        <f>8*2*6.8+6</f>
        <v>114.8</v>
      </c>
    </row>
    <row r="169" spans="1:15">
      <c r="A169" s="1">
        <v>167</v>
      </c>
    </row>
    <row r="170" spans="1:15">
      <c r="A170" s="1">
        <v>168</v>
      </c>
    </row>
    <row r="171" spans="1:15">
      <c r="A171" s="1">
        <v>169</v>
      </c>
      <c r="C171">
        <v>7</v>
      </c>
      <c r="D171">
        <v>15</v>
      </c>
      <c r="F171" t="s">
        <v>30</v>
      </c>
      <c r="H171" t="s">
        <v>76</v>
      </c>
      <c r="J171" t="s">
        <v>77</v>
      </c>
      <c r="K171">
        <v>195</v>
      </c>
      <c r="M171">
        <f>175+8</f>
        <v>183</v>
      </c>
    </row>
    <row r="172" spans="1:15">
      <c r="A172" s="1">
        <v>170</v>
      </c>
      <c r="E172" t="s">
        <v>1097</v>
      </c>
      <c r="F172" t="s">
        <v>30</v>
      </c>
      <c r="H172" t="s">
        <v>1105</v>
      </c>
      <c r="J172" t="s">
        <v>1098</v>
      </c>
      <c r="K172">
        <v>1280</v>
      </c>
      <c r="M172">
        <v>1210</v>
      </c>
    </row>
    <row r="173" spans="1:15">
      <c r="A173" s="1">
        <v>171</v>
      </c>
      <c r="E173" s="28" t="s">
        <v>142</v>
      </c>
      <c r="F173" s="28"/>
      <c r="G173" s="28"/>
      <c r="H173" s="28" t="s">
        <v>1103</v>
      </c>
      <c r="J173" s="28"/>
      <c r="K173" s="28">
        <v>780</v>
      </c>
      <c r="L173" s="28"/>
      <c r="M173" s="28">
        <v>526.32000000000005</v>
      </c>
    </row>
    <row r="174" spans="1:15">
      <c r="A174" s="1">
        <v>172</v>
      </c>
    </row>
    <row r="175" spans="1:15">
      <c r="A175" s="1">
        <v>173</v>
      </c>
      <c r="C175">
        <v>7</v>
      </c>
      <c r="D175">
        <v>16</v>
      </c>
      <c r="E175" t="s">
        <v>1026</v>
      </c>
      <c r="F175" t="s">
        <v>37</v>
      </c>
      <c r="H175" t="s">
        <v>1130</v>
      </c>
      <c r="I175" t="s">
        <v>1131</v>
      </c>
      <c r="J175" t="s">
        <v>1099</v>
      </c>
      <c r="K175">
        <v>600</v>
      </c>
      <c r="M175">
        <v>575</v>
      </c>
    </row>
    <row r="176" spans="1:15">
      <c r="A176" s="1">
        <v>174</v>
      </c>
      <c r="E176" t="s">
        <v>918</v>
      </c>
      <c r="F176" t="s">
        <v>37</v>
      </c>
      <c r="H176" t="s">
        <v>1133</v>
      </c>
      <c r="I176" t="s">
        <v>1134</v>
      </c>
      <c r="J176" t="s">
        <v>1135</v>
      </c>
      <c r="K176">
        <v>560</v>
      </c>
      <c r="M176">
        <v>450</v>
      </c>
    </row>
    <row r="177" spans="1:14">
      <c r="A177" s="1">
        <v>175</v>
      </c>
      <c r="E177" t="s">
        <v>748</v>
      </c>
      <c r="F177" t="s">
        <v>37</v>
      </c>
      <c r="H177" s="2" t="s">
        <v>1100</v>
      </c>
      <c r="I177" s="2"/>
      <c r="J177" s="2"/>
      <c r="K177" s="2">
        <v>790</v>
      </c>
      <c r="L177" s="2"/>
      <c r="M177" s="2">
        <v>750</v>
      </c>
    </row>
    <row r="178" spans="1:14">
      <c r="A178" s="1">
        <v>176</v>
      </c>
      <c r="F178" s="2" t="s">
        <v>1102</v>
      </c>
      <c r="G178" s="2"/>
      <c r="H178" s="2" t="s">
        <v>351</v>
      </c>
      <c r="K178">
        <v>399</v>
      </c>
      <c r="L178">
        <v>35</v>
      </c>
      <c r="M178">
        <f>L178*6.88</f>
        <v>240.79999999999998</v>
      </c>
      <c r="N178">
        <f>L178*0.115*6.88</f>
        <v>27.692000000000004</v>
      </c>
    </row>
    <row r="179" spans="1:14">
      <c r="A179" s="1">
        <v>177</v>
      </c>
      <c r="E179" t="s">
        <v>97</v>
      </c>
      <c r="F179" t="s">
        <v>30</v>
      </c>
      <c r="H179" t="s">
        <v>1101</v>
      </c>
      <c r="K179">
        <v>350</v>
      </c>
      <c r="L179">
        <v>60</v>
      </c>
      <c r="M179">
        <f>L179*0.78*6.88</f>
        <v>321.98400000000004</v>
      </c>
    </row>
    <row r="180" spans="1:14">
      <c r="A180" s="1">
        <v>178</v>
      </c>
      <c r="E180" t="s">
        <v>97</v>
      </c>
      <c r="F180" t="s">
        <v>30</v>
      </c>
      <c r="H180" t="s">
        <v>1104</v>
      </c>
      <c r="K180">
        <v>199</v>
      </c>
      <c r="M180">
        <f>75.5+10</f>
        <v>85.5</v>
      </c>
    </row>
    <row r="181" spans="1:14">
      <c r="A181" s="1">
        <v>179</v>
      </c>
      <c r="E181" t="s">
        <v>39</v>
      </c>
      <c r="F181" t="s">
        <v>30</v>
      </c>
      <c r="H181" t="s">
        <v>597</v>
      </c>
      <c r="J181" t="s">
        <v>1117</v>
      </c>
      <c r="K181">
        <v>320</v>
      </c>
      <c r="M181">
        <v>305</v>
      </c>
    </row>
    <row r="182" spans="1:14">
      <c r="A182" s="1">
        <v>180</v>
      </c>
      <c r="F182" t="s">
        <v>30</v>
      </c>
      <c r="H182" t="s">
        <v>1106</v>
      </c>
      <c r="J182" t="s">
        <v>513</v>
      </c>
      <c r="K182">
        <v>180</v>
      </c>
      <c r="M182">
        <v>145</v>
      </c>
    </row>
    <row r="183" spans="1:14">
      <c r="A183" s="1">
        <v>181</v>
      </c>
      <c r="E183" t="s">
        <v>97</v>
      </c>
      <c r="F183" t="s">
        <v>30</v>
      </c>
      <c r="H183" t="s">
        <v>1104</v>
      </c>
      <c r="K183">
        <v>199</v>
      </c>
      <c r="M183">
        <f>75.5+10</f>
        <v>85.5</v>
      </c>
    </row>
    <row r="184" spans="1:14">
      <c r="A184" s="1">
        <v>182</v>
      </c>
      <c r="E184" t="s">
        <v>97</v>
      </c>
      <c r="F184" t="s">
        <v>30</v>
      </c>
      <c r="G184" t="s">
        <v>1129</v>
      </c>
      <c r="H184" t="s">
        <v>825</v>
      </c>
      <c r="I184" t="s">
        <v>1155</v>
      </c>
      <c r="K184">
        <v>830</v>
      </c>
      <c r="M184">
        <f>120*0.85*6.88+6</f>
        <v>707.76</v>
      </c>
    </row>
    <row r="185" spans="1:14">
      <c r="A185" s="1">
        <v>183</v>
      </c>
      <c r="E185" t="s">
        <v>1108</v>
      </c>
      <c r="F185" t="s">
        <v>30</v>
      </c>
      <c r="G185" t="s">
        <v>1118</v>
      </c>
      <c r="H185" t="s">
        <v>1107</v>
      </c>
      <c r="J185" t="s">
        <v>1109</v>
      </c>
      <c r="K185">
        <v>259</v>
      </c>
      <c r="M185">
        <v>230</v>
      </c>
    </row>
    <row r="186" spans="1:14">
      <c r="A186" s="1">
        <v>184</v>
      </c>
      <c r="E186" t="s">
        <v>998</v>
      </c>
      <c r="F186" t="s">
        <v>30</v>
      </c>
      <c r="G186" t="s">
        <v>1119</v>
      </c>
      <c r="H186" t="s">
        <v>1120</v>
      </c>
      <c r="K186">
        <v>285</v>
      </c>
      <c r="M186">
        <f>6+239.7</f>
        <v>245.7</v>
      </c>
    </row>
    <row r="187" spans="1:14">
      <c r="A187" s="1">
        <v>185</v>
      </c>
      <c r="E187" t="s">
        <v>1111</v>
      </c>
      <c r="F187" t="s">
        <v>30</v>
      </c>
      <c r="G187" t="s">
        <v>1118</v>
      </c>
      <c r="H187" t="s">
        <v>1110</v>
      </c>
      <c r="K187">
        <f>238*2</f>
        <v>476</v>
      </c>
      <c r="M187">
        <f>12+173.63*2</f>
        <v>359.26</v>
      </c>
    </row>
    <row r="188" spans="1:14">
      <c r="A188" s="1">
        <v>186</v>
      </c>
    </row>
    <row r="189" spans="1:14">
      <c r="A189" s="1">
        <v>187</v>
      </c>
    </row>
    <row r="190" spans="1:14">
      <c r="A190" s="1">
        <v>188</v>
      </c>
      <c r="C190">
        <v>7</v>
      </c>
      <c r="D190">
        <v>17</v>
      </c>
      <c r="E190" t="s">
        <v>97</v>
      </c>
      <c r="F190" t="s">
        <v>30</v>
      </c>
      <c r="H190" t="s">
        <v>1101</v>
      </c>
      <c r="K190">
        <v>345</v>
      </c>
      <c r="L190">
        <v>60</v>
      </c>
      <c r="M190">
        <f>L190*0.78*6.88</f>
        <v>321.98400000000004</v>
      </c>
    </row>
    <row r="191" spans="1:14">
      <c r="A191" s="1">
        <v>189</v>
      </c>
      <c r="F191" t="s">
        <v>30</v>
      </c>
      <c r="G191" t="s">
        <v>1113</v>
      </c>
      <c r="H191" t="s">
        <v>1123</v>
      </c>
      <c r="K191">
        <v>430</v>
      </c>
      <c r="M191">
        <v>370</v>
      </c>
    </row>
    <row r="192" spans="1:14">
      <c r="A192" s="1">
        <v>190</v>
      </c>
      <c r="F192" t="s">
        <v>30</v>
      </c>
      <c r="G192" t="s">
        <v>325</v>
      </c>
      <c r="H192" t="s">
        <v>1126</v>
      </c>
      <c r="K192">
        <v>225</v>
      </c>
      <c r="M192">
        <f>25*0.8*6.88</f>
        <v>137.6</v>
      </c>
    </row>
    <row r="193" spans="1:18">
      <c r="A193" s="1">
        <v>191</v>
      </c>
    </row>
    <row r="194" spans="1:18">
      <c r="A194" s="1">
        <v>192</v>
      </c>
      <c r="C194">
        <v>7</v>
      </c>
      <c r="D194">
        <v>18</v>
      </c>
      <c r="E194" t="s">
        <v>1125</v>
      </c>
      <c r="F194" t="s">
        <v>37</v>
      </c>
      <c r="G194" t="s">
        <v>1113</v>
      </c>
      <c r="H194" t="s">
        <v>1124</v>
      </c>
      <c r="K194">
        <v>315</v>
      </c>
      <c r="M194">
        <v>8</v>
      </c>
    </row>
    <row r="195" spans="1:18">
      <c r="A195" s="1">
        <v>193</v>
      </c>
      <c r="F195" t="s">
        <v>30</v>
      </c>
      <c r="G195" t="s">
        <v>1144</v>
      </c>
      <c r="H195" t="s">
        <v>57</v>
      </c>
      <c r="K195">
        <v>232</v>
      </c>
      <c r="L195">
        <v>38</v>
      </c>
      <c r="M195">
        <f>L195*0.8*6.8</f>
        <v>206.72</v>
      </c>
      <c r="R195" t="s">
        <v>1139</v>
      </c>
    </row>
    <row r="196" spans="1:18">
      <c r="A196" s="1">
        <v>194</v>
      </c>
      <c r="E196" t="s">
        <v>133</v>
      </c>
      <c r="F196" t="s">
        <v>37</v>
      </c>
      <c r="G196" t="s">
        <v>1128</v>
      </c>
      <c r="H196" t="s">
        <v>1127</v>
      </c>
      <c r="K196">
        <v>245</v>
      </c>
      <c r="M196">
        <v>200</v>
      </c>
    </row>
    <row r="197" spans="1:18">
      <c r="A197" s="1">
        <v>195</v>
      </c>
      <c r="F197" t="s">
        <v>30</v>
      </c>
      <c r="G197" t="s">
        <v>1136</v>
      </c>
      <c r="H197" t="s">
        <v>1137</v>
      </c>
      <c r="J197" t="s">
        <v>1138</v>
      </c>
      <c r="K197">
        <v>363</v>
      </c>
      <c r="L197">
        <f>44.99-4.5</f>
        <v>40.49</v>
      </c>
      <c r="M197">
        <f>L197*6.88*0.985</f>
        <v>274.39263200000005</v>
      </c>
    </row>
    <row r="198" spans="1:18">
      <c r="A198" s="1">
        <v>196</v>
      </c>
      <c r="E198" t="s">
        <v>39</v>
      </c>
      <c r="F198" t="s">
        <v>30</v>
      </c>
      <c r="G198" t="s">
        <v>1119</v>
      </c>
      <c r="H198" t="s">
        <v>1120</v>
      </c>
      <c r="K198">
        <v>270</v>
      </c>
      <c r="L198">
        <v>35.25</v>
      </c>
      <c r="M198">
        <f>L198*6.8</f>
        <v>239.7</v>
      </c>
    </row>
    <row r="199" spans="1:18">
      <c r="A199" s="1">
        <v>197</v>
      </c>
      <c r="E199" t="s">
        <v>142</v>
      </c>
      <c r="G199" t="s">
        <v>1143</v>
      </c>
      <c r="H199" t="s">
        <v>566</v>
      </c>
      <c r="K199">
        <v>359</v>
      </c>
      <c r="M199">
        <v>247.52</v>
      </c>
    </row>
    <row r="200" spans="1:18">
      <c r="A200" s="1">
        <v>198</v>
      </c>
      <c r="E200" t="s">
        <v>1140</v>
      </c>
      <c r="F200" t="s">
        <v>30</v>
      </c>
      <c r="G200" t="s">
        <v>455</v>
      </c>
      <c r="H200" t="s">
        <v>155</v>
      </c>
      <c r="K200">
        <v>245</v>
      </c>
      <c r="M200">
        <f>195+6</f>
        <v>201</v>
      </c>
    </row>
    <row r="201" spans="1:18">
      <c r="A201" s="1">
        <v>199</v>
      </c>
      <c r="E201" t="s">
        <v>216</v>
      </c>
      <c r="G201" t="s">
        <v>1142</v>
      </c>
      <c r="H201" t="s">
        <v>451</v>
      </c>
      <c r="K201">
        <v>299</v>
      </c>
      <c r="M201">
        <f>38*0.8*6.88</f>
        <v>209.15200000000002</v>
      </c>
    </row>
    <row r="202" spans="1:18">
      <c r="A202" s="1">
        <v>200</v>
      </c>
      <c r="E202" t="s">
        <v>216</v>
      </c>
      <c r="H202" t="s">
        <v>115</v>
      </c>
      <c r="K202">
        <v>259</v>
      </c>
      <c r="M202">
        <v>185</v>
      </c>
    </row>
    <row r="203" spans="1:18">
      <c r="A203" s="1">
        <v>201</v>
      </c>
      <c r="E203" t="s">
        <v>1140</v>
      </c>
      <c r="F203" t="s">
        <v>30</v>
      </c>
      <c r="H203" t="s">
        <v>1141</v>
      </c>
      <c r="K203">
        <f>475+475-15</f>
        <v>935</v>
      </c>
      <c r="M203">
        <f>417.73*2</f>
        <v>835.46</v>
      </c>
    </row>
    <row r="204" spans="1:18">
      <c r="A204" s="1">
        <v>202</v>
      </c>
      <c r="F204" t="s">
        <v>30</v>
      </c>
      <c r="G204" t="s">
        <v>1149</v>
      </c>
      <c r="H204" t="s">
        <v>1148</v>
      </c>
      <c r="J204" t="s">
        <v>1145</v>
      </c>
      <c r="K204">
        <v>260</v>
      </c>
      <c r="M204">
        <v>230</v>
      </c>
    </row>
    <row r="205" spans="1:18">
      <c r="A205" s="1">
        <v>203</v>
      </c>
      <c r="F205" t="s">
        <v>30</v>
      </c>
      <c r="G205" t="s">
        <v>1146</v>
      </c>
      <c r="H205" t="s">
        <v>1147</v>
      </c>
      <c r="K205">
        <v>320</v>
      </c>
      <c r="M205">
        <f>114.24*2+6</f>
        <v>234.48</v>
      </c>
    </row>
    <row r="206" spans="1:18">
      <c r="A206" s="1">
        <v>204</v>
      </c>
      <c r="E206" t="s">
        <v>30</v>
      </c>
      <c r="F206" t="s">
        <v>37</v>
      </c>
      <c r="G206" t="s">
        <v>1149</v>
      </c>
      <c r="H206" t="s">
        <v>1150</v>
      </c>
      <c r="K206">
        <v>245</v>
      </c>
      <c r="M206">
        <f>39*0.8*6.8</f>
        <v>212.16000000000003</v>
      </c>
    </row>
    <row r="207" spans="1:18">
      <c r="A207" s="1">
        <v>205</v>
      </c>
      <c r="E207" t="s">
        <v>998</v>
      </c>
      <c r="F207" t="s">
        <v>30</v>
      </c>
      <c r="G207" t="s">
        <v>1144</v>
      </c>
      <c r="H207">
        <v>405</v>
      </c>
      <c r="K207">
        <v>240</v>
      </c>
      <c r="M207">
        <v>219</v>
      </c>
    </row>
    <row r="208" spans="1:18">
      <c r="A208" s="1">
        <v>206</v>
      </c>
      <c r="E208" t="s">
        <v>998</v>
      </c>
      <c r="F208" t="s">
        <v>30</v>
      </c>
      <c r="G208" t="s">
        <v>1118</v>
      </c>
      <c r="H208" t="s">
        <v>892</v>
      </c>
      <c r="J208" t="s">
        <v>1152</v>
      </c>
      <c r="K208">
        <v>259</v>
      </c>
      <c r="M208">
        <v>230</v>
      </c>
    </row>
    <row r="209" spans="1:14">
      <c r="A209" s="1">
        <v>207</v>
      </c>
      <c r="E209" t="s">
        <v>1151</v>
      </c>
      <c r="G209" t="s">
        <v>1149</v>
      </c>
      <c r="H209" t="s">
        <v>1204</v>
      </c>
      <c r="K209">
        <v>520</v>
      </c>
      <c r="M209">
        <v>390</v>
      </c>
    </row>
    <row r="210" spans="1:14">
      <c r="A210" s="1">
        <v>208</v>
      </c>
      <c r="E210" t="s">
        <v>998</v>
      </c>
      <c r="F210" t="s">
        <v>30</v>
      </c>
      <c r="G210" t="s">
        <v>1144</v>
      </c>
      <c r="H210">
        <v>405</v>
      </c>
      <c r="K210">
        <v>240</v>
      </c>
      <c r="M210">
        <v>219</v>
      </c>
    </row>
    <row r="211" spans="1:14">
      <c r="A211" s="1">
        <v>209</v>
      </c>
      <c r="E211" t="s">
        <v>1154</v>
      </c>
      <c r="F211" t="s">
        <v>30</v>
      </c>
      <c r="G211" t="s">
        <v>1153</v>
      </c>
      <c r="H211" t="s">
        <v>1039</v>
      </c>
      <c r="K211">
        <v>75</v>
      </c>
      <c r="M211">
        <v>61.04</v>
      </c>
    </row>
    <row r="212" spans="1:14">
      <c r="A212" s="1">
        <v>210</v>
      </c>
      <c r="E212" t="s">
        <v>1156</v>
      </c>
      <c r="F212" t="s">
        <v>30</v>
      </c>
      <c r="G212" t="s">
        <v>1157</v>
      </c>
      <c r="H212" t="s">
        <v>1158</v>
      </c>
      <c r="K212">
        <v>118</v>
      </c>
      <c r="M212">
        <f>95+12</f>
        <v>107</v>
      </c>
    </row>
    <row r="213" spans="1:14">
      <c r="A213" s="1">
        <v>211</v>
      </c>
    </row>
    <row r="214" spans="1:14">
      <c r="A214" s="1">
        <v>212</v>
      </c>
      <c r="C214">
        <v>7</v>
      </c>
      <c r="D214">
        <v>19</v>
      </c>
      <c r="F214" t="s">
        <v>30</v>
      </c>
      <c r="G214" t="s">
        <v>1157</v>
      </c>
      <c r="H214" t="s">
        <v>1159</v>
      </c>
      <c r="K214">
        <v>125</v>
      </c>
      <c r="M214">
        <f>6+95</f>
        <v>101</v>
      </c>
    </row>
    <row r="215" spans="1:14">
      <c r="A215" s="1">
        <v>213</v>
      </c>
      <c r="F215" t="s">
        <v>30</v>
      </c>
      <c r="G215" t="s">
        <v>1144</v>
      </c>
      <c r="H215">
        <v>405</v>
      </c>
      <c r="K215">
        <v>240</v>
      </c>
      <c r="M215">
        <v>219</v>
      </c>
    </row>
    <row r="216" spans="1:14">
      <c r="A216" s="1">
        <v>214</v>
      </c>
      <c r="F216" t="s">
        <v>30</v>
      </c>
      <c r="G216" t="s">
        <v>403</v>
      </c>
      <c r="H216" t="s">
        <v>611</v>
      </c>
      <c r="K216">
        <v>620</v>
      </c>
      <c r="M216">
        <f>575+6</f>
        <v>581</v>
      </c>
    </row>
    <row r="217" spans="1:14">
      <c r="A217" s="1">
        <v>215</v>
      </c>
      <c r="F217" t="s">
        <v>30</v>
      </c>
      <c r="G217" t="s">
        <v>1144</v>
      </c>
      <c r="H217" t="s">
        <v>1171</v>
      </c>
      <c r="I217" t="s">
        <v>1172</v>
      </c>
      <c r="K217">
        <v>440</v>
      </c>
      <c r="M217">
        <v>377</v>
      </c>
    </row>
    <row r="218" spans="1:14">
      <c r="A218" s="1">
        <v>216</v>
      </c>
      <c r="H218" t="s">
        <v>1173</v>
      </c>
      <c r="K218">
        <v>-300</v>
      </c>
    </row>
    <row r="219" spans="1:14">
      <c r="A219" s="1">
        <v>217</v>
      </c>
      <c r="F219" t="s">
        <v>30</v>
      </c>
      <c r="G219" t="s">
        <v>1174</v>
      </c>
      <c r="H219" t="s">
        <v>620</v>
      </c>
      <c r="I219" t="s">
        <v>1175</v>
      </c>
      <c r="K219">
        <v>475</v>
      </c>
      <c r="M219">
        <v>391.8</v>
      </c>
    </row>
    <row r="220" spans="1:14">
      <c r="A220" s="1">
        <v>218</v>
      </c>
      <c r="E220" t="s">
        <v>1184</v>
      </c>
      <c r="F220" t="s">
        <v>37</v>
      </c>
      <c r="G220" t="s">
        <v>1181</v>
      </c>
      <c r="H220" t="s">
        <v>1182</v>
      </c>
      <c r="I220">
        <v>307</v>
      </c>
      <c r="J220" t="s">
        <v>91</v>
      </c>
      <c r="K220">
        <v>225</v>
      </c>
      <c r="M220">
        <v>188</v>
      </c>
    </row>
    <row r="221" spans="1:14">
      <c r="A221" s="1">
        <v>219</v>
      </c>
      <c r="E221" t="s">
        <v>1193</v>
      </c>
      <c r="F221" t="s">
        <v>30</v>
      </c>
      <c r="G221" t="s">
        <v>1174</v>
      </c>
      <c r="H221" t="s">
        <v>620</v>
      </c>
      <c r="I221" t="s">
        <v>1183</v>
      </c>
      <c r="K221">
        <v>460</v>
      </c>
      <c r="M221">
        <v>381</v>
      </c>
    </row>
    <row r="222" spans="1:14">
      <c r="A222" s="1">
        <v>220</v>
      </c>
      <c r="E222" t="s">
        <v>1184</v>
      </c>
      <c r="F222" t="s">
        <v>37</v>
      </c>
      <c r="H222" t="s">
        <v>1185</v>
      </c>
      <c r="K222">
        <v>220</v>
      </c>
      <c r="M222">
        <v>190</v>
      </c>
    </row>
    <row r="223" spans="1:14">
      <c r="A223" s="1">
        <v>221</v>
      </c>
      <c r="E223" t="s">
        <v>1186</v>
      </c>
      <c r="F223" t="s">
        <v>30</v>
      </c>
      <c r="G223" t="s">
        <v>1161</v>
      </c>
      <c r="H223" t="s">
        <v>670</v>
      </c>
      <c r="K223">
        <v>5244</v>
      </c>
      <c r="L223">
        <f>800*0.925*0.99</f>
        <v>732.6</v>
      </c>
      <c r="M223">
        <f>L223*6.88</f>
        <v>5040.2880000000005</v>
      </c>
      <c r="N223">
        <f>800*(1-0.075)*0.01*6.88</f>
        <v>50.911999999999999</v>
      </c>
    </row>
    <row r="224" spans="1:14">
      <c r="A224" s="1">
        <v>222</v>
      </c>
      <c r="E224" t="s">
        <v>1187</v>
      </c>
      <c r="F224" t="s">
        <v>30</v>
      </c>
      <c r="G224" t="s">
        <v>1188</v>
      </c>
      <c r="H224" t="s">
        <v>925</v>
      </c>
      <c r="K224">
        <v>128</v>
      </c>
      <c r="M224">
        <v>108</v>
      </c>
    </row>
    <row r="225" spans="1:13">
      <c r="A225" s="1">
        <v>223</v>
      </c>
      <c r="E225" t="s">
        <v>1187</v>
      </c>
      <c r="F225" t="s">
        <v>30</v>
      </c>
      <c r="G225" t="s">
        <v>1149</v>
      </c>
      <c r="H225" t="s">
        <v>1150</v>
      </c>
      <c r="K225">
        <f>255-18</f>
        <v>237</v>
      </c>
      <c r="M225">
        <f>39*0.8*6.8</f>
        <v>212.16000000000003</v>
      </c>
    </row>
    <row r="226" spans="1:13">
      <c r="A226" s="1">
        <v>224</v>
      </c>
      <c r="E226" t="s">
        <v>1187</v>
      </c>
      <c r="F226" t="s">
        <v>30</v>
      </c>
      <c r="H226" t="s">
        <v>1047</v>
      </c>
      <c r="K226">
        <v>130</v>
      </c>
      <c r="M226">
        <f>70+7</f>
        <v>77</v>
      </c>
    </row>
    <row r="227" spans="1:13">
      <c r="A227" s="1">
        <v>225</v>
      </c>
      <c r="E227" t="s">
        <v>1187</v>
      </c>
      <c r="F227" t="s">
        <v>30</v>
      </c>
      <c r="G227" t="s">
        <v>1189</v>
      </c>
      <c r="H227" t="s">
        <v>1190</v>
      </c>
      <c r="K227">
        <v>215</v>
      </c>
      <c r="M227">
        <f>180+6</f>
        <v>186</v>
      </c>
    </row>
    <row r="228" spans="1:13">
      <c r="A228" s="1">
        <v>226</v>
      </c>
      <c r="E228" t="s">
        <v>1192</v>
      </c>
      <c r="F228" t="s">
        <v>30</v>
      </c>
      <c r="G228" t="s">
        <v>1113</v>
      </c>
      <c r="H228" t="s">
        <v>498</v>
      </c>
      <c r="I228" t="s">
        <v>1191</v>
      </c>
      <c r="K228">
        <f>640</f>
        <v>640</v>
      </c>
      <c r="L228">
        <v>50</v>
      </c>
      <c r="M228">
        <f>L228*0.8*2*6.8</f>
        <v>544</v>
      </c>
    </row>
    <row r="229" spans="1:13">
      <c r="A229" s="1">
        <v>227</v>
      </c>
      <c r="E229" t="s">
        <v>1192</v>
      </c>
      <c r="G229" t="s">
        <v>191</v>
      </c>
      <c r="H229" t="s">
        <v>1194</v>
      </c>
      <c r="K229">
        <v>85</v>
      </c>
      <c r="L229">
        <f>6.7</f>
        <v>6.7</v>
      </c>
      <c r="M229">
        <f>L229*0.93*6.88</f>
        <v>42.869280000000003</v>
      </c>
    </row>
    <row r="230" spans="1:13">
      <c r="A230" s="1">
        <v>228</v>
      </c>
      <c r="E230" t="s">
        <v>1196</v>
      </c>
      <c r="F230" t="s">
        <v>30</v>
      </c>
      <c r="G230" t="s">
        <v>1144</v>
      </c>
      <c r="H230" t="s">
        <v>1171</v>
      </c>
      <c r="I230" t="s">
        <v>1172</v>
      </c>
      <c r="J230" t="s">
        <v>1197</v>
      </c>
      <c r="K230">
        <v>875</v>
      </c>
      <c r="M230">
        <f>360*2+8</f>
        <v>728</v>
      </c>
    </row>
    <row r="231" spans="1:13">
      <c r="A231" s="1">
        <v>229</v>
      </c>
      <c r="F231" t="s">
        <v>30</v>
      </c>
      <c r="G231" t="s">
        <v>1198</v>
      </c>
      <c r="H231" t="s">
        <v>769</v>
      </c>
      <c r="K231">
        <v>95</v>
      </c>
      <c r="L231">
        <v>7.2</v>
      </c>
      <c r="M231">
        <f>L231*6.8*0.94+6</f>
        <v>52.022399999999998</v>
      </c>
    </row>
    <row r="232" spans="1:13">
      <c r="A232" s="1">
        <v>230</v>
      </c>
      <c r="E232" t="s">
        <v>39</v>
      </c>
      <c r="F232" t="s">
        <v>30</v>
      </c>
      <c r="H232" t="s">
        <v>566</v>
      </c>
      <c r="I232" t="s">
        <v>1226</v>
      </c>
      <c r="K232">
        <v>325</v>
      </c>
      <c r="M232">
        <f>247</f>
        <v>247</v>
      </c>
    </row>
    <row r="233" spans="1:13">
      <c r="A233" s="1">
        <v>231</v>
      </c>
    </row>
    <row r="234" spans="1:13">
      <c r="A234" s="1">
        <v>232</v>
      </c>
      <c r="C234">
        <v>7</v>
      </c>
      <c r="D234">
        <v>20</v>
      </c>
      <c r="F234" t="s">
        <v>30</v>
      </c>
      <c r="G234" t="s">
        <v>1149</v>
      </c>
      <c r="H234" t="s">
        <v>1199</v>
      </c>
      <c r="K234">
        <v>307</v>
      </c>
      <c r="M234">
        <v>260</v>
      </c>
    </row>
    <row r="235" spans="1:13">
      <c r="A235" s="1">
        <v>233</v>
      </c>
      <c r="F235" t="s">
        <v>30</v>
      </c>
      <c r="G235" t="s">
        <v>1174</v>
      </c>
      <c r="H235" t="s">
        <v>620</v>
      </c>
      <c r="I235" t="s">
        <v>1175</v>
      </c>
      <c r="K235">
        <v>490</v>
      </c>
      <c r="M235">
        <v>392</v>
      </c>
    </row>
    <row r="236" spans="1:13">
      <c r="A236" s="1">
        <v>234</v>
      </c>
      <c r="F236" t="s">
        <v>37</v>
      </c>
      <c r="H236" t="s">
        <v>539</v>
      </c>
      <c r="I236" t="s">
        <v>1200</v>
      </c>
      <c r="K236">
        <v>255</v>
      </c>
      <c r="M236">
        <f>85*2</f>
        <v>170</v>
      </c>
    </row>
    <row r="237" spans="1:13">
      <c r="A237" s="1">
        <v>235</v>
      </c>
      <c r="F237" t="s">
        <v>30</v>
      </c>
      <c r="H237" t="s">
        <v>1201</v>
      </c>
      <c r="K237">
        <v>390</v>
      </c>
      <c r="M237">
        <f>165*2+8</f>
        <v>338</v>
      </c>
    </row>
    <row r="238" spans="1:13">
      <c r="A238" s="1">
        <v>236</v>
      </c>
      <c r="E238" t="s">
        <v>873</v>
      </c>
      <c r="F238" t="s">
        <v>30</v>
      </c>
      <c r="G238" t="s">
        <v>1202</v>
      </c>
      <c r="H238" t="s">
        <v>566</v>
      </c>
      <c r="I238" t="s">
        <v>1226</v>
      </c>
      <c r="K238">
        <v>330</v>
      </c>
      <c r="M238">
        <f>247+6</f>
        <v>253</v>
      </c>
    </row>
    <row r="239" spans="1:13">
      <c r="A239" s="1">
        <v>237</v>
      </c>
    </row>
    <row r="240" spans="1:13">
      <c r="A240" s="1">
        <v>238</v>
      </c>
      <c r="C240">
        <v>7</v>
      </c>
      <c r="D240">
        <v>20</v>
      </c>
      <c r="E240" t="s">
        <v>952</v>
      </c>
      <c r="F240" t="s">
        <v>30</v>
      </c>
      <c r="G240" t="s">
        <v>1205</v>
      </c>
      <c r="H240" t="s">
        <v>334</v>
      </c>
      <c r="I240" t="s">
        <v>874</v>
      </c>
      <c r="K240">
        <v>290</v>
      </c>
      <c r="M240">
        <v>172</v>
      </c>
    </row>
    <row r="241" spans="1:13">
      <c r="A241" s="1">
        <v>239</v>
      </c>
      <c r="E241" t="s">
        <v>1203</v>
      </c>
      <c r="G241" t="s">
        <v>1149</v>
      </c>
      <c r="H241" t="s">
        <v>1204</v>
      </c>
      <c r="K241">
        <v>520</v>
      </c>
      <c r="M241">
        <v>390</v>
      </c>
    </row>
    <row r="242" spans="1:13">
      <c r="A242" s="1">
        <v>240</v>
      </c>
      <c r="E242" t="s">
        <v>1216</v>
      </c>
      <c r="G242" t="s">
        <v>1174</v>
      </c>
      <c r="H242" t="s">
        <v>620</v>
      </c>
      <c r="I242" t="s">
        <v>1183</v>
      </c>
      <c r="K242">
        <v>550</v>
      </c>
      <c r="M242">
        <v>381</v>
      </c>
    </row>
    <row r="243" spans="1:13">
      <c r="A243" s="1">
        <v>241</v>
      </c>
      <c r="E243" t="s">
        <v>1216</v>
      </c>
      <c r="G243" t="s">
        <v>1113</v>
      </c>
      <c r="H243" t="s">
        <v>1207</v>
      </c>
      <c r="I243" t="s">
        <v>1208</v>
      </c>
      <c r="K243">
        <v>650</v>
      </c>
      <c r="M243">
        <v>467.5</v>
      </c>
    </row>
    <row r="244" spans="1:13">
      <c r="A244" s="1">
        <v>242</v>
      </c>
      <c r="F244" t="s">
        <v>37</v>
      </c>
      <c r="G244" t="s">
        <v>1209</v>
      </c>
      <c r="H244" t="s">
        <v>1210</v>
      </c>
      <c r="I244" t="s">
        <v>1211</v>
      </c>
      <c r="K244">
        <v>120</v>
      </c>
      <c r="L244">
        <f>19.48/2</f>
        <v>9.74</v>
      </c>
      <c r="M244">
        <f>L244*6.6</f>
        <v>64.283999999999992</v>
      </c>
    </row>
    <row r="245" spans="1:13">
      <c r="A245" s="1">
        <v>243</v>
      </c>
      <c r="F245" t="s">
        <v>37</v>
      </c>
      <c r="G245" t="s">
        <v>1209</v>
      </c>
      <c r="H245" t="s">
        <v>1212</v>
      </c>
      <c r="I245" t="s">
        <v>1213</v>
      </c>
      <c r="K245">
        <v>150</v>
      </c>
      <c r="M245">
        <f>15.3*6.9</f>
        <v>105.57000000000001</v>
      </c>
    </row>
    <row r="246" spans="1:13">
      <c r="A246" s="1">
        <v>244</v>
      </c>
      <c r="F246" t="s">
        <v>37</v>
      </c>
      <c r="G246" t="s">
        <v>1214</v>
      </c>
      <c r="H246" t="s">
        <v>1215</v>
      </c>
      <c r="K246">
        <v>480</v>
      </c>
      <c r="L246">
        <v>59</v>
      </c>
      <c r="M246">
        <f>L246*0.8*1.1025*6.88</f>
        <v>358.02144000000004</v>
      </c>
    </row>
    <row r="247" spans="1:13">
      <c r="A247" s="1">
        <v>245</v>
      </c>
      <c r="E247" t="s">
        <v>1217</v>
      </c>
      <c r="G247" t="s">
        <v>1223</v>
      </c>
      <c r="H247" t="s">
        <v>1222</v>
      </c>
      <c r="K247">
        <v>199</v>
      </c>
      <c r="M247">
        <v>150</v>
      </c>
    </row>
    <row r="248" spans="1:13">
      <c r="A248" s="1">
        <v>246</v>
      </c>
      <c r="E248" t="s">
        <v>952</v>
      </c>
      <c r="F248" t="s">
        <v>30</v>
      </c>
      <c r="G248" t="s">
        <v>1219</v>
      </c>
      <c r="H248" t="s">
        <v>480</v>
      </c>
      <c r="I248" t="s">
        <v>1218</v>
      </c>
      <c r="K248">
        <v>355</v>
      </c>
      <c r="M248">
        <f>58*0.75*6.88+7</f>
        <v>306.27999999999997</v>
      </c>
    </row>
    <row r="249" spans="1:13">
      <c r="A249" s="1">
        <v>247</v>
      </c>
      <c r="F249" t="s">
        <v>160</v>
      </c>
      <c r="G249" t="s">
        <v>191</v>
      </c>
      <c r="H249" t="s">
        <v>1220</v>
      </c>
      <c r="K249">
        <v>95</v>
      </c>
      <c r="M249">
        <v>60</v>
      </c>
    </row>
    <row r="250" spans="1:13">
      <c r="A250" s="1">
        <v>248</v>
      </c>
      <c r="F250" t="s">
        <v>160</v>
      </c>
      <c r="G250" t="s">
        <v>1221</v>
      </c>
      <c r="H250" t="s">
        <v>442</v>
      </c>
      <c r="I250" t="s">
        <v>1200</v>
      </c>
      <c r="K250">
        <v>149</v>
      </c>
      <c r="M250">
        <v>127</v>
      </c>
    </row>
    <row r="251" spans="1:13">
      <c r="A251" s="1">
        <v>249</v>
      </c>
      <c r="E251" t="s">
        <v>1225</v>
      </c>
      <c r="F251" t="s">
        <v>30</v>
      </c>
      <c r="G251" t="s">
        <v>1237</v>
      </c>
      <c r="H251" t="s">
        <v>1224</v>
      </c>
      <c r="K251">
        <v>600</v>
      </c>
      <c r="L251">
        <f>90</f>
        <v>90</v>
      </c>
      <c r="M251">
        <f>L251*0.9*6.8</f>
        <v>550.79999999999995</v>
      </c>
    </row>
    <row r="252" spans="1:13">
      <c r="A252" s="1">
        <v>250</v>
      </c>
      <c r="F252" t="s">
        <v>30</v>
      </c>
      <c r="G252" t="s">
        <v>1144</v>
      </c>
      <c r="H252" t="s">
        <v>57</v>
      </c>
      <c r="K252">
        <v>234</v>
      </c>
      <c r="L252">
        <v>38</v>
      </c>
      <c r="M252">
        <f>L252*0.8*6.8</f>
        <v>206.72</v>
      </c>
    </row>
    <row r="253" spans="1:13">
      <c r="A253" s="1">
        <v>251</v>
      </c>
      <c r="E253" t="s">
        <v>39</v>
      </c>
      <c r="F253" t="s">
        <v>30</v>
      </c>
      <c r="G253" t="s">
        <v>403</v>
      </c>
      <c r="H253" t="s">
        <v>442</v>
      </c>
      <c r="K253">
        <v>260</v>
      </c>
      <c r="M253">
        <v>240.92</v>
      </c>
    </row>
    <row r="254" spans="1:13">
      <c r="A254" s="1">
        <v>252</v>
      </c>
    </row>
    <row r="255" spans="1:13">
      <c r="A255" s="1">
        <v>253</v>
      </c>
      <c r="C255">
        <v>7</v>
      </c>
      <c r="D255">
        <v>21</v>
      </c>
      <c r="E255" t="s">
        <v>748</v>
      </c>
      <c r="F255" t="s">
        <v>37</v>
      </c>
      <c r="G255" t="s">
        <v>1214</v>
      </c>
      <c r="H255" t="s">
        <v>1228</v>
      </c>
      <c r="K255">
        <v>790</v>
      </c>
      <c r="M255">
        <v>750</v>
      </c>
    </row>
    <row r="256" spans="1:13">
      <c r="A256" s="1">
        <v>254</v>
      </c>
      <c r="G256" t="s">
        <v>239</v>
      </c>
      <c r="H256" t="s">
        <v>1229</v>
      </c>
      <c r="I256" t="s">
        <v>1230</v>
      </c>
      <c r="K256">
        <v>360</v>
      </c>
      <c r="M256">
        <f>1590/30*4+6</f>
        <v>218</v>
      </c>
    </row>
    <row r="257" spans="1:13">
      <c r="A257" s="1">
        <v>255</v>
      </c>
      <c r="F257" t="s">
        <v>37</v>
      </c>
      <c r="G257" t="s">
        <v>1214</v>
      </c>
      <c r="H257" t="s">
        <v>1231</v>
      </c>
      <c r="K257">
        <v>830</v>
      </c>
      <c r="M257">
        <v>720</v>
      </c>
    </row>
    <row r="258" spans="1:13">
      <c r="A258" s="1">
        <v>256</v>
      </c>
      <c r="F258" t="s">
        <v>30</v>
      </c>
      <c r="G258" t="s">
        <v>1174</v>
      </c>
      <c r="H258" t="s">
        <v>620</v>
      </c>
      <c r="I258" t="s">
        <v>1183</v>
      </c>
      <c r="K258">
        <f>460*6</f>
        <v>2760</v>
      </c>
      <c r="L258">
        <v>74</v>
      </c>
      <c r="M258">
        <f>L258*0.8*0.92*6.88*6+7</f>
        <v>2255.2739200000001</v>
      </c>
    </row>
    <row r="259" spans="1:13">
      <c r="A259" s="1">
        <v>257</v>
      </c>
      <c r="E259" t="s">
        <v>97</v>
      </c>
      <c r="F259" t="s">
        <v>30</v>
      </c>
      <c r="G259" t="s">
        <v>1149</v>
      </c>
      <c r="H259" t="s">
        <v>190</v>
      </c>
      <c r="K259">
        <v>255</v>
      </c>
      <c r="M259">
        <f>39*0.8*6.8</f>
        <v>212.16000000000003</v>
      </c>
    </row>
    <row r="260" spans="1:13">
      <c r="A260" s="1">
        <v>258</v>
      </c>
      <c r="E260" t="s">
        <v>97</v>
      </c>
      <c r="F260" t="s">
        <v>30</v>
      </c>
      <c r="G260" t="s">
        <v>1144</v>
      </c>
      <c r="H260">
        <v>405</v>
      </c>
      <c r="K260">
        <v>240</v>
      </c>
      <c r="M260">
        <f>206.7+7</f>
        <v>213.7</v>
      </c>
    </row>
    <row r="261" spans="1:13">
      <c r="A261" s="1">
        <v>259</v>
      </c>
      <c r="E261" t="s">
        <v>97</v>
      </c>
      <c r="F261" t="s">
        <v>30</v>
      </c>
      <c r="G261" t="s">
        <v>1149</v>
      </c>
      <c r="H261" t="s">
        <v>190</v>
      </c>
      <c r="K261">
        <v>255</v>
      </c>
      <c r="M261">
        <f>M259+7</f>
        <v>219.16000000000003</v>
      </c>
    </row>
    <row r="262" spans="1:13">
      <c r="A262" s="1">
        <v>260</v>
      </c>
      <c r="G262" t="s">
        <v>239</v>
      </c>
      <c r="H262" t="s">
        <v>1229</v>
      </c>
      <c r="I262" t="s">
        <v>1232</v>
      </c>
      <c r="K262">
        <f>90*2</f>
        <v>180</v>
      </c>
      <c r="M262">
        <f>1590/15+6</f>
        <v>112</v>
      </c>
    </row>
    <row r="263" spans="1:13">
      <c r="A263" s="1">
        <v>261</v>
      </c>
      <c r="G263" t="s">
        <v>239</v>
      </c>
      <c r="H263" t="s">
        <v>1229</v>
      </c>
      <c r="I263" t="s">
        <v>1233</v>
      </c>
      <c r="K263">
        <v>95</v>
      </c>
      <c r="M263">
        <f>1590/30</f>
        <v>53</v>
      </c>
    </row>
    <row r="264" spans="1:13">
      <c r="A264" s="1">
        <v>262</v>
      </c>
      <c r="G264" s="6" t="s">
        <v>1214</v>
      </c>
      <c r="H264" s="6" t="s">
        <v>1234</v>
      </c>
      <c r="I264" s="6"/>
      <c r="J264" s="6"/>
      <c r="K264" s="6">
        <v>2100</v>
      </c>
      <c r="L264" s="6">
        <f>290*0.7*1.0825</f>
        <v>219.7475</v>
      </c>
      <c r="M264" s="6">
        <f>L264*6.88</f>
        <v>1511.8627999999999</v>
      </c>
    </row>
    <row r="265" spans="1:13">
      <c r="A265" s="1">
        <v>263</v>
      </c>
      <c r="E265" t="s">
        <v>267</v>
      </c>
      <c r="F265" t="s">
        <v>37</v>
      </c>
      <c r="G265" t="s">
        <v>1144</v>
      </c>
      <c r="H265" t="s">
        <v>1137</v>
      </c>
      <c r="K265">
        <v>1500</v>
      </c>
      <c r="M265">
        <v>1260</v>
      </c>
    </row>
    <row r="266" spans="1:13">
      <c r="A266" s="1">
        <v>264</v>
      </c>
    </row>
    <row r="267" spans="1:13">
      <c r="A267" s="1">
        <v>265</v>
      </c>
      <c r="C267">
        <v>7</v>
      </c>
      <c r="D267">
        <v>22</v>
      </c>
      <c r="F267" t="s">
        <v>30</v>
      </c>
      <c r="G267" t="s">
        <v>1174</v>
      </c>
      <c r="H267" t="s">
        <v>620</v>
      </c>
      <c r="I267" t="s">
        <v>1183</v>
      </c>
      <c r="K267">
        <v>460</v>
      </c>
      <c r="L267">
        <v>74</v>
      </c>
      <c r="M267">
        <f>L267*0.8*0.92*6.88+7</f>
        <v>381.71232000000003</v>
      </c>
    </row>
    <row r="268" spans="1:13">
      <c r="A268" s="1">
        <v>266</v>
      </c>
      <c r="E268" t="s">
        <v>873</v>
      </c>
      <c r="F268" t="s">
        <v>30</v>
      </c>
      <c r="G268" t="s">
        <v>1143</v>
      </c>
      <c r="H268" t="s">
        <v>566</v>
      </c>
      <c r="K268">
        <v>339</v>
      </c>
      <c r="M268">
        <v>248</v>
      </c>
    </row>
    <row r="269" spans="1:13">
      <c r="A269" s="1">
        <v>267</v>
      </c>
      <c r="F269" t="s">
        <v>30</v>
      </c>
      <c r="G269" t="s">
        <v>1142</v>
      </c>
      <c r="H269" t="s">
        <v>219</v>
      </c>
      <c r="K269">
        <v>480</v>
      </c>
      <c r="M269">
        <f>440+6</f>
        <v>446</v>
      </c>
    </row>
    <row r="270" spans="1:13">
      <c r="A270" s="1">
        <v>268</v>
      </c>
      <c r="F270" t="s">
        <v>30</v>
      </c>
      <c r="G270" t="s">
        <v>1157</v>
      </c>
      <c r="H270" t="s">
        <v>490</v>
      </c>
      <c r="I270" t="s">
        <v>1235</v>
      </c>
      <c r="K270">
        <v>111</v>
      </c>
      <c r="M270">
        <v>95</v>
      </c>
    </row>
    <row r="271" spans="1:13">
      <c r="A271" s="1">
        <v>269</v>
      </c>
    </row>
    <row r="272" spans="1:13">
      <c r="A272" s="1">
        <v>270</v>
      </c>
      <c r="C272">
        <v>7</v>
      </c>
      <c r="D272">
        <v>23</v>
      </c>
    </row>
    <row r="273" spans="1:13">
      <c r="A273" s="1">
        <v>271</v>
      </c>
      <c r="F273" t="s">
        <v>30</v>
      </c>
      <c r="G273" t="s">
        <v>1237</v>
      </c>
      <c r="H273" t="s">
        <v>1224</v>
      </c>
      <c r="K273">
        <v>660</v>
      </c>
      <c r="L273">
        <v>90</v>
      </c>
      <c r="M273">
        <f>L273*0.9*6.8</f>
        <v>550.79999999999995</v>
      </c>
    </row>
    <row r="274" spans="1:13">
      <c r="A274" s="1">
        <v>272</v>
      </c>
      <c r="F274" t="s">
        <v>30</v>
      </c>
      <c r="G274" t="s">
        <v>1198</v>
      </c>
      <c r="H274" t="s">
        <v>235</v>
      </c>
      <c r="K274">
        <f>138*5</f>
        <v>690</v>
      </c>
      <c r="L274">
        <v>12</v>
      </c>
      <c r="M274">
        <f>L274*5*6.8</f>
        <v>408</v>
      </c>
    </row>
    <row r="275" spans="1:13">
      <c r="A275" s="1">
        <v>273</v>
      </c>
      <c r="E275" t="s">
        <v>782</v>
      </c>
      <c r="F275" t="s">
        <v>30</v>
      </c>
      <c r="G275" t="s">
        <v>1238</v>
      </c>
      <c r="H275" t="s">
        <v>1239</v>
      </c>
      <c r="K275">
        <v>275</v>
      </c>
      <c r="M275">
        <f>242+7</f>
        <v>249</v>
      </c>
    </row>
    <row r="276" spans="1:13">
      <c r="A276" s="1">
        <v>274</v>
      </c>
      <c r="E276" t="s">
        <v>998</v>
      </c>
      <c r="F276" t="s">
        <v>30</v>
      </c>
      <c r="G276" t="s">
        <v>1240</v>
      </c>
      <c r="H276" t="s">
        <v>480</v>
      </c>
      <c r="K276">
        <v>355</v>
      </c>
      <c r="M276">
        <f>299+7</f>
        <v>306</v>
      </c>
    </row>
    <row r="277" spans="1:13">
      <c r="A277" s="1">
        <v>275</v>
      </c>
      <c r="E277" t="s">
        <v>39</v>
      </c>
      <c r="F277" t="s">
        <v>30</v>
      </c>
      <c r="G277" t="s">
        <v>1149</v>
      </c>
      <c r="H277" t="s">
        <v>1241</v>
      </c>
      <c r="K277">
        <v>245</v>
      </c>
      <c r="M277">
        <v>219</v>
      </c>
    </row>
    <row r="278" spans="1:13">
      <c r="A278" s="1">
        <v>276</v>
      </c>
    </row>
    <row r="279" spans="1:13">
      <c r="A279" s="1">
        <v>277</v>
      </c>
      <c r="C279">
        <v>7</v>
      </c>
      <c r="D279">
        <v>24</v>
      </c>
      <c r="F279" t="s">
        <v>30</v>
      </c>
      <c r="G279" t="s">
        <v>1248</v>
      </c>
      <c r="H279" t="s">
        <v>1249</v>
      </c>
      <c r="I279" t="s">
        <v>1208</v>
      </c>
      <c r="K279">
        <v>550</v>
      </c>
      <c r="M279">
        <v>498</v>
      </c>
    </row>
    <row r="280" spans="1:13">
      <c r="A280" s="1">
        <v>278</v>
      </c>
      <c r="F280" t="s">
        <v>30</v>
      </c>
      <c r="G280" t="s">
        <v>1174</v>
      </c>
      <c r="H280" t="s">
        <v>620</v>
      </c>
      <c r="I280" t="s">
        <v>1183</v>
      </c>
      <c r="K280">
        <v>460</v>
      </c>
      <c r="L280">
        <v>74</v>
      </c>
      <c r="M280">
        <f>L280*0.8*0.92*6.88+7</f>
        <v>381.71232000000003</v>
      </c>
    </row>
    <row r="281" spans="1:13">
      <c r="A281" s="1">
        <v>279</v>
      </c>
      <c r="E281" t="s">
        <v>132</v>
      </c>
      <c r="F281" t="s">
        <v>37</v>
      </c>
      <c r="G281" t="s">
        <v>1250</v>
      </c>
      <c r="H281" t="s">
        <v>1251</v>
      </c>
      <c r="K281">
        <v>100</v>
      </c>
      <c r="L281">
        <v>13</v>
      </c>
      <c r="M281">
        <f>L281*6.88</f>
        <v>89.44</v>
      </c>
    </row>
    <row r="282" spans="1:13">
      <c r="A282" s="1">
        <v>280</v>
      </c>
      <c r="G282" t="s">
        <v>1214</v>
      </c>
      <c r="H282" t="s">
        <v>1236</v>
      </c>
      <c r="I282" t="s">
        <v>1252</v>
      </c>
      <c r="K282">
        <v>899</v>
      </c>
      <c r="M282">
        <v>580</v>
      </c>
    </row>
    <row r="283" spans="1:13">
      <c r="A283" s="1">
        <v>281</v>
      </c>
      <c r="F283" t="s">
        <v>30</v>
      </c>
      <c r="G283" t="s">
        <v>1237</v>
      </c>
      <c r="H283" t="s">
        <v>1224</v>
      </c>
      <c r="K283">
        <v>685</v>
      </c>
      <c r="M283">
        <v>550.79999999999995</v>
      </c>
    </row>
    <row r="284" spans="1:13">
      <c r="A284" s="1">
        <v>282</v>
      </c>
      <c r="F284" t="s">
        <v>30</v>
      </c>
      <c r="G284" t="s">
        <v>1142</v>
      </c>
      <c r="H284" t="s">
        <v>1047</v>
      </c>
      <c r="K284">
        <v>123</v>
      </c>
      <c r="L284">
        <f>8.77</f>
        <v>8.77</v>
      </c>
      <c r="M284">
        <f>(L284*1.055+1)*6.8</f>
        <v>69.715980000000002</v>
      </c>
    </row>
    <row r="285" spans="1:13">
      <c r="A285" s="1">
        <v>283</v>
      </c>
      <c r="E285" s="6" t="s">
        <v>132</v>
      </c>
      <c r="F285" s="6" t="s">
        <v>37</v>
      </c>
      <c r="G285" s="6" t="s">
        <v>1253</v>
      </c>
      <c r="H285" s="6" t="s">
        <v>1254</v>
      </c>
      <c r="I285" s="6" t="s">
        <v>1255</v>
      </c>
      <c r="J285" s="6"/>
      <c r="K285" s="6">
        <v>717</v>
      </c>
      <c r="M285">
        <v>526.32000000000005</v>
      </c>
    </row>
    <row r="286" spans="1:13">
      <c r="A286" s="1">
        <v>284</v>
      </c>
      <c r="E286" t="s">
        <v>132</v>
      </c>
      <c r="F286" t="s">
        <v>37</v>
      </c>
      <c r="H286" t="s">
        <v>416</v>
      </c>
      <c r="K286">
        <v>210</v>
      </c>
      <c r="M286">
        <v>129</v>
      </c>
    </row>
    <row r="287" spans="1:13">
      <c r="A287" s="1">
        <v>285</v>
      </c>
      <c r="H287" t="s">
        <v>969</v>
      </c>
      <c r="K287">
        <f>-92</f>
        <v>-92</v>
      </c>
    </row>
    <row r="288" spans="1:13">
      <c r="A288" s="1">
        <v>286</v>
      </c>
      <c r="E288" t="s">
        <v>39</v>
      </c>
      <c r="F288" t="s">
        <v>37</v>
      </c>
      <c r="H288" t="s">
        <v>1256</v>
      </c>
      <c r="K288">
        <v>10.5</v>
      </c>
    </row>
    <row r="289" spans="1:13">
      <c r="A289" s="1">
        <v>287</v>
      </c>
      <c r="F289" t="s">
        <v>37</v>
      </c>
      <c r="G289" t="s">
        <v>1258</v>
      </c>
      <c r="H289" t="s">
        <v>1257</v>
      </c>
      <c r="I289" t="s">
        <v>83</v>
      </c>
      <c r="K289">
        <v>189</v>
      </c>
      <c r="M289">
        <v>169</v>
      </c>
    </row>
    <row r="290" spans="1:13">
      <c r="A290" s="1">
        <v>288</v>
      </c>
    </row>
    <row r="291" spans="1:13">
      <c r="A291" s="1">
        <v>289</v>
      </c>
      <c r="C291">
        <v>7</v>
      </c>
      <c r="D291">
        <v>25</v>
      </c>
      <c r="F291" t="s">
        <v>30</v>
      </c>
      <c r="G291" t="s">
        <v>1143</v>
      </c>
      <c r="H291" t="s">
        <v>566</v>
      </c>
      <c r="I291" t="s">
        <v>1226</v>
      </c>
      <c r="K291">
        <f>330*3</f>
        <v>990</v>
      </c>
      <c r="M291">
        <f>248*3+12</f>
        <v>756</v>
      </c>
    </row>
    <row r="292" spans="1:13">
      <c r="A292" s="1">
        <v>290</v>
      </c>
      <c r="F292" t="s">
        <v>30</v>
      </c>
      <c r="G292" t="s">
        <v>1118</v>
      </c>
      <c r="H292" t="s">
        <v>1259</v>
      </c>
      <c r="I292" t="s">
        <v>1226</v>
      </c>
      <c r="K292">
        <v>270</v>
      </c>
      <c r="L292">
        <v>32</v>
      </c>
      <c r="M292">
        <f>L292*0.8*6.88</f>
        <v>176.12800000000001</v>
      </c>
    </row>
    <row r="293" spans="1:13">
      <c r="A293" s="1">
        <v>291</v>
      </c>
      <c r="F293" t="s">
        <v>30</v>
      </c>
      <c r="G293" t="s">
        <v>1142</v>
      </c>
      <c r="H293" t="s">
        <v>1260</v>
      </c>
      <c r="I293" t="s">
        <v>1261</v>
      </c>
      <c r="K293">
        <f>765-25</f>
        <v>740</v>
      </c>
      <c r="M293">
        <f>700+10</f>
        <v>710</v>
      </c>
    </row>
    <row r="294" spans="1:13">
      <c r="A294" s="1">
        <v>292</v>
      </c>
      <c r="E294" t="s">
        <v>1262</v>
      </c>
      <c r="F294" t="s">
        <v>30</v>
      </c>
      <c r="G294" t="s">
        <v>1174</v>
      </c>
      <c r="H294" t="s">
        <v>1175</v>
      </c>
      <c r="K294">
        <v>500</v>
      </c>
      <c r="M294">
        <f>392+18</f>
        <v>410</v>
      </c>
    </row>
    <row r="295" spans="1:13">
      <c r="A295" s="1">
        <v>293</v>
      </c>
      <c r="H295" t="s">
        <v>1271</v>
      </c>
      <c r="K295">
        <f>-12</f>
        <v>-12</v>
      </c>
    </row>
    <row r="296" spans="1:13">
      <c r="A296" s="1">
        <v>294</v>
      </c>
      <c r="F296" t="s">
        <v>30</v>
      </c>
      <c r="G296" t="s">
        <v>1113</v>
      </c>
      <c r="H296" t="s">
        <v>1272</v>
      </c>
    </row>
    <row r="297" spans="1:13">
      <c r="A297" s="1">
        <v>295</v>
      </c>
      <c r="F297" t="s">
        <v>30</v>
      </c>
      <c r="G297" t="s">
        <v>1189</v>
      </c>
      <c r="H297" t="s">
        <v>1273</v>
      </c>
      <c r="I297">
        <v>1</v>
      </c>
      <c r="K297">
        <v>200</v>
      </c>
      <c r="M297">
        <v>169</v>
      </c>
    </row>
    <row r="298" spans="1:13">
      <c r="A298" s="1">
        <v>296</v>
      </c>
      <c r="E298" t="s">
        <v>245</v>
      </c>
      <c r="F298" t="s">
        <v>30</v>
      </c>
      <c r="H298" t="s">
        <v>79</v>
      </c>
      <c r="K298">
        <v>138</v>
      </c>
      <c r="M298">
        <f>108+6</f>
        <v>114</v>
      </c>
    </row>
    <row r="299" spans="1:13">
      <c r="A299" s="1">
        <v>297</v>
      </c>
      <c r="F299" t="s">
        <v>30</v>
      </c>
      <c r="G299" t="s">
        <v>1189</v>
      </c>
      <c r="H299" t="s">
        <v>1274</v>
      </c>
      <c r="I299" t="s">
        <v>1261</v>
      </c>
      <c r="K299">
        <v>690</v>
      </c>
      <c r="M299">
        <v>638</v>
      </c>
    </row>
    <row r="300" spans="1:13">
      <c r="A300" s="1">
        <v>298</v>
      </c>
      <c r="E300" t="s">
        <v>169</v>
      </c>
      <c r="G300" t="s">
        <v>1214</v>
      </c>
      <c r="H300" t="s">
        <v>1275</v>
      </c>
      <c r="K300">
        <v>899</v>
      </c>
      <c r="L300">
        <v>87.75</v>
      </c>
      <c r="M300">
        <f>L300*6.88</f>
        <v>603.72</v>
      </c>
    </row>
    <row r="301" spans="1:13">
      <c r="A301" s="1">
        <v>299</v>
      </c>
      <c r="E301" t="s">
        <v>782</v>
      </c>
      <c r="F301" t="s">
        <v>30</v>
      </c>
      <c r="G301" t="s">
        <v>1237</v>
      </c>
      <c r="H301" t="s">
        <v>1224</v>
      </c>
      <c r="K301">
        <v>685</v>
      </c>
      <c r="M301">
        <v>550.79999999999995</v>
      </c>
    </row>
    <row r="302" spans="1:13">
      <c r="A302" s="1">
        <v>300</v>
      </c>
      <c r="E302" t="s">
        <v>322</v>
      </c>
      <c r="G302" t="s">
        <v>1258</v>
      </c>
      <c r="H302" t="s">
        <v>1276</v>
      </c>
      <c r="I302" t="s">
        <v>1200</v>
      </c>
      <c r="K302">
        <v>375</v>
      </c>
      <c r="M302">
        <v>235</v>
      </c>
    </row>
    <row r="303" spans="1:13">
      <c r="A303" s="1">
        <v>301</v>
      </c>
      <c r="E303" t="s">
        <v>683</v>
      </c>
      <c r="G303" t="s">
        <v>1277</v>
      </c>
      <c r="H303" t="s">
        <v>574</v>
      </c>
      <c r="K303">
        <v>120</v>
      </c>
      <c r="M303">
        <f>7</f>
        <v>7</v>
      </c>
    </row>
    <row r="304" spans="1:13">
      <c r="A304" s="1">
        <v>302</v>
      </c>
      <c r="F304" t="s">
        <v>160</v>
      </c>
      <c r="G304" t="s">
        <v>1113</v>
      </c>
      <c r="H304" t="s">
        <v>1278</v>
      </c>
      <c r="K304">
        <v>355</v>
      </c>
      <c r="M304">
        <v>8</v>
      </c>
    </row>
    <row r="305" spans="1:13">
      <c r="A305" s="1">
        <v>303</v>
      </c>
      <c r="F305" t="s">
        <v>30</v>
      </c>
      <c r="G305" t="s">
        <v>812</v>
      </c>
      <c r="H305" t="s">
        <v>1279</v>
      </c>
      <c r="K305">
        <v>620</v>
      </c>
      <c r="M305">
        <v>550</v>
      </c>
    </row>
    <row r="306" spans="1:13">
      <c r="A306" s="1">
        <v>304</v>
      </c>
    </row>
    <row r="307" spans="1:13">
      <c r="A307" s="1">
        <v>305</v>
      </c>
      <c r="C307">
        <v>7</v>
      </c>
      <c r="D307">
        <v>26</v>
      </c>
      <c r="E307" t="s">
        <v>998</v>
      </c>
      <c r="F307" t="s">
        <v>30</v>
      </c>
      <c r="G307" t="s">
        <v>1142</v>
      </c>
      <c r="H307" t="s">
        <v>400</v>
      </c>
      <c r="K307">
        <v>200</v>
      </c>
      <c r="M307">
        <v>179</v>
      </c>
    </row>
    <row r="308" spans="1:13">
      <c r="A308" s="1">
        <v>306</v>
      </c>
      <c r="H308" t="s">
        <v>1285</v>
      </c>
      <c r="K308">
        <v>130</v>
      </c>
      <c r="L308">
        <v>13</v>
      </c>
      <c r="M308">
        <f>L308*6.88+7</f>
        <v>96.44</v>
      </c>
    </row>
    <row r="309" spans="1:13">
      <c r="A309" s="1">
        <v>307</v>
      </c>
      <c r="F309" t="s">
        <v>30</v>
      </c>
      <c r="G309" t="s">
        <v>1113</v>
      </c>
      <c r="H309" t="s">
        <v>1286</v>
      </c>
      <c r="K309">
        <v>1300</v>
      </c>
      <c r="M309">
        <v>1200</v>
      </c>
    </row>
    <row r="310" spans="1:13">
      <c r="A310" s="1">
        <v>308</v>
      </c>
      <c r="F310" t="s">
        <v>216</v>
      </c>
      <c r="H310" t="s">
        <v>791</v>
      </c>
      <c r="K310">
        <v>599</v>
      </c>
      <c r="M310">
        <v>500</v>
      </c>
    </row>
    <row r="311" spans="1:13">
      <c r="A311" s="1">
        <v>309</v>
      </c>
      <c r="E311" t="s">
        <v>1287</v>
      </c>
      <c r="F311" t="s">
        <v>216</v>
      </c>
      <c r="H311" t="s">
        <v>791</v>
      </c>
      <c r="K311">
        <v>599</v>
      </c>
      <c r="M311">
        <v>500</v>
      </c>
    </row>
    <row r="312" spans="1:13">
      <c r="A312" s="1">
        <v>310</v>
      </c>
    </row>
    <row r="313" spans="1:13">
      <c r="A313" s="1">
        <v>311</v>
      </c>
      <c r="C313">
        <v>7</v>
      </c>
      <c r="D313">
        <v>27</v>
      </c>
      <c r="E313" t="s">
        <v>36</v>
      </c>
      <c r="F313" t="s">
        <v>30</v>
      </c>
      <c r="G313" t="s">
        <v>1214</v>
      </c>
      <c r="H313" t="s">
        <v>1307</v>
      </c>
      <c r="I313" t="s">
        <v>83</v>
      </c>
      <c r="K313">
        <v>690</v>
      </c>
      <c r="M313">
        <v>499</v>
      </c>
    </row>
    <row r="314" spans="1:13">
      <c r="A314" s="1">
        <v>312</v>
      </c>
      <c r="E314" t="s">
        <v>1289</v>
      </c>
      <c r="F314" t="s">
        <v>16</v>
      </c>
      <c r="G314" t="s">
        <v>1113</v>
      </c>
      <c r="H314" t="s">
        <v>1207</v>
      </c>
      <c r="I314" t="s">
        <v>1208</v>
      </c>
      <c r="K314">
        <v>650</v>
      </c>
      <c r="M314">
        <f>467.5+8</f>
        <v>475.5</v>
      </c>
    </row>
    <row r="315" spans="1:13">
      <c r="A315" s="1">
        <v>313</v>
      </c>
      <c r="E315" t="s">
        <v>1289</v>
      </c>
      <c r="F315" t="s">
        <v>16</v>
      </c>
      <c r="G315" t="s">
        <v>1113</v>
      </c>
      <c r="H315" t="s">
        <v>1288</v>
      </c>
      <c r="K315">
        <v>430</v>
      </c>
      <c r="L315">
        <v>62</v>
      </c>
      <c r="M315">
        <f>L315*0.8*0.9*6.88</f>
        <v>307.1232</v>
      </c>
    </row>
    <row r="316" spans="1:13">
      <c r="A316" s="1">
        <v>314</v>
      </c>
      <c r="E316" t="s">
        <v>1317</v>
      </c>
      <c r="F316" t="s">
        <v>30</v>
      </c>
      <c r="G316" t="s">
        <v>1149</v>
      </c>
      <c r="H316" t="s">
        <v>1311</v>
      </c>
      <c r="K316">
        <v>430</v>
      </c>
      <c r="M316">
        <v>390</v>
      </c>
    </row>
    <row r="317" spans="1:13">
      <c r="A317" s="1">
        <v>315</v>
      </c>
      <c r="E317" t="s">
        <v>39</v>
      </c>
      <c r="F317" t="s">
        <v>37</v>
      </c>
      <c r="G317" t="s">
        <v>1142</v>
      </c>
      <c r="H317" t="s">
        <v>400</v>
      </c>
      <c r="K317">
        <v>197</v>
      </c>
      <c r="M317">
        <v>175</v>
      </c>
    </row>
    <row r="318" spans="1:13">
      <c r="A318" s="1">
        <v>316</v>
      </c>
      <c r="E318" t="s">
        <v>39</v>
      </c>
      <c r="F318" t="s">
        <v>37</v>
      </c>
      <c r="G318" t="s">
        <v>1142</v>
      </c>
      <c r="H318" t="s">
        <v>387</v>
      </c>
      <c r="I318" t="s">
        <v>1313</v>
      </c>
      <c r="K318">
        <v>249</v>
      </c>
      <c r="M318">
        <v>210</v>
      </c>
    </row>
    <row r="319" spans="1:13">
      <c r="A319" s="1">
        <v>317</v>
      </c>
      <c r="E319" t="s">
        <v>39</v>
      </c>
      <c r="F319" t="s">
        <v>37</v>
      </c>
      <c r="G319" t="s">
        <v>1142</v>
      </c>
      <c r="H319" t="s">
        <v>1314</v>
      </c>
      <c r="I319" t="s">
        <v>1208</v>
      </c>
      <c r="K319">
        <v>290</v>
      </c>
      <c r="M319">
        <f>250+8</f>
        <v>258</v>
      </c>
    </row>
    <row r="320" spans="1:13">
      <c r="H320" t="s">
        <v>1316</v>
      </c>
      <c r="L320">
        <f>-9</f>
        <v>-9</v>
      </c>
      <c r="M320">
        <f>L320*6.88</f>
        <v>-61.92</v>
      </c>
    </row>
    <row r="321" spans="3:13">
      <c r="G321" t="s">
        <v>1144</v>
      </c>
      <c r="H321">
        <v>405</v>
      </c>
      <c r="K321">
        <v>220</v>
      </c>
      <c r="M321">
        <f>209</f>
        <v>209</v>
      </c>
    </row>
    <row r="323" spans="3:13">
      <c r="C323">
        <v>7</v>
      </c>
      <c r="D323">
        <v>28</v>
      </c>
      <c r="E323" t="s">
        <v>998</v>
      </c>
      <c r="F323" t="s">
        <v>30</v>
      </c>
      <c r="H323" t="s">
        <v>400</v>
      </c>
      <c r="K323">
        <v>200</v>
      </c>
      <c r="M323">
        <f>175+8</f>
        <v>183</v>
      </c>
    </row>
    <row r="324" spans="3:13">
      <c r="F324" t="s">
        <v>30</v>
      </c>
      <c r="G324" t="s">
        <v>1113</v>
      </c>
      <c r="H324" t="s">
        <v>1290</v>
      </c>
      <c r="I324" t="s">
        <v>1291</v>
      </c>
      <c r="K324">
        <v>269</v>
      </c>
      <c r="M324">
        <v>228</v>
      </c>
    </row>
    <row r="325" spans="3:13">
      <c r="E325" t="s">
        <v>36</v>
      </c>
      <c r="F325" t="s">
        <v>30</v>
      </c>
      <c r="H325" t="s">
        <v>1257</v>
      </c>
      <c r="I325" t="s">
        <v>1292</v>
      </c>
      <c r="K325">
        <v>189</v>
      </c>
      <c r="M325">
        <v>158</v>
      </c>
    </row>
    <row r="326" spans="3:13">
      <c r="F326" t="s">
        <v>30</v>
      </c>
      <c r="G326" t="s">
        <v>1293</v>
      </c>
      <c r="H326" t="s">
        <v>579</v>
      </c>
      <c r="I326" t="s">
        <v>1206</v>
      </c>
      <c r="K326">
        <v>90</v>
      </c>
      <c r="M326">
        <v>0</v>
      </c>
    </row>
    <row r="327" spans="3:13">
      <c r="E327" t="s">
        <v>39</v>
      </c>
      <c r="F327" t="s">
        <v>37</v>
      </c>
      <c r="G327" t="s">
        <v>1294</v>
      </c>
      <c r="H327" t="s">
        <v>1296</v>
      </c>
      <c r="I327" t="s">
        <v>1295</v>
      </c>
      <c r="K327">
        <v>1799</v>
      </c>
      <c r="M327">
        <v>1499</v>
      </c>
    </row>
    <row r="328" spans="3:13">
      <c r="F328" t="s">
        <v>30</v>
      </c>
      <c r="G328" t="s">
        <v>1174</v>
      </c>
      <c r="H328" t="s">
        <v>1297</v>
      </c>
      <c r="K328">
        <v>490</v>
      </c>
      <c r="M328">
        <v>400</v>
      </c>
    </row>
    <row r="329" spans="3:13">
      <c r="F329" t="s">
        <v>30</v>
      </c>
      <c r="H329" t="s">
        <v>400</v>
      </c>
      <c r="K329">
        <v>200</v>
      </c>
      <c r="M329">
        <v>175</v>
      </c>
    </row>
    <row r="330" spans="3:13">
      <c r="E330" t="s">
        <v>39</v>
      </c>
      <c r="F330" t="s">
        <v>37</v>
      </c>
      <c r="G330" t="s">
        <v>1298</v>
      </c>
      <c r="H330" t="s">
        <v>1299</v>
      </c>
      <c r="K330">
        <v>109</v>
      </c>
      <c r="M330">
        <f>61.92+7</f>
        <v>68.92</v>
      </c>
    </row>
    <row r="331" spans="3:13">
      <c r="E331" t="s">
        <v>1304</v>
      </c>
      <c r="F331" t="s">
        <v>30</v>
      </c>
      <c r="G331" t="s">
        <v>254</v>
      </c>
      <c r="H331" t="s">
        <v>1224</v>
      </c>
      <c r="K331">
        <f>650*5</f>
        <v>3250</v>
      </c>
      <c r="M331">
        <f>550.8*5</f>
        <v>2754</v>
      </c>
    </row>
    <row r="332" spans="3:13">
      <c r="E332" t="s">
        <v>1304</v>
      </c>
      <c r="F332" t="s">
        <v>30</v>
      </c>
      <c r="G332" t="s">
        <v>254</v>
      </c>
      <c r="H332" t="s">
        <v>1301</v>
      </c>
      <c r="K332">
        <f>1800*2</f>
        <v>3600</v>
      </c>
      <c r="L332">
        <f>270</f>
        <v>270</v>
      </c>
      <c r="M332">
        <f>L332*0.75*6.88*2</f>
        <v>2786.4</v>
      </c>
    </row>
    <row r="333" spans="3:13">
      <c r="E333" t="s">
        <v>1302</v>
      </c>
      <c r="F333" t="s">
        <v>30</v>
      </c>
      <c r="G333" t="s">
        <v>1214</v>
      </c>
      <c r="H333" t="s">
        <v>1303</v>
      </c>
      <c r="K333">
        <v>850</v>
      </c>
      <c r="M333">
        <v>699</v>
      </c>
    </row>
    <row r="334" spans="3:13">
      <c r="E334" t="s">
        <v>39</v>
      </c>
      <c r="F334" t="s">
        <v>37</v>
      </c>
      <c r="G334" t="s">
        <v>1298</v>
      </c>
      <c r="H334" t="s">
        <v>1299</v>
      </c>
      <c r="K334">
        <v>109</v>
      </c>
      <c r="M334">
        <f>61.92+7</f>
        <v>68.92</v>
      </c>
    </row>
    <row r="335" spans="3:13">
      <c r="E335" t="s">
        <v>1306</v>
      </c>
      <c r="F335" t="s">
        <v>30</v>
      </c>
      <c r="G335" t="s">
        <v>1258</v>
      </c>
      <c r="H335" t="s">
        <v>1315</v>
      </c>
      <c r="I335" t="s">
        <v>1305</v>
      </c>
      <c r="K335">
        <v>300</v>
      </c>
      <c r="M335">
        <f>249+7</f>
        <v>256</v>
      </c>
    </row>
    <row r="336" spans="3:13">
      <c r="F336" t="s">
        <v>30</v>
      </c>
      <c r="G336" t="s">
        <v>1258</v>
      </c>
      <c r="H336" t="s">
        <v>1308</v>
      </c>
      <c r="I336" t="s">
        <v>1305</v>
      </c>
      <c r="K336">
        <v>275</v>
      </c>
      <c r="M336">
        <v>269</v>
      </c>
    </row>
    <row r="337" spans="5:13">
      <c r="E337" t="s">
        <v>1312</v>
      </c>
      <c r="G337" t="s">
        <v>1309</v>
      </c>
      <c r="H337" t="s">
        <v>1310</v>
      </c>
      <c r="K337">
        <v>300</v>
      </c>
      <c r="M337">
        <f>13.7*0.78*0.85*6.88*2+8</f>
        <v>132.98345599999999</v>
      </c>
    </row>
    <row r="338" spans="5:13">
      <c r="E338" t="s">
        <v>322</v>
      </c>
      <c r="G338" t="s">
        <v>1209</v>
      </c>
      <c r="H338" t="s">
        <v>1318</v>
      </c>
      <c r="K338">
        <v>199</v>
      </c>
      <c r="M338">
        <f>16*6.8</f>
        <v>108.8</v>
      </c>
    </row>
    <row r="1048576" spans="6:6">
      <c r="F1048576" t="s">
        <v>37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93FA-79DC-4F47-809C-783393C2768A}">
  <dimension ref="A1:K1098"/>
  <sheetViews>
    <sheetView topLeftCell="A988" zoomScale="63" workbookViewId="0">
      <selection activeCell="G1013" sqref="G1013"/>
    </sheetView>
  </sheetViews>
  <sheetFormatPr defaultRowHeight="14.25"/>
  <sheetData>
    <row r="1" spans="1:11">
      <c r="A1" t="s">
        <v>183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</row>
    <row r="2" spans="1:11">
      <c r="A2">
        <v>1.1000000000000001</v>
      </c>
      <c r="B2" t="s">
        <v>216</v>
      </c>
      <c r="D2" t="s">
        <v>217</v>
      </c>
      <c r="E2">
        <v>288</v>
      </c>
      <c r="G2">
        <f>225</f>
        <v>225</v>
      </c>
      <c r="I2">
        <f>E2-G2</f>
        <v>63</v>
      </c>
      <c r="J2">
        <f>I2/E2</f>
        <v>0.21875</v>
      </c>
    </row>
    <row r="3" spans="1:11">
      <c r="B3" t="s">
        <v>216</v>
      </c>
      <c r="D3" t="s">
        <v>218</v>
      </c>
      <c r="E3">
        <v>30</v>
      </c>
      <c r="G3">
        <v>20</v>
      </c>
      <c r="I3">
        <f>E3-G3</f>
        <v>10</v>
      </c>
      <c r="J3">
        <f>I3/E3</f>
        <v>0.33333333333333331</v>
      </c>
    </row>
    <row r="4" spans="1:11">
      <c r="B4" t="s">
        <v>216</v>
      </c>
      <c r="D4" t="s">
        <v>44</v>
      </c>
      <c r="E4">
        <v>365</v>
      </c>
      <c r="G4">
        <f>50*0.8*6.9</f>
        <v>276</v>
      </c>
      <c r="I4">
        <f>E4-G4</f>
        <v>89</v>
      </c>
      <c r="J4">
        <f>I4/E4</f>
        <v>0.24383561643835616</v>
      </c>
    </row>
    <row r="5" spans="1:11">
      <c r="B5" t="s">
        <v>216</v>
      </c>
      <c r="D5" t="s">
        <v>219</v>
      </c>
      <c r="E5">
        <v>530</v>
      </c>
      <c r="G5">
        <v>460</v>
      </c>
      <c r="I5">
        <f>E5-G5</f>
        <v>70</v>
      </c>
      <c r="J5">
        <f>I5/E5</f>
        <v>0.13207547169811321</v>
      </c>
      <c r="K5">
        <f>SUM(I2:I5)</f>
        <v>232</v>
      </c>
    </row>
    <row r="7" spans="1:11">
      <c r="A7">
        <v>1.2</v>
      </c>
      <c r="C7" t="s">
        <v>30</v>
      </c>
      <c r="D7" t="s">
        <v>57</v>
      </c>
      <c r="E7">
        <v>252</v>
      </c>
      <c r="I7">
        <v>42.24</v>
      </c>
      <c r="J7">
        <f>I7/E7</f>
        <v>0.16761904761904764</v>
      </c>
      <c r="K7">
        <f>I7</f>
        <v>42.24</v>
      </c>
    </row>
    <row r="9" spans="1:11">
      <c r="A9">
        <v>1.3</v>
      </c>
      <c r="B9" t="s">
        <v>220</v>
      </c>
      <c r="D9" t="s">
        <v>221</v>
      </c>
      <c r="E9">
        <v>259</v>
      </c>
      <c r="I9">
        <v>41.32</v>
      </c>
      <c r="J9">
        <f>I9/E9</f>
        <v>0.15953667953667955</v>
      </c>
    </row>
    <row r="10" spans="1:11">
      <c r="C10" t="s">
        <v>30</v>
      </c>
      <c r="D10" t="s">
        <v>57</v>
      </c>
      <c r="E10">
        <v>252</v>
      </c>
      <c r="I10">
        <v>42.24</v>
      </c>
      <c r="J10">
        <f>I10/E10</f>
        <v>0.16761904761904764</v>
      </c>
    </row>
    <row r="11" spans="1:11">
      <c r="B11" t="s">
        <v>39</v>
      </c>
      <c r="C11" t="s">
        <v>30</v>
      </c>
      <c r="D11" t="s">
        <v>222</v>
      </c>
      <c r="E11">
        <f>125+2</f>
        <v>127</v>
      </c>
      <c r="F11">
        <f>18*0.75</f>
        <v>13.5</v>
      </c>
      <c r="G11">
        <f>F11*6.9</f>
        <v>93.15</v>
      </c>
      <c r="I11">
        <f>E11-G11</f>
        <v>33.849999999999994</v>
      </c>
      <c r="J11">
        <f>I11/E11</f>
        <v>0.26653543307086608</v>
      </c>
      <c r="K11">
        <f>83.56+I11</f>
        <v>117.41</v>
      </c>
    </row>
    <row r="13" spans="1:11">
      <c r="A13">
        <v>1.4</v>
      </c>
      <c r="B13" t="s">
        <v>223</v>
      </c>
      <c r="D13" t="s">
        <v>224</v>
      </c>
      <c r="E13">
        <v>340</v>
      </c>
      <c r="I13">
        <v>340</v>
      </c>
      <c r="J13">
        <f>I13/E13</f>
        <v>1</v>
      </c>
    </row>
    <row r="14" spans="1:11">
      <c r="B14" t="s">
        <v>223</v>
      </c>
      <c r="D14" t="s">
        <v>225</v>
      </c>
      <c r="E14">
        <v>1900</v>
      </c>
      <c r="I14">
        <v>200</v>
      </c>
      <c r="J14">
        <f>I14/E14</f>
        <v>0.10526315789473684</v>
      </c>
      <c r="K14">
        <f>SUM(I13:I14)</f>
        <v>540</v>
      </c>
    </row>
    <row r="16" spans="1:11">
      <c r="A16">
        <v>1.5</v>
      </c>
      <c r="B16" t="s">
        <v>226</v>
      </c>
      <c r="D16" t="s">
        <v>227</v>
      </c>
      <c r="E16">
        <v>820</v>
      </c>
      <c r="I16">
        <f>820-98*6.9</f>
        <v>143.79999999999995</v>
      </c>
      <c r="J16">
        <f>I16/E16</f>
        <v>0.17536585365853652</v>
      </c>
    </row>
    <row r="17" spans="1:11">
      <c r="B17" t="s">
        <v>220</v>
      </c>
      <c r="D17" t="s">
        <v>228</v>
      </c>
      <c r="E17">
        <v>390</v>
      </c>
      <c r="I17">
        <v>390</v>
      </c>
      <c r="J17">
        <f>I17/E17</f>
        <v>1</v>
      </c>
    </row>
    <row r="18" spans="1:11">
      <c r="B18" t="s">
        <v>220</v>
      </c>
      <c r="D18" t="s">
        <v>229</v>
      </c>
      <c r="E18">
        <v>399</v>
      </c>
      <c r="G18">
        <v>310</v>
      </c>
      <c r="I18">
        <f>E18-G18</f>
        <v>89</v>
      </c>
      <c r="J18">
        <f>I18/E18</f>
        <v>0.22305764411027568</v>
      </c>
    </row>
    <row r="19" spans="1:11">
      <c r="B19" t="s">
        <v>220</v>
      </c>
      <c r="D19" t="s">
        <v>230</v>
      </c>
      <c r="E19">
        <v>560</v>
      </c>
      <c r="G19">
        <v>370</v>
      </c>
      <c r="I19">
        <f>E19-G19</f>
        <v>190</v>
      </c>
      <c r="J19">
        <f>I19/E19</f>
        <v>0.3392857142857143</v>
      </c>
      <c r="K19">
        <f>SUM(I16:I19)</f>
        <v>812.8</v>
      </c>
    </row>
    <row r="21" spans="1:11">
      <c r="A21">
        <v>1.6</v>
      </c>
      <c r="B21" t="s">
        <v>160</v>
      </c>
      <c r="D21" t="s">
        <v>231</v>
      </c>
      <c r="E21">
        <v>149</v>
      </c>
      <c r="I21">
        <v>43</v>
      </c>
      <c r="J21">
        <f>I21/E21</f>
        <v>0.28859060402684567</v>
      </c>
    </row>
    <row r="22" spans="1:11">
      <c r="B22" t="s">
        <v>232</v>
      </c>
      <c r="D22" t="s">
        <v>233</v>
      </c>
      <c r="E22">
        <v>365</v>
      </c>
      <c r="G22">
        <f>50*0.8*6.9</f>
        <v>276</v>
      </c>
      <c r="I22">
        <f t="shared" ref="I22:I28" si="0">E22-G22</f>
        <v>89</v>
      </c>
      <c r="J22">
        <f t="shared" ref="J22:J28" si="1">I22/E22</f>
        <v>0.24383561643835616</v>
      </c>
    </row>
    <row r="23" spans="1:11">
      <c r="D23" t="s">
        <v>171</v>
      </c>
      <c r="E23">
        <v>154</v>
      </c>
      <c r="F23">
        <v>18</v>
      </c>
      <c r="G23">
        <f>F23*0.8*6.9</f>
        <v>99.360000000000014</v>
      </c>
      <c r="I23">
        <f t="shared" si="0"/>
        <v>54.639999999999986</v>
      </c>
      <c r="J23">
        <f t="shared" si="1"/>
        <v>0.35480519480519473</v>
      </c>
    </row>
    <row r="24" spans="1:11">
      <c r="B24" t="s">
        <v>234</v>
      </c>
      <c r="D24" t="s">
        <v>43</v>
      </c>
      <c r="E24">
        <v>199</v>
      </c>
      <c r="G24">
        <v>173</v>
      </c>
      <c r="I24">
        <f t="shared" si="0"/>
        <v>26</v>
      </c>
      <c r="J24">
        <f t="shared" si="1"/>
        <v>0.1306532663316583</v>
      </c>
      <c r="K24">
        <f>SUM(I21:I24)</f>
        <v>212.64</v>
      </c>
    </row>
    <row r="25" spans="1:11">
      <c r="C25" t="s">
        <v>30</v>
      </c>
      <c r="D25" t="s">
        <v>235</v>
      </c>
      <c r="E25">
        <v>160</v>
      </c>
      <c r="G25">
        <v>70</v>
      </c>
      <c r="I25">
        <f t="shared" si="0"/>
        <v>90</v>
      </c>
      <c r="J25">
        <f t="shared" si="1"/>
        <v>0.5625</v>
      </c>
    </row>
    <row r="26" spans="1:11">
      <c r="B26" t="s">
        <v>236</v>
      </c>
      <c r="D26" t="s">
        <v>237</v>
      </c>
      <c r="E26">
        <f>159</f>
        <v>159</v>
      </c>
      <c r="G26">
        <v>120</v>
      </c>
      <c r="I26">
        <f t="shared" si="0"/>
        <v>39</v>
      </c>
      <c r="J26">
        <f t="shared" si="1"/>
        <v>0.24528301886792453</v>
      </c>
    </row>
    <row r="27" spans="1:11">
      <c r="B27" t="s">
        <v>238</v>
      </c>
      <c r="D27" t="s">
        <v>239</v>
      </c>
      <c r="E27">
        <f>100*2+10</f>
        <v>210</v>
      </c>
      <c r="G27">
        <f>55*2</f>
        <v>110</v>
      </c>
      <c r="I27">
        <f t="shared" si="0"/>
        <v>100</v>
      </c>
      <c r="J27">
        <f t="shared" si="1"/>
        <v>0.47619047619047616</v>
      </c>
    </row>
    <row r="28" spans="1:11">
      <c r="C28" t="s">
        <v>30</v>
      </c>
      <c r="D28" t="s">
        <v>53</v>
      </c>
      <c r="E28">
        <v>135</v>
      </c>
      <c r="G28">
        <f>19*0.8*6.9</f>
        <v>104.88000000000001</v>
      </c>
      <c r="I28">
        <f t="shared" si="0"/>
        <v>30.11999999999999</v>
      </c>
      <c r="J28">
        <f t="shared" si="1"/>
        <v>0.22311111111111104</v>
      </c>
    </row>
    <row r="30" spans="1:11">
      <c r="A30">
        <v>1.7</v>
      </c>
      <c r="C30" t="s">
        <v>30</v>
      </c>
      <c r="D30" t="s">
        <v>240</v>
      </c>
      <c r="E30">
        <v>270</v>
      </c>
      <c r="G30">
        <v>248</v>
      </c>
      <c r="I30">
        <v>22</v>
      </c>
      <c r="J30">
        <f>I30/E30</f>
        <v>8.1481481481481488E-2</v>
      </c>
    </row>
    <row r="31" spans="1:11">
      <c r="B31" t="s">
        <v>241</v>
      </c>
      <c r="D31" t="s">
        <v>242</v>
      </c>
      <c r="E31">
        <v>489</v>
      </c>
      <c r="I31">
        <v>330.3</v>
      </c>
      <c r="J31">
        <f>I31/E31</f>
        <v>0.67546012269938649</v>
      </c>
    </row>
    <row r="32" spans="1:11">
      <c r="B32" t="s">
        <v>216</v>
      </c>
      <c r="D32" t="s">
        <v>243</v>
      </c>
      <c r="E32">
        <v>292</v>
      </c>
      <c r="G32">
        <f>7*6.9*2</f>
        <v>96.600000000000009</v>
      </c>
      <c r="I32">
        <f>E32-G32</f>
        <v>195.39999999999998</v>
      </c>
      <c r="J32">
        <f>I32/E32</f>
        <v>0.66917808219178077</v>
      </c>
      <c r="K32">
        <f>I31+I30+I32</f>
        <v>547.70000000000005</v>
      </c>
    </row>
    <row r="34" spans="1:11">
      <c r="A34">
        <v>1.8</v>
      </c>
      <c r="C34" t="s">
        <v>30</v>
      </c>
      <c r="D34" t="s">
        <v>244</v>
      </c>
      <c r="E34">
        <v>255</v>
      </c>
      <c r="I34">
        <v>22</v>
      </c>
      <c r="J34">
        <f>I34/E34</f>
        <v>8.6274509803921567E-2</v>
      </c>
    </row>
    <row r="35" spans="1:11">
      <c r="B35" t="s">
        <v>245</v>
      </c>
      <c r="C35" t="s">
        <v>30</v>
      </c>
      <c r="D35" t="s">
        <v>246</v>
      </c>
      <c r="E35">
        <v>550</v>
      </c>
      <c r="I35">
        <v>222.6</v>
      </c>
      <c r="J35">
        <f>I35/E35</f>
        <v>0.40472727272727271</v>
      </c>
    </row>
    <row r="36" spans="1:11">
      <c r="B36" t="s">
        <v>39</v>
      </c>
      <c r="C36" t="s">
        <v>30</v>
      </c>
      <c r="D36" t="s">
        <v>247</v>
      </c>
      <c r="E36">
        <v>350</v>
      </c>
      <c r="F36">
        <v>23</v>
      </c>
      <c r="G36">
        <f>F36*6.9</f>
        <v>158.70000000000002</v>
      </c>
      <c r="I36">
        <f t="shared" ref="I36:I44" si="2">E36-G36</f>
        <v>191.29999999999998</v>
      </c>
      <c r="J36">
        <f t="shared" ref="J36:J53" si="3">I36/E36</f>
        <v>0.54657142857142849</v>
      </c>
    </row>
    <row r="37" spans="1:11">
      <c r="C37" t="s">
        <v>30</v>
      </c>
      <c r="D37" t="s">
        <v>248</v>
      </c>
      <c r="E37">
        <v>315</v>
      </c>
      <c r="G37">
        <v>314</v>
      </c>
      <c r="I37">
        <f t="shared" si="2"/>
        <v>1</v>
      </c>
      <c r="J37">
        <f t="shared" si="3"/>
        <v>3.1746031746031746E-3</v>
      </c>
    </row>
    <row r="38" spans="1:11">
      <c r="C38" t="s">
        <v>30</v>
      </c>
      <c r="D38" t="s">
        <v>249</v>
      </c>
      <c r="E38">
        <v>615</v>
      </c>
      <c r="G38">
        <v>580</v>
      </c>
      <c r="I38">
        <f t="shared" si="2"/>
        <v>35</v>
      </c>
      <c r="J38">
        <f t="shared" si="3"/>
        <v>5.6910569105691054E-2</v>
      </c>
    </row>
    <row r="39" spans="1:11">
      <c r="C39" t="s">
        <v>30</v>
      </c>
      <c r="D39" t="s">
        <v>250</v>
      </c>
      <c r="E39">
        <v>110</v>
      </c>
      <c r="G39">
        <v>0</v>
      </c>
      <c r="I39">
        <f t="shared" si="2"/>
        <v>110</v>
      </c>
      <c r="J39">
        <f t="shared" si="3"/>
        <v>1</v>
      </c>
    </row>
    <row r="40" spans="1:11">
      <c r="B40" t="s">
        <v>85</v>
      </c>
      <c r="C40" t="s">
        <v>30</v>
      </c>
      <c r="D40" t="s">
        <v>251</v>
      </c>
      <c r="E40">
        <v>325</v>
      </c>
      <c r="G40">
        <v>298</v>
      </c>
      <c r="I40">
        <f t="shared" si="2"/>
        <v>27</v>
      </c>
      <c r="J40">
        <f t="shared" si="3"/>
        <v>8.3076923076923076E-2</v>
      </c>
    </row>
    <row r="41" spans="1:11">
      <c r="B41" t="s">
        <v>252</v>
      </c>
      <c r="C41" t="s">
        <v>30</v>
      </c>
      <c r="D41" t="s">
        <v>253</v>
      </c>
      <c r="E41">
        <v>145</v>
      </c>
      <c r="G41">
        <v>128</v>
      </c>
      <c r="I41">
        <f t="shared" si="2"/>
        <v>17</v>
      </c>
      <c r="J41">
        <f t="shared" si="3"/>
        <v>0.11724137931034483</v>
      </c>
    </row>
    <row r="42" spans="1:11">
      <c r="B42" t="s">
        <v>252</v>
      </c>
      <c r="C42" t="s">
        <v>30</v>
      </c>
      <c r="D42" t="s">
        <v>254</v>
      </c>
      <c r="E42">
        <v>825</v>
      </c>
      <c r="G42">
        <v>788</v>
      </c>
      <c r="I42">
        <f t="shared" si="2"/>
        <v>37</v>
      </c>
      <c r="J42">
        <f t="shared" si="3"/>
        <v>4.4848484848484846E-2</v>
      </c>
    </row>
    <row r="43" spans="1:11">
      <c r="B43" t="s">
        <v>255</v>
      </c>
      <c r="C43" t="s">
        <v>30</v>
      </c>
      <c r="D43" t="s">
        <v>256</v>
      </c>
      <c r="E43">
        <v>270</v>
      </c>
      <c r="F43">
        <v>32</v>
      </c>
      <c r="G43">
        <f>F43*6.9</f>
        <v>220.8</v>
      </c>
      <c r="I43">
        <f t="shared" si="2"/>
        <v>49.199999999999989</v>
      </c>
      <c r="J43">
        <f t="shared" si="3"/>
        <v>0.18222222222222217</v>
      </c>
    </row>
    <row r="44" spans="1:11">
      <c r="B44" t="s">
        <v>39</v>
      </c>
      <c r="C44" t="s">
        <v>30</v>
      </c>
      <c r="D44" t="s">
        <v>257</v>
      </c>
      <c r="E44">
        <v>120</v>
      </c>
      <c r="G44">
        <v>119</v>
      </c>
      <c r="I44">
        <f t="shared" si="2"/>
        <v>1</v>
      </c>
      <c r="J44">
        <f t="shared" si="3"/>
        <v>8.3333333333333332E-3</v>
      </c>
    </row>
    <row r="45" spans="1:11">
      <c r="B45" t="s">
        <v>39</v>
      </c>
      <c r="C45" t="s">
        <v>30</v>
      </c>
      <c r="D45" t="s">
        <v>258</v>
      </c>
      <c r="E45">
        <v>350</v>
      </c>
      <c r="G45">
        <v>276</v>
      </c>
      <c r="I45">
        <f>E45-G45</f>
        <v>74</v>
      </c>
      <c r="J45">
        <f t="shared" si="3"/>
        <v>0.21142857142857144</v>
      </c>
      <c r="K45">
        <f>SUM(I34:I45)</f>
        <v>787.09999999999991</v>
      </c>
    </row>
    <row r="46" spans="1:11">
      <c r="E46" t="s">
        <v>259</v>
      </c>
    </row>
    <row r="47" spans="1:11">
      <c r="A47">
        <v>1.9</v>
      </c>
      <c r="B47" t="s">
        <v>260</v>
      </c>
      <c r="C47" t="s">
        <v>30</v>
      </c>
      <c r="D47" t="s">
        <v>261</v>
      </c>
      <c r="E47">
        <v>225</v>
      </c>
      <c r="G47">
        <v>210</v>
      </c>
      <c r="I47">
        <f t="shared" ref="I47:I53" si="4">E47-G47</f>
        <v>15</v>
      </c>
      <c r="J47">
        <f t="shared" si="3"/>
        <v>6.6666666666666666E-2</v>
      </c>
    </row>
    <row r="48" spans="1:11">
      <c r="B48" t="s">
        <v>260</v>
      </c>
      <c r="C48" t="s">
        <v>30</v>
      </c>
      <c r="D48" t="s">
        <v>262</v>
      </c>
      <c r="E48">
        <v>200</v>
      </c>
      <c r="G48">
        <v>0</v>
      </c>
      <c r="I48">
        <f t="shared" si="4"/>
        <v>200</v>
      </c>
      <c r="J48">
        <f t="shared" si="3"/>
        <v>1</v>
      </c>
    </row>
    <row r="49" spans="1:11">
      <c r="B49" t="s">
        <v>260</v>
      </c>
      <c r="C49" t="s">
        <v>30</v>
      </c>
      <c r="D49" t="s">
        <v>263</v>
      </c>
      <c r="E49">
        <v>308</v>
      </c>
      <c r="G49">
        <v>268</v>
      </c>
      <c r="I49">
        <f t="shared" si="4"/>
        <v>40</v>
      </c>
      <c r="J49">
        <f t="shared" si="3"/>
        <v>0.12987012987012986</v>
      </c>
    </row>
    <row r="50" spans="1:11">
      <c r="B50" t="s">
        <v>260</v>
      </c>
      <c r="C50" t="s">
        <v>30</v>
      </c>
      <c r="D50" t="s">
        <v>264</v>
      </c>
      <c r="E50">
        <v>118</v>
      </c>
      <c r="G50">
        <v>92</v>
      </c>
      <c r="I50">
        <f t="shared" si="4"/>
        <v>26</v>
      </c>
      <c r="J50">
        <f t="shared" si="3"/>
        <v>0.22033898305084745</v>
      </c>
    </row>
    <row r="51" spans="1:11">
      <c r="B51" t="s">
        <v>39</v>
      </c>
      <c r="C51" t="s">
        <v>30</v>
      </c>
      <c r="D51" t="s">
        <v>265</v>
      </c>
      <c r="E51">
        <f>225+215</f>
        <v>440</v>
      </c>
      <c r="F51">
        <f>38*0.8*2</f>
        <v>60.800000000000004</v>
      </c>
      <c r="G51">
        <f>F51*6.9</f>
        <v>419.52000000000004</v>
      </c>
      <c r="I51">
        <f t="shared" si="4"/>
        <v>20.479999999999961</v>
      </c>
      <c r="J51">
        <f t="shared" si="3"/>
        <v>4.6545454545454459E-2</v>
      </c>
    </row>
    <row r="52" spans="1:11">
      <c r="B52" t="s">
        <v>39</v>
      </c>
      <c r="C52" t="s">
        <v>30</v>
      </c>
      <c r="D52" t="s">
        <v>266</v>
      </c>
      <c r="E52">
        <f>235*3+8+230*2+10</f>
        <v>1183</v>
      </c>
      <c r="G52">
        <f>460+675</f>
        <v>1135</v>
      </c>
      <c r="I52">
        <f t="shared" si="4"/>
        <v>48</v>
      </c>
      <c r="J52">
        <f t="shared" si="3"/>
        <v>4.0574809805579037E-2</v>
      </c>
    </row>
    <row r="53" spans="1:11">
      <c r="B53" t="s">
        <v>267</v>
      </c>
      <c r="C53" t="s">
        <v>30</v>
      </c>
      <c r="D53" t="s">
        <v>239</v>
      </c>
      <c r="E53">
        <f>65*2+10</f>
        <v>140</v>
      </c>
      <c r="G53">
        <f>55*2+8</f>
        <v>118</v>
      </c>
      <c r="I53">
        <f t="shared" si="4"/>
        <v>22</v>
      </c>
      <c r="J53">
        <f t="shared" si="3"/>
        <v>0.15714285714285714</v>
      </c>
      <c r="K53">
        <f>SUM(I47:I53)</f>
        <v>371.47999999999996</v>
      </c>
    </row>
    <row r="54" spans="1:11">
      <c r="B54" s="13"/>
      <c r="C54" s="13"/>
      <c r="D54" s="13"/>
      <c r="E54" s="13"/>
      <c r="F54" s="13"/>
    </row>
    <row r="55" spans="1:11">
      <c r="A55" t="s">
        <v>268</v>
      </c>
      <c r="B55" s="13" t="s">
        <v>39</v>
      </c>
      <c r="C55" s="13" t="s">
        <v>30</v>
      </c>
      <c r="D55" s="13" t="s">
        <v>269</v>
      </c>
      <c r="E55" s="13">
        <f>25*6.8+8</f>
        <v>178</v>
      </c>
      <c r="F55" s="13"/>
      <c r="G55">
        <v>150</v>
      </c>
      <c r="I55">
        <f>E55-G55</f>
        <v>28</v>
      </c>
      <c r="J55">
        <f>I55/E55</f>
        <v>0.15730337078651685</v>
      </c>
    </row>
    <row r="56" spans="1:11">
      <c r="B56" t="s">
        <v>270</v>
      </c>
      <c r="C56" t="s">
        <v>30</v>
      </c>
      <c r="D56" t="s">
        <v>222</v>
      </c>
      <c r="E56">
        <v>125</v>
      </c>
      <c r="F56">
        <f>18*0.75</f>
        <v>13.5</v>
      </c>
      <c r="G56">
        <f>F56*6.9</f>
        <v>93.15</v>
      </c>
      <c r="I56">
        <f>E56-G56</f>
        <v>31.849999999999994</v>
      </c>
      <c r="J56">
        <f>I56/E56</f>
        <v>0.25479999999999997</v>
      </c>
    </row>
    <row r="57" spans="1:11">
      <c r="B57" t="s">
        <v>270</v>
      </c>
      <c r="C57" t="s">
        <v>30</v>
      </c>
      <c r="D57" t="s">
        <v>222</v>
      </c>
      <c r="E57">
        <v>125</v>
      </c>
      <c r="F57">
        <f>18*0.75</f>
        <v>13.5</v>
      </c>
      <c r="G57">
        <f>F57*6.9</f>
        <v>93.15</v>
      </c>
      <c r="I57">
        <f>E57-G57</f>
        <v>31.849999999999994</v>
      </c>
      <c r="J57">
        <f t="shared" ref="J57:J67" si="5">I57/E57</f>
        <v>0.25479999999999997</v>
      </c>
    </row>
    <row r="58" spans="1:11">
      <c r="B58" t="s">
        <v>85</v>
      </c>
      <c r="C58" t="s">
        <v>30</v>
      </c>
      <c r="D58" t="s">
        <v>271</v>
      </c>
      <c r="E58">
        <v>369</v>
      </c>
      <c r="G58">
        <v>330</v>
      </c>
      <c r="I58">
        <f>E58-G58</f>
        <v>39</v>
      </c>
      <c r="J58">
        <f t="shared" si="5"/>
        <v>0.10569105691056911</v>
      </c>
    </row>
    <row r="59" spans="1:11">
      <c r="B59" t="s">
        <v>272</v>
      </c>
      <c r="D59" t="s">
        <v>273</v>
      </c>
      <c r="E59">
        <v>359</v>
      </c>
      <c r="G59">
        <v>150</v>
      </c>
      <c r="I59">
        <f>E59-G59</f>
        <v>209</v>
      </c>
      <c r="J59">
        <f t="shared" si="5"/>
        <v>0.5821727019498607</v>
      </c>
      <c r="K59">
        <f>SUM(I55:I59)</f>
        <v>339.7</v>
      </c>
    </row>
    <row r="61" spans="1:11">
      <c r="A61">
        <v>1.1100000000000001</v>
      </c>
      <c r="B61" t="s">
        <v>85</v>
      </c>
      <c r="C61" t="s">
        <v>30</v>
      </c>
      <c r="D61" t="s">
        <v>274</v>
      </c>
      <c r="E61">
        <v>195</v>
      </c>
      <c r="G61">
        <v>190</v>
      </c>
      <c r="I61">
        <f>E61-G61</f>
        <v>5</v>
      </c>
      <c r="J61">
        <f t="shared" si="5"/>
        <v>2.564102564102564E-2</v>
      </c>
    </row>
    <row r="62" spans="1:11">
      <c r="B62" t="s">
        <v>275</v>
      </c>
      <c r="D62" t="s">
        <v>27</v>
      </c>
      <c r="E62">
        <f>199*2</f>
        <v>398</v>
      </c>
      <c r="G62">
        <f>118*2</f>
        <v>236</v>
      </c>
      <c r="I62">
        <f t="shared" ref="I62:I67" si="6">E62-G62</f>
        <v>162</v>
      </c>
      <c r="J62">
        <f t="shared" si="5"/>
        <v>0.40703517587939697</v>
      </c>
    </row>
    <row r="63" spans="1:11">
      <c r="B63" t="s">
        <v>39</v>
      </c>
      <c r="C63" t="s">
        <v>30</v>
      </c>
      <c r="D63" t="s">
        <v>27</v>
      </c>
      <c r="E63">
        <v>139</v>
      </c>
      <c r="G63">
        <v>118</v>
      </c>
      <c r="I63">
        <f t="shared" si="6"/>
        <v>21</v>
      </c>
      <c r="J63">
        <f t="shared" si="5"/>
        <v>0.15107913669064749</v>
      </c>
    </row>
    <row r="64" spans="1:11">
      <c r="B64" t="s">
        <v>276</v>
      </c>
      <c r="C64" t="s">
        <v>30</v>
      </c>
      <c r="D64" t="s">
        <v>277</v>
      </c>
      <c r="E64">
        <v>190</v>
      </c>
      <c r="G64">
        <f>26*6.9</f>
        <v>179.4</v>
      </c>
      <c r="I64">
        <f t="shared" si="6"/>
        <v>10.599999999999994</v>
      </c>
      <c r="J64">
        <f t="shared" si="5"/>
        <v>5.5789473684210493E-2</v>
      </c>
    </row>
    <row r="65" spans="1:11">
      <c r="B65" t="s">
        <v>278</v>
      </c>
      <c r="D65" t="s">
        <v>54</v>
      </c>
      <c r="E65">
        <v>499</v>
      </c>
      <c r="F65">
        <f>74*0.7</f>
        <v>51.8</v>
      </c>
      <c r="G65">
        <f>F65*6.8</f>
        <v>352.23999999999995</v>
      </c>
      <c r="I65">
        <f t="shared" si="6"/>
        <v>146.76000000000005</v>
      </c>
      <c r="J65">
        <f t="shared" si="5"/>
        <v>0.29410821643286583</v>
      </c>
    </row>
    <row r="66" spans="1:11">
      <c r="B66" t="s">
        <v>278</v>
      </c>
      <c r="D66" t="s">
        <v>279</v>
      </c>
      <c r="E66">
        <v>325</v>
      </c>
      <c r="G66">
        <f>265+8</f>
        <v>273</v>
      </c>
      <c r="I66">
        <f t="shared" si="6"/>
        <v>52</v>
      </c>
      <c r="J66">
        <f t="shared" si="5"/>
        <v>0.16</v>
      </c>
    </row>
    <row r="67" spans="1:11">
      <c r="B67" t="s">
        <v>280</v>
      </c>
      <c r="D67" t="s">
        <v>54</v>
      </c>
      <c r="E67">
        <v>499</v>
      </c>
      <c r="F67">
        <f>74*0.7</f>
        <v>51.8</v>
      </c>
      <c r="G67">
        <f>F67*6.8</f>
        <v>352.23999999999995</v>
      </c>
      <c r="I67">
        <f t="shared" si="6"/>
        <v>146.76000000000005</v>
      </c>
      <c r="J67">
        <f t="shared" si="5"/>
        <v>0.29410821643286583</v>
      </c>
      <c r="K67">
        <f>SUM(I61:I67)</f>
        <v>544.12000000000012</v>
      </c>
    </row>
    <row r="69" spans="1:11">
      <c r="A69">
        <v>1.1200000000000001</v>
      </c>
      <c r="B69" t="s">
        <v>252</v>
      </c>
      <c r="C69" t="s">
        <v>30</v>
      </c>
      <c r="D69" t="s">
        <v>281</v>
      </c>
      <c r="E69">
        <f>195+175+10</f>
        <v>380</v>
      </c>
      <c r="G69">
        <f>180+170+10</f>
        <v>360</v>
      </c>
      <c r="I69">
        <f>E69-G69</f>
        <v>20</v>
      </c>
      <c r="J69">
        <f>I69/E69</f>
        <v>5.2631578947368418E-2</v>
      </c>
    </row>
    <row r="70" spans="1:11">
      <c r="B70" t="s">
        <v>282</v>
      </c>
      <c r="D70" t="s">
        <v>283</v>
      </c>
      <c r="E70">
        <v>540</v>
      </c>
      <c r="G70">
        <v>470</v>
      </c>
      <c r="I70">
        <f>E70-G70</f>
        <v>70</v>
      </c>
      <c r="J70">
        <f t="shared" ref="J70:J94" si="7">I70/E70</f>
        <v>0.12962962962962962</v>
      </c>
    </row>
    <row r="71" spans="1:11">
      <c r="B71" t="s">
        <v>275</v>
      </c>
      <c r="D71" t="s">
        <v>284</v>
      </c>
      <c r="E71">
        <v>745</v>
      </c>
      <c r="G71">
        <f>580+10</f>
        <v>590</v>
      </c>
      <c r="I71">
        <f>E71-G71</f>
        <v>155</v>
      </c>
      <c r="J71">
        <f t="shared" si="7"/>
        <v>0.20805369127516779</v>
      </c>
    </row>
    <row r="72" spans="1:11">
      <c r="B72" t="s">
        <v>275</v>
      </c>
      <c r="D72" t="s">
        <v>243</v>
      </c>
      <c r="E72">
        <v>150</v>
      </c>
      <c r="G72">
        <f>7*6.9</f>
        <v>48.300000000000004</v>
      </c>
      <c r="I72">
        <f>E72-G72</f>
        <v>101.69999999999999</v>
      </c>
      <c r="J72">
        <f t="shared" si="7"/>
        <v>0.67799999999999994</v>
      </c>
    </row>
    <row r="73" spans="1:11">
      <c r="B73" t="s">
        <v>275</v>
      </c>
      <c r="D73" t="s">
        <v>285</v>
      </c>
      <c r="E73">
        <v>99</v>
      </c>
      <c r="G73">
        <f>5.5*7</f>
        <v>38.5</v>
      </c>
      <c r="I73">
        <f t="shared" ref="I73:I94" si="8">E73-G73</f>
        <v>60.5</v>
      </c>
      <c r="J73">
        <f t="shared" si="7"/>
        <v>0.61111111111111116</v>
      </c>
    </row>
    <row r="74" spans="1:11">
      <c r="B74" t="s">
        <v>275</v>
      </c>
      <c r="D74" t="s">
        <v>286</v>
      </c>
      <c r="E74">
        <v>55</v>
      </c>
      <c r="G74">
        <v>33</v>
      </c>
      <c r="I74">
        <f t="shared" si="8"/>
        <v>22</v>
      </c>
      <c r="J74">
        <f t="shared" si="7"/>
        <v>0.4</v>
      </c>
    </row>
    <row r="75" spans="1:11">
      <c r="B75" t="s">
        <v>275</v>
      </c>
      <c r="D75" t="s">
        <v>287</v>
      </c>
      <c r="E75">
        <v>99</v>
      </c>
      <c r="G75">
        <f>6*7</f>
        <v>42</v>
      </c>
      <c r="I75">
        <f t="shared" si="8"/>
        <v>57</v>
      </c>
      <c r="J75">
        <f t="shared" si="7"/>
        <v>0.5757575757575758</v>
      </c>
    </row>
    <row r="76" spans="1:11">
      <c r="B76" t="s">
        <v>85</v>
      </c>
      <c r="C76" t="s">
        <v>30</v>
      </c>
      <c r="D76" t="s">
        <v>288</v>
      </c>
      <c r="E76">
        <v>360</v>
      </c>
      <c r="G76">
        <f>60*0.8*6.9</f>
        <v>331.20000000000005</v>
      </c>
      <c r="I76">
        <f t="shared" si="8"/>
        <v>28.799999999999955</v>
      </c>
      <c r="J76">
        <f t="shared" si="7"/>
        <v>7.9999999999999877E-2</v>
      </c>
    </row>
    <row r="77" spans="1:11">
      <c r="B77" t="s">
        <v>85</v>
      </c>
      <c r="C77" t="s">
        <v>30</v>
      </c>
      <c r="D77" t="s">
        <v>289</v>
      </c>
      <c r="E77">
        <v>220</v>
      </c>
      <c r="G77">
        <v>185</v>
      </c>
      <c r="I77">
        <f t="shared" si="8"/>
        <v>35</v>
      </c>
      <c r="J77">
        <f t="shared" si="7"/>
        <v>0.15909090909090909</v>
      </c>
    </row>
    <row r="78" spans="1:11">
      <c r="B78" t="s">
        <v>220</v>
      </c>
      <c r="D78" t="s">
        <v>290</v>
      </c>
      <c r="E78">
        <v>185</v>
      </c>
      <c r="G78">
        <v>135</v>
      </c>
      <c r="I78">
        <f t="shared" si="8"/>
        <v>50</v>
      </c>
      <c r="J78">
        <f t="shared" si="7"/>
        <v>0.27027027027027029</v>
      </c>
    </row>
    <row r="79" spans="1:11">
      <c r="B79" t="s">
        <v>39</v>
      </c>
      <c r="C79" t="s">
        <v>30</v>
      </c>
      <c r="D79" t="s">
        <v>291</v>
      </c>
      <c r="E79">
        <f>8*6.8</f>
        <v>54.4</v>
      </c>
      <c r="G79">
        <v>0</v>
      </c>
      <c r="I79">
        <f t="shared" si="8"/>
        <v>54.4</v>
      </c>
      <c r="J79">
        <f t="shared" si="7"/>
        <v>1</v>
      </c>
    </row>
    <row r="80" spans="1:11">
      <c r="B80" t="s">
        <v>292</v>
      </c>
      <c r="C80" t="s">
        <v>293</v>
      </c>
      <c r="D80" t="s">
        <v>294</v>
      </c>
      <c r="E80">
        <v>68</v>
      </c>
      <c r="G80">
        <v>0</v>
      </c>
      <c r="I80">
        <f t="shared" si="8"/>
        <v>68</v>
      </c>
      <c r="J80">
        <f t="shared" si="7"/>
        <v>1</v>
      </c>
      <c r="K80">
        <f>SUM(I69:I80)</f>
        <v>722.4</v>
      </c>
    </row>
    <row r="82" spans="1:11">
      <c r="A82">
        <v>1.1299999999999999</v>
      </c>
      <c r="B82" t="s">
        <v>295</v>
      </c>
      <c r="C82" t="s">
        <v>30</v>
      </c>
      <c r="D82" t="s">
        <v>296</v>
      </c>
      <c r="E82">
        <v>392</v>
      </c>
      <c r="F82">
        <f>40*1.1+1</f>
        <v>45</v>
      </c>
      <c r="G82">
        <f>F82*6.9</f>
        <v>310.5</v>
      </c>
      <c r="I82">
        <f t="shared" si="8"/>
        <v>81.5</v>
      </c>
      <c r="J82">
        <f t="shared" si="7"/>
        <v>0.20790816326530612</v>
      </c>
    </row>
    <row r="83" spans="1:11">
      <c r="B83" t="s">
        <v>97</v>
      </c>
      <c r="C83" t="s">
        <v>30</v>
      </c>
      <c r="D83" t="s">
        <v>297</v>
      </c>
      <c r="E83">
        <v>159</v>
      </c>
      <c r="G83">
        <v>30</v>
      </c>
      <c r="I83">
        <f t="shared" si="8"/>
        <v>129</v>
      </c>
      <c r="J83">
        <f t="shared" si="7"/>
        <v>0.81132075471698117</v>
      </c>
    </row>
    <row r="84" spans="1:11">
      <c r="B84" t="s">
        <v>298</v>
      </c>
      <c r="D84" t="s">
        <v>130</v>
      </c>
      <c r="E84">
        <v>135</v>
      </c>
      <c r="G84">
        <v>15</v>
      </c>
      <c r="I84">
        <f t="shared" si="8"/>
        <v>120</v>
      </c>
      <c r="J84">
        <f t="shared" si="7"/>
        <v>0.88888888888888884</v>
      </c>
      <c r="K84">
        <f>SUM(I82:I84)</f>
        <v>330.5</v>
      </c>
    </row>
    <row r="86" spans="1:11">
      <c r="A86">
        <v>1.1399999999999999</v>
      </c>
      <c r="B86" t="s">
        <v>255</v>
      </c>
      <c r="C86" t="s">
        <v>30</v>
      </c>
      <c r="D86" t="s">
        <v>299</v>
      </c>
      <c r="E86">
        <v>840</v>
      </c>
      <c r="F86">
        <f>68</f>
        <v>68</v>
      </c>
      <c r="G86">
        <f>F86*6.8+10+5+5</f>
        <v>482.4</v>
      </c>
      <c r="I86">
        <f t="shared" si="8"/>
        <v>357.6</v>
      </c>
      <c r="J86">
        <f t="shared" si="7"/>
        <v>0.42571428571428577</v>
      </c>
    </row>
    <row r="87" spans="1:11">
      <c r="B87" t="s">
        <v>245</v>
      </c>
      <c r="C87" t="s">
        <v>30</v>
      </c>
      <c r="D87" t="s">
        <v>300</v>
      </c>
      <c r="E87">
        <v>270</v>
      </c>
      <c r="G87">
        <f>22.5*6.9</f>
        <v>155.25</v>
      </c>
      <c r="I87">
        <f t="shared" si="8"/>
        <v>114.75</v>
      </c>
      <c r="J87">
        <f t="shared" si="7"/>
        <v>0.42499999999999999</v>
      </c>
    </row>
    <row r="88" spans="1:11">
      <c r="B88" t="s">
        <v>255</v>
      </c>
      <c r="C88" t="s">
        <v>30</v>
      </c>
      <c r="D88" t="s">
        <v>300</v>
      </c>
      <c r="E88">
        <v>270</v>
      </c>
      <c r="G88">
        <f>22.5*6.9</f>
        <v>155.25</v>
      </c>
      <c r="I88">
        <f t="shared" si="8"/>
        <v>114.75</v>
      </c>
      <c r="J88">
        <f t="shared" si="7"/>
        <v>0.42499999999999999</v>
      </c>
    </row>
    <row r="89" spans="1:11">
      <c r="B89" t="s">
        <v>301</v>
      </c>
      <c r="D89" t="s">
        <v>302</v>
      </c>
      <c r="E89">
        <v>499</v>
      </c>
      <c r="F89">
        <v>65</v>
      </c>
      <c r="G89">
        <f>F89*6.9+8</f>
        <v>456.5</v>
      </c>
      <c r="I89">
        <f t="shared" si="8"/>
        <v>42.5</v>
      </c>
      <c r="J89">
        <f t="shared" si="7"/>
        <v>8.5170340681362727E-2</v>
      </c>
    </row>
    <row r="90" spans="1:11">
      <c r="B90" t="s">
        <v>303</v>
      </c>
      <c r="C90" t="s">
        <v>30</v>
      </c>
      <c r="D90" t="s">
        <v>304</v>
      </c>
      <c r="E90">
        <v>275</v>
      </c>
      <c r="G90">
        <v>228</v>
      </c>
      <c r="I90">
        <f t="shared" si="8"/>
        <v>47</v>
      </c>
      <c r="J90">
        <f t="shared" si="7"/>
        <v>0.1709090909090909</v>
      </c>
      <c r="K90">
        <f>SUM(I86:I90)</f>
        <v>676.6</v>
      </c>
    </row>
    <row r="92" spans="1:11">
      <c r="A92">
        <v>1.1499999999999999</v>
      </c>
      <c r="B92" t="s">
        <v>39</v>
      </c>
      <c r="C92" t="s">
        <v>30</v>
      </c>
      <c r="D92" t="s">
        <v>305</v>
      </c>
      <c r="E92">
        <v>510</v>
      </c>
      <c r="G92">
        <v>360</v>
      </c>
      <c r="I92">
        <f t="shared" si="8"/>
        <v>150</v>
      </c>
      <c r="J92">
        <f t="shared" si="7"/>
        <v>0.29411764705882354</v>
      </c>
    </row>
    <row r="93" spans="1:11">
      <c r="B93" t="s">
        <v>306</v>
      </c>
      <c r="D93" t="s">
        <v>307</v>
      </c>
      <c r="E93">
        <v>150</v>
      </c>
      <c r="G93">
        <v>95</v>
      </c>
      <c r="I93">
        <f t="shared" si="8"/>
        <v>55</v>
      </c>
      <c r="J93">
        <f t="shared" si="7"/>
        <v>0.36666666666666664</v>
      </c>
    </row>
    <row r="94" spans="1:11">
      <c r="B94" t="s">
        <v>245</v>
      </c>
      <c r="C94" t="s">
        <v>30</v>
      </c>
      <c r="D94" t="s">
        <v>308</v>
      </c>
      <c r="E94">
        <f>370*2</f>
        <v>740</v>
      </c>
      <c r="G94">
        <f>30*6.9*2</f>
        <v>414</v>
      </c>
      <c r="I94">
        <f t="shared" si="8"/>
        <v>326</v>
      </c>
      <c r="J94">
        <f t="shared" si="7"/>
        <v>0.44054054054054054</v>
      </c>
      <c r="K94">
        <f>SUM(I92:I94)</f>
        <v>531</v>
      </c>
    </row>
    <row r="95" spans="1:11">
      <c r="B95" t="s">
        <v>39</v>
      </c>
      <c r="C95" t="s">
        <v>30</v>
      </c>
      <c r="D95" t="s">
        <v>44</v>
      </c>
      <c r="E95">
        <v>325</v>
      </c>
    </row>
    <row r="97" spans="1:11">
      <c r="A97">
        <v>1.1599999999999999</v>
      </c>
      <c r="B97" t="s">
        <v>255</v>
      </c>
      <c r="C97" t="s">
        <v>30</v>
      </c>
      <c r="D97" t="s">
        <v>299</v>
      </c>
      <c r="E97">
        <f>840*2</f>
        <v>1680</v>
      </c>
      <c r="F97">
        <f>68</f>
        <v>68</v>
      </c>
      <c r="G97">
        <f>(F97*6.8+10+5+5)*2</f>
        <v>964.8</v>
      </c>
      <c r="I97">
        <f>E97-G97</f>
        <v>715.2</v>
      </c>
      <c r="J97">
        <f t="shared" ref="J97:J102" si="9">I97/E97</f>
        <v>0.42571428571428577</v>
      </c>
    </row>
    <row r="98" spans="1:11">
      <c r="B98" t="s">
        <v>255</v>
      </c>
      <c r="C98" t="s">
        <v>30</v>
      </c>
      <c r="D98" t="s">
        <v>309</v>
      </c>
      <c r="E98">
        <v>1250</v>
      </c>
      <c r="G98">
        <f>1120+8</f>
        <v>1128</v>
      </c>
      <c r="I98">
        <f>E98-G98</f>
        <v>122</v>
      </c>
      <c r="J98">
        <f t="shared" si="9"/>
        <v>9.7600000000000006E-2</v>
      </c>
    </row>
    <row r="99" spans="1:11">
      <c r="B99" t="s">
        <v>16</v>
      </c>
      <c r="D99" t="s">
        <v>310</v>
      </c>
      <c r="E99">
        <f>108*4</f>
        <v>432</v>
      </c>
      <c r="G99">
        <f>56*4</f>
        <v>224</v>
      </c>
      <c r="I99">
        <f>E99-G99</f>
        <v>208</v>
      </c>
      <c r="J99">
        <f t="shared" si="9"/>
        <v>0.48148148148148145</v>
      </c>
    </row>
    <row r="100" spans="1:11">
      <c r="B100" t="s">
        <v>311</v>
      </c>
      <c r="C100" t="s">
        <v>30</v>
      </c>
      <c r="D100" t="s">
        <v>57</v>
      </c>
      <c r="E100">
        <f>1250</f>
        <v>1250</v>
      </c>
      <c r="F100">
        <f>38*0.8*5</f>
        <v>152</v>
      </c>
      <c r="G100">
        <f>F100*6.9+8</f>
        <v>1056.8</v>
      </c>
      <c r="I100">
        <f>E100-G100</f>
        <v>193.20000000000005</v>
      </c>
      <c r="J100">
        <f t="shared" si="9"/>
        <v>0.15456000000000003</v>
      </c>
    </row>
    <row r="101" spans="1:11">
      <c r="B101" t="s">
        <v>311</v>
      </c>
      <c r="C101" t="s">
        <v>30</v>
      </c>
      <c r="D101" t="s">
        <v>312</v>
      </c>
      <c r="E101">
        <f>125*5</f>
        <v>625</v>
      </c>
      <c r="F101">
        <f>18.5*0.73*5</f>
        <v>67.524999999999991</v>
      </c>
      <c r="G101">
        <f>F101*6.9+8</f>
        <v>473.92249999999996</v>
      </c>
      <c r="I101">
        <f>E101-G101</f>
        <v>151.07750000000004</v>
      </c>
      <c r="J101">
        <f t="shared" si="9"/>
        <v>0.24172400000000008</v>
      </c>
    </row>
    <row r="102" spans="1:11">
      <c r="B102" t="s">
        <v>313</v>
      </c>
      <c r="C102" t="s">
        <v>30</v>
      </c>
      <c r="D102" t="s">
        <v>57</v>
      </c>
      <c r="E102">
        <v>252</v>
      </c>
      <c r="I102">
        <v>42.24</v>
      </c>
      <c r="J102">
        <f t="shared" si="9"/>
        <v>0.16761904761904764</v>
      </c>
      <c r="K102">
        <f>SUM(I97:I102)</f>
        <v>1431.7175000000002</v>
      </c>
    </row>
    <row r="104" spans="1:11">
      <c r="A104">
        <v>1.17</v>
      </c>
      <c r="B104" t="s">
        <v>314</v>
      </c>
      <c r="D104" t="s">
        <v>315</v>
      </c>
      <c r="E104">
        <v>580</v>
      </c>
      <c r="G104">
        <v>450</v>
      </c>
      <c r="I104">
        <f>E104-G104</f>
        <v>130</v>
      </c>
      <c r="J104">
        <f>I104/E104</f>
        <v>0.22413793103448276</v>
      </c>
    </row>
    <row r="105" spans="1:11">
      <c r="B105" t="s">
        <v>292</v>
      </c>
      <c r="C105" t="s">
        <v>30</v>
      </c>
      <c r="D105" t="s">
        <v>316</v>
      </c>
      <c r="E105">
        <v>750</v>
      </c>
      <c r="F105">
        <f>98*0.88</f>
        <v>86.24</v>
      </c>
      <c r="G105">
        <f>F105*6.9+8</f>
        <v>603.05600000000004</v>
      </c>
      <c r="I105">
        <f>E105-G105</f>
        <v>146.94399999999996</v>
      </c>
      <c r="J105">
        <f>I105/E105</f>
        <v>0.19592533333333328</v>
      </c>
    </row>
    <row r="107" spans="1:11">
      <c r="A107">
        <v>1.18</v>
      </c>
      <c r="B107" t="s">
        <v>317</v>
      </c>
      <c r="D107" t="s">
        <v>318</v>
      </c>
      <c r="E107">
        <v>310</v>
      </c>
      <c r="G107">
        <v>150</v>
      </c>
      <c r="I107">
        <f t="shared" ref="I107:I116" si="10">E107-G107</f>
        <v>160</v>
      </c>
      <c r="J107">
        <f t="shared" ref="J107:J116" si="11">I107/E107</f>
        <v>0.5161290322580645</v>
      </c>
    </row>
    <row r="108" spans="1:11">
      <c r="B108" t="s">
        <v>317</v>
      </c>
      <c r="D108" t="s">
        <v>319</v>
      </c>
      <c r="E108">
        <v>399</v>
      </c>
      <c r="F108">
        <v>39</v>
      </c>
      <c r="G108">
        <f>F108*6.9</f>
        <v>269.10000000000002</v>
      </c>
      <c r="I108">
        <f t="shared" si="10"/>
        <v>129.89999999999998</v>
      </c>
      <c r="J108">
        <f t="shared" si="11"/>
        <v>0.32556390977443606</v>
      </c>
    </row>
    <row r="109" spans="1:11">
      <c r="B109" t="s">
        <v>317</v>
      </c>
      <c r="D109" t="s">
        <v>320</v>
      </c>
      <c r="E109">
        <v>445</v>
      </c>
      <c r="I109">
        <f t="shared" si="10"/>
        <v>445</v>
      </c>
      <c r="J109">
        <f t="shared" si="11"/>
        <v>1</v>
      </c>
    </row>
    <row r="110" spans="1:11">
      <c r="B110" t="s">
        <v>317</v>
      </c>
      <c r="D110" t="s">
        <v>321</v>
      </c>
      <c r="E110">
        <v>205</v>
      </c>
      <c r="I110">
        <f t="shared" si="10"/>
        <v>205</v>
      </c>
      <c r="J110">
        <f t="shared" si="11"/>
        <v>1</v>
      </c>
    </row>
    <row r="112" spans="1:11">
      <c r="A112">
        <v>1.19</v>
      </c>
      <c r="B112" t="s">
        <v>322</v>
      </c>
      <c r="D112" t="s">
        <v>323</v>
      </c>
      <c r="E112">
        <v>1330</v>
      </c>
      <c r="G112">
        <v>1119</v>
      </c>
      <c r="I112">
        <f t="shared" si="10"/>
        <v>211</v>
      </c>
      <c r="J112">
        <f t="shared" si="11"/>
        <v>0.1586466165413534</v>
      </c>
    </row>
    <row r="113" spans="1:10">
      <c r="C113" t="s">
        <v>30</v>
      </c>
      <c r="D113" t="s">
        <v>324</v>
      </c>
      <c r="E113">
        <v>250</v>
      </c>
      <c r="G113">
        <v>238</v>
      </c>
      <c r="I113">
        <f t="shared" si="10"/>
        <v>12</v>
      </c>
      <c r="J113">
        <f t="shared" si="11"/>
        <v>4.8000000000000001E-2</v>
      </c>
    </row>
    <row r="114" spans="1:10">
      <c r="B114" t="s">
        <v>278</v>
      </c>
      <c r="D114" t="s">
        <v>325</v>
      </c>
      <c r="E114">
        <v>245</v>
      </c>
      <c r="G114">
        <v>200</v>
      </c>
      <c r="I114">
        <f t="shared" si="10"/>
        <v>45</v>
      </c>
      <c r="J114">
        <f t="shared" si="11"/>
        <v>0.18367346938775511</v>
      </c>
    </row>
    <row r="115" spans="1:10">
      <c r="B115" t="s">
        <v>326</v>
      </c>
      <c r="D115" t="s">
        <v>327</v>
      </c>
      <c r="E115">
        <v>888</v>
      </c>
      <c r="F115">
        <v>90</v>
      </c>
      <c r="G115">
        <f>F115*6.88</f>
        <v>619.20000000000005</v>
      </c>
      <c r="I115">
        <f t="shared" si="10"/>
        <v>268.79999999999995</v>
      </c>
      <c r="J115">
        <f t="shared" si="11"/>
        <v>0.30270270270270266</v>
      </c>
    </row>
    <row r="116" spans="1:10">
      <c r="B116" t="s">
        <v>326</v>
      </c>
      <c r="D116" t="s">
        <v>328</v>
      </c>
      <c r="E116">
        <v>145</v>
      </c>
      <c r="G116">
        <v>92</v>
      </c>
      <c r="I116">
        <f t="shared" si="10"/>
        <v>53</v>
      </c>
      <c r="J116">
        <f t="shared" si="11"/>
        <v>0.36551724137931035</v>
      </c>
    </row>
    <row r="120" spans="1:10">
      <c r="A120" t="s">
        <v>329</v>
      </c>
      <c r="C120" t="s">
        <v>30</v>
      </c>
      <c r="D120" t="s">
        <v>330</v>
      </c>
      <c r="E120">
        <v>355</v>
      </c>
      <c r="G120">
        <v>315</v>
      </c>
      <c r="I120">
        <v>30</v>
      </c>
      <c r="J120">
        <f>I120/E120</f>
        <v>8.4507042253521125E-2</v>
      </c>
    </row>
    <row r="121" spans="1:10">
      <c r="B121" t="s">
        <v>313</v>
      </c>
      <c r="C121" t="s">
        <v>30</v>
      </c>
      <c r="D121" t="s">
        <v>57</v>
      </c>
      <c r="E121">
        <v>252</v>
      </c>
      <c r="I121">
        <v>42.24</v>
      </c>
      <c r="J121">
        <f>I121/E121</f>
        <v>0.16761904761904764</v>
      </c>
    </row>
    <row r="122" spans="1:10">
      <c r="B122">
        <v>9</v>
      </c>
      <c r="C122" t="s">
        <v>30</v>
      </c>
      <c r="D122" t="s">
        <v>222</v>
      </c>
      <c r="E122">
        <v>135</v>
      </c>
      <c r="F122">
        <f>18*0.75</f>
        <v>13.5</v>
      </c>
      <c r="G122">
        <f>F122*6.85+10</f>
        <v>102.47499999999999</v>
      </c>
      <c r="I122">
        <f>E122-G122</f>
        <v>32.525000000000006</v>
      </c>
      <c r="J122">
        <f>I122/E122</f>
        <v>0.24092592592592596</v>
      </c>
    </row>
    <row r="124" spans="1:10">
      <c r="A124">
        <v>1.21</v>
      </c>
      <c r="C124" t="s">
        <v>30</v>
      </c>
      <c r="D124" t="s">
        <v>331</v>
      </c>
      <c r="E124">
        <f>155+155</f>
        <v>310</v>
      </c>
      <c r="G124">
        <f>G127*2</f>
        <v>161.75670000000002</v>
      </c>
      <c r="I124">
        <f>E124-G124</f>
        <v>148.24329999999998</v>
      </c>
      <c r="J124">
        <f>I124/E124</f>
        <v>0.478204193548387</v>
      </c>
    </row>
    <row r="125" spans="1:10">
      <c r="B125" t="s">
        <v>39</v>
      </c>
      <c r="C125" t="s">
        <v>30</v>
      </c>
      <c r="D125" t="s">
        <v>332</v>
      </c>
      <c r="E125">
        <v>800</v>
      </c>
      <c r="G125">
        <v>714</v>
      </c>
      <c r="I125">
        <f>E125-G125</f>
        <v>86</v>
      </c>
      <c r="J125">
        <f>I125/E125</f>
        <v>0.1075</v>
      </c>
    </row>
    <row r="126" spans="1:10">
      <c r="B126" t="s">
        <v>97</v>
      </c>
      <c r="C126" t="s">
        <v>30</v>
      </c>
      <c r="D126" t="s">
        <v>333</v>
      </c>
      <c r="E126">
        <f>75*2</f>
        <v>150</v>
      </c>
      <c r="G126">
        <f>55*2</f>
        <v>110</v>
      </c>
      <c r="I126">
        <f>E126-G126</f>
        <v>40</v>
      </c>
      <c r="J126">
        <f>I126/E126</f>
        <v>0.26666666666666666</v>
      </c>
    </row>
    <row r="127" spans="1:10">
      <c r="B127" t="s">
        <v>97</v>
      </c>
      <c r="C127" t="s">
        <v>30</v>
      </c>
      <c r="D127" t="s">
        <v>334</v>
      </c>
      <c r="E127">
        <v>160</v>
      </c>
      <c r="G127">
        <f>14*0.85*6.9*0.985</f>
        <v>80.878350000000012</v>
      </c>
      <c r="I127">
        <f>E127-G127</f>
        <v>79.121649999999988</v>
      </c>
      <c r="J127">
        <f>I127/E127</f>
        <v>0.49451031249999994</v>
      </c>
    </row>
    <row r="129" spans="1:11">
      <c r="A129">
        <v>1.22</v>
      </c>
      <c r="B129" t="s">
        <v>267</v>
      </c>
      <c r="C129" t="s">
        <v>30</v>
      </c>
      <c r="D129" t="s">
        <v>335</v>
      </c>
      <c r="E129">
        <v>131</v>
      </c>
      <c r="G129">
        <v>125</v>
      </c>
      <c r="I129">
        <f>E129-G129</f>
        <v>6</v>
      </c>
      <c r="J129">
        <f>I129/E129</f>
        <v>4.5801526717557252E-2</v>
      </c>
    </row>
    <row r="130" spans="1:11">
      <c r="B130" t="s">
        <v>336</v>
      </c>
      <c r="C130" t="s">
        <v>30</v>
      </c>
      <c r="D130" t="s">
        <v>299</v>
      </c>
      <c r="E130">
        <v>910</v>
      </c>
      <c r="G130">
        <f>615.8+15</f>
        <v>630.79999999999995</v>
      </c>
      <c r="I130">
        <f>E130-G130</f>
        <v>279.20000000000005</v>
      </c>
      <c r="J130">
        <f>I130/E130</f>
        <v>0.30681318681318687</v>
      </c>
    </row>
    <row r="132" spans="1:11">
      <c r="A132">
        <v>1.23</v>
      </c>
      <c r="B132" t="s">
        <v>147</v>
      </c>
      <c r="D132" t="s">
        <v>337</v>
      </c>
      <c r="E132">
        <v>199</v>
      </c>
      <c r="G132">
        <v>159</v>
      </c>
      <c r="I132">
        <f t="shared" ref="I132:I137" si="12">E132-G132</f>
        <v>40</v>
      </c>
      <c r="J132">
        <f t="shared" ref="J132:J137" si="13">I132/E132</f>
        <v>0.20100502512562815</v>
      </c>
    </row>
    <row r="133" spans="1:11">
      <c r="B133" t="s">
        <v>267</v>
      </c>
      <c r="C133" t="s">
        <v>30</v>
      </c>
      <c r="D133" t="s">
        <v>338</v>
      </c>
      <c r="E133">
        <v>477</v>
      </c>
      <c r="G133">
        <v>427</v>
      </c>
      <c r="I133">
        <f t="shared" si="12"/>
        <v>50</v>
      </c>
      <c r="J133">
        <f t="shared" si="13"/>
        <v>0.10482180293501048</v>
      </c>
    </row>
    <row r="134" spans="1:11">
      <c r="B134" t="s">
        <v>267</v>
      </c>
      <c r="C134" t="s">
        <v>30</v>
      </c>
      <c r="D134" t="s">
        <v>339</v>
      </c>
      <c r="E134">
        <v>95</v>
      </c>
      <c r="F134">
        <v>7.5</v>
      </c>
      <c r="G134">
        <f>F134*6.9</f>
        <v>51.75</v>
      </c>
      <c r="I134">
        <f t="shared" si="12"/>
        <v>43.25</v>
      </c>
      <c r="J134">
        <f t="shared" si="13"/>
        <v>0.45526315789473687</v>
      </c>
    </row>
    <row r="135" spans="1:11">
      <c r="C135" t="s">
        <v>30</v>
      </c>
      <c r="D135" t="s">
        <v>340</v>
      </c>
      <c r="E135">
        <v>218</v>
      </c>
      <c r="G135">
        <v>8</v>
      </c>
      <c r="I135">
        <f t="shared" si="12"/>
        <v>210</v>
      </c>
      <c r="J135">
        <f t="shared" si="13"/>
        <v>0.96330275229357798</v>
      </c>
    </row>
    <row r="136" spans="1:11">
      <c r="B136" t="s">
        <v>267</v>
      </c>
      <c r="C136" t="s">
        <v>30</v>
      </c>
      <c r="D136" t="s">
        <v>341</v>
      </c>
      <c r="E136">
        <v>158</v>
      </c>
      <c r="G136">
        <v>135</v>
      </c>
      <c r="I136">
        <f t="shared" si="12"/>
        <v>23</v>
      </c>
      <c r="J136">
        <f t="shared" si="13"/>
        <v>0.14556962025316456</v>
      </c>
    </row>
    <row r="137" spans="1:11">
      <c r="B137" t="s">
        <v>342</v>
      </c>
      <c r="D137" t="s">
        <v>343</v>
      </c>
      <c r="E137">
        <v>499</v>
      </c>
      <c r="G137">
        <f>22.5*6.9</f>
        <v>155.25</v>
      </c>
      <c r="I137">
        <f t="shared" si="12"/>
        <v>343.75</v>
      </c>
      <c r="J137">
        <f t="shared" si="13"/>
        <v>0.68887775551102204</v>
      </c>
      <c r="K137">
        <f>SUM(I132:I137)</f>
        <v>710</v>
      </c>
    </row>
    <row r="139" spans="1:11">
      <c r="A139">
        <v>1.24</v>
      </c>
      <c r="C139" t="s">
        <v>30</v>
      </c>
      <c r="D139" t="s">
        <v>190</v>
      </c>
      <c r="E139">
        <v>265</v>
      </c>
      <c r="G139">
        <v>200</v>
      </c>
      <c r="I139">
        <f t="shared" ref="I139:I184" si="14">E139-G139</f>
        <v>65</v>
      </c>
      <c r="J139">
        <f t="shared" ref="J139:J202" si="15">I139/E139</f>
        <v>0.24528301886792453</v>
      </c>
    </row>
    <row r="141" spans="1:11">
      <c r="A141">
        <v>1.25</v>
      </c>
      <c r="C141" t="s">
        <v>30</v>
      </c>
      <c r="D141" t="s">
        <v>222</v>
      </c>
      <c r="E141">
        <f>128+8</f>
        <v>136</v>
      </c>
      <c r="F141">
        <f>18*0.75</f>
        <v>13.5</v>
      </c>
      <c r="G141">
        <f>F141*6.85+8</f>
        <v>100.47499999999999</v>
      </c>
      <c r="I141">
        <f t="shared" si="14"/>
        <v>35.525000000000006</v>
      </c>
      <c r="J141">
        <f t="shared" si="15"/>
        <v>0.26121323529411766</v>
      </c>
    </row>
    <row r="142" spans="1:11">
      <c r="B142" t="s">
        <v>255</v>
      </c>
      <c r="C142" t="s">
        <v>30</v>
      </c>
      <c r="D142" t="s">
        <v>235</v>
      </c>
      <c r="E142">
        <v>155</v>
      </c>
      <c r="G142">
        <v>70</v>
      </c>
      <c r="I142">
        <f t="shared" si="14"/>
        <v>85</v>
      </c>
      <c r="J142">
        <f t="shared" si="15"/>
        <v>0.54838709677419351</v>
      </c>
    </row>
    <row r="143" spans="1:11">
      <c r="B143" t="s">
        <v>255</v>
      </c>
      <c r="C143" t="s">
        <v>30</v>
      </c>
      <c r="D143" t="s">
        <v>344</v>
      </c>
      <c r="E143">
        <v>110</v>
      </c>
      <c r="F143">
        <v>9</v>
      </c>
      <c r="G143">
        <f>F143*6.9</f>
        <v>62.1</v>
      </c>
      <c r="I143">
        <f t="shared" si="14"/>
        <v>47.9</v>
      </c>
      <c r="J143">
        <f t="shared" si="15"/>
        <v>0.43545454545454543</v>
      </c>
      <c r="K143">
        <f>SUM(I141:I143)</f>
        <v>168.42500000000001</v>
      </c>
    </row>
    <row r="145" spans="1:11">
      <c r="A145">
        <v>1.26</v>
      </c>
      <c r="B145" t="s">
        <v>39</v>
      </c>
      <c r="C145" t="s">
        <v>30</v>
      </c>
      <c r="D145" t="s">
        <v>345</v>
      </c>
      <c r="E145">
        <v>560</v>
      </c>
      <c r="G145">
        <v>540</v>
      </c>
      <c r="I145">
        <f t="shared" si="14"/>
        <v>20</v>
      </c>
      <c r="J145">
        <f t="shared" si="15"/>
        <v>3.5714285714285712E-2</v>
      </c>
    </row>
    <row r="146" spans="1:11">
      <c r="B146" t="s">
        <v>342</v>
      </c>
      <c r="D146" t="s">
        <v>346</v>
      </c>
      <c r="E146">
        <v>218</v>
      </c>
      <c r="F146">
        <v>18.3</v>
      </c>
      <c r="G146">
        <f>F146*6.8</f>
        <v>124.44</v>
      </c>
      <c r="I146">
        <f t="shared" si="14"/>
        <v>93.56</v>
      </c>
      <c r="J146">
        <f t="shared" si="15"/>
        <v>0.42917431192660549</v>
      </c>
    </row>
    <row r="147" spans="1:11">
      <c r="B147" t="s">
        <v>347</v>
      </c>
      <c r="D147" t="s">
        <v>166</v>
      </c>
      <c r="E147">
        <v>300</v>
      </c>
      <c r="F147">
        <f>52/2</f>
        <v>26</v>
      </c>
      <c r="G147">
        <f>F147*6.9</f>
        <v>179.4</v>
      </c>
      <c r="I147">
        <f t="shared" si="14"/>
        <v>120.6</v>
      </c>
      <c r="J147">
        <f t="shared" si="15"/>
        <v>0.40199999999999997</v>
      </c>
    </row>
    <row r="148" spans="1:11">
      <c r="B148" t="s">
        <v>322</v>
      </c>
      <c r="D148" t="s">
        <v>348</v>
      </c>
      <c r="E148">
        <v>188</v>
      </c>
      <c r="G148">
        <v>128</v>
      </c>
      <c r="I148">
        <f t="shared" si="14"/>
        <v>60</v>
      </c>
      <c r="J148">
        <f t="shared" si="15"/>
        <v>0.31914893617021278</v>
      </c>
    </row>
    <row r="149" spans="1:11">
      <c r="B149" t="s">
        <v>349</v>
      </c>
      <c r="D149" t="s">
        <v>350</v>
      </c>
      <c r="E149">
        <v>410</v>
      </c>
      <c r="G149">
        <f>60*0.8*6.9+10</f>
        <v>341.20000000000005</v>
      </c>
      <c r="I149">
        <f t="shared" si="14"/>
        <v>68.799999999999955</v>
      </c>
      <c r="J149">
        <f t="shared" si="15"/>
        <v>0.16780487804878039</v>
      </c>
    </row>
    <row r="150" spans="1:11">
      <c r="B150" t="s">
        <v>16</v>
      </c>
      <c r="D150" t="s">
        <v>351</v>
      </c>
      <c r="E150">
        <v>399</v>
      </c>
      <c r="G150">
        <v>290</v>
      </c>
      <c r="I150">
        <f t="shared" si="14"/>
        <v>109</v>
      </c>
      <c r="J150">
        <f t="shared" si="15"/>
        <v>0.27318295739348369</v>
      </c>
    </row>
    <row r="151" spans="1:11">
      <c r="B151" t="s">
        <v>16</v>
      </c>
      <c r="E151">
        <v>105</v>
      </c>
      <c r="F151">
        <v>7.5</v>
      </c>
      <c r="G151">
        <f>F151*6.9</f>
        <v>51.75</v>
      </c>
      <c r="I151">
        <f t="shared" si="14"/>
        <v>53.25</v>
      </c>
      <c r="J151">
        <f t="shared" si="15"/>
        <v>0.50714285714285712</v>
      </c>
      <c r="K151">
        <f>SUM(I145:I151)</f>
        <v>525.20999999999992</v>
      </c>
    </row>
    <row r="152" spans="1:11">
      <c r="B152" t="s">
        <v>97</v>
      </c>
      <c r="C152" t="s">
        <v>30</v>
      </c>
      <c r="D152" t="s">
        <v>352</v>
      </c>
      <c r="E152">
        <v>110</v>
      </c>
      <c r="F152">
        <v>9.9</v>
      </c>
      <c r="G152">
        <f>F152*6.9</f>
        <v>68.31</v>
      </c>
      <c r="I152">
        <f t="shared" si="14"/>
        <v>41.69</v>
      </c>
      <c r="J152">
        <f t="shared" si="15"/>
        <v>0.379</v>
      </c>
    </row>
    <row r="153" spans="1:11">
      <c r="B153" t="s">
        <v>39</v>
      </c>
      <c r="C153" t="s">
        <v>30</v>
      </c>
      <c r="D153" t="s">
        <v>352</v>
      </c>
      <c r="E153">
        <f>95</f>
        <v>95</v>
      </c>
      <c r="F153">
        <v>8.9</v>
      </c>
      <c r="G153">
        <f>F153*6.8</f>
        <v>60.52</v>
      </c>
      <c r="I153">
        <f t="shared" si="14"/>
        <v>34.479999999999997</v>
      </c>
      <c r="J153">
        <f t="shared" si="15"/>
        <v>0.36294736842105257</v>
      </c>
    </row>
    <row r="154" spans="1:11">
      <c r="B154" t="s">
        <v>85</v>
      </c>
      <c r="C154" t="s">
        <v>30</v>
      </c>
      <c r="D154" t="s">
        <v>352</v>
      </c>
      <c r="E154">
        <v>120</v>
      </c>
      <c r="F154">
        <v>9.9</v>
      </c>
      <c r="G154">
        <f>F154*6.9</f>
        <v>68.31</v>
      </c>
      <c r="I154">
        <f t="shared" si="14"/>
        <v>51.69</v>
      </c>
      <c r="J154">
        <f t="shared" si="15"/>
        <v>0.43074999999999997</v>
      </c>
    </row>
    <row r="155" spans="1:11">
      <c r="I155">
        <f t="shared" si="14"/>
        <v>0</v>
      </c>
    </row>
    <row r="156" spans="1:11">
      <c r="A156">
        <v>1.27</v>
      </c>
      <c r="I156">
        <f t="shared" si="14"/>
        <v>0</v>
      </c>
    </row>
    <row r="157" spans="1:11">
      <c r="I157">
        <f t="shared" si="14"/>
        <v>0</v>
      </c>
    </row>
    <row r="158" spans="1:11">
      <c r="A158">
        <v>1.28</v>
      </c>
      <c r="D158" t="s">
        <v>353</v>
      </c>
      <c r="E158">
        <v>409</v>
      </c>
      <c r="G158">
        <v>340</v>
      </c>
      <c r="I158">
        <f>E158-G158</f>
        <v>69</v>
      </c>
      <c r="J158">
        <f t="shared" si="15"/>
        <v>0.1687041564792176</v>
      </c>
    </row>
    <row r="159" spans="1:11">
      <c r="I159">
        <f t="shared" si="14"/>
        <v>0</v>
      </c>
      <c r="J159" t="e">
        <f t="shared" si="15"/>
        <v>#DIV/0!</v>
      </c>
    </row>
    <row r="160" spans="1:11">
      <c r="A160" t="s">
        <v>354</v>
      </c>
      <c r="D160" t="s">
        <v>355</v>
      </c>
      <c r="E160">
        <v>850</v>
      </c>
      <c r="F160">
        <v>85</v>
      </c>
      <c r="G160">
        <f>F160*6.8</f>
        <v>578</v>
      </c>
      <c r="I160">
        <f t="shared" si="14"/>
        <v>272</v>
      </c>
      <c r="J160">
        <f t="shared" si="15"/>
        <v>0.32</v>
      </c>
    </row>
    <row r="161" spans="1:10">
      <c r="D161" t="s">
        <v>355</v>
      </c>
      <c r="E161">
        <v>850</v>
      </c>
      <c r="I161">
        <f t="shared" si="14"/>
        <v>850</v>
      </c>
      <c r="J161">
        <f t="shared" si="15"/>
        <v>1</v>
      </c>
    </row>
    <row r="162" spans="1:10">
      <c r="D162" t="s">
        <v>356</v>
      </c>
      <c r="E162">
        <v>255</v>
      </c>
      <c r="I162">
        <f t="shared" si="14"/>
        <v>255</v>
      </c>
      <c r="J162">
        <f t="shared" si="15"/>
        <v>1</v>
      </c>
    </row>
    <row r="163" spans="1:10">
      <c r="I163">
        <f t="shared" si="14"/>
        <v>0</v>
      </c>
      <c r="J163" t="e">
        <f t="shared" si="15"/>
        <v>#DIV/0!</v>
      </c>
    </row>
    <row r="164" spans="1:10">
      <c r="A164">
        <v>1.31</v>
      </c>
      <c r="I164">
        <f t="shared" si="14"/>
        <v>0</v>
      </c>
      <c r="J164" t="e">
        <f t="shared" si="15"/>
        <v>#DIV/0!</v>
      </c>
    </row>
    <row r="165" spans="1:10">
      <c r="I165">
        <f t="shared" si="14"/>
        <v>0</v>
      </c>
      <c r="J165" t="e">
        <f t="shared" si="15"/>
        <v>#DIV/0!</v>
      </c>
    </row>
    <row r="166" spans="1:10">
      <c r="A166">
        <v>2.1</v>
      </c>
      <c r="D166" t="s">
        <v>357</v>
      </c>
      <c r="E166">
        <v>98</v>
      </c>
      <c r="G166">
        <v>8</v>
      </c>
      <c r="I166">
        <f t="shared" si="14"/>
        <v>90</v>
      </c>
      <c r="J166">
        <f t="shared" si="15"/>
        <v>0.91836734693877553</v>
      </c>
    </row>
    <row r="167" spans="1:10">
      <c r="I167">
        <f t="shared" si="14"/>
        <v>0</v>
      </c>
      <c r="J167" t="e">
        <f t="shared" si="15"/>
        <v>#DIV/0!</v>
      </c>
    </row>
    <row r="168" spans="1:10">
      <c r="A168">
        <v>2.2000000000000002</v>
      </c>
      <c r="D168" t="s">
        <v>358</v>
      </c>
      <c r="E168">
        <v>3200</v>
      </c>
      <c r="F168">
        <v>346</v>
      </c>
      <c r="G168">
        <f>F168*6.8+25</f>
        <v>2377.7999999999997</v>
      </c>
      <c r="I168">
        <f t="shared" si="14"/>
        <v>822.20000000000027</v>
      </c>
      <c r="J168">
        <f t="shared" si="15"/>
        <v>0.2569375000000001</v>
      </c>
    </row>
    <row r="169" spans="1:10">
      <c r="J169" t="e">
        <f t="shared" si="15"/>
        <v>#DIV/0!</v>
      </c>
    </row>
    <row r="170" spans="1:10">
      <c r="A170">
        <v>2.2999999999999998</v>
      </c>
      <c r="D170" t="s">
        <v>359</v>
      </c>
      <c r="E170">
        <f>228*3-20</f>
        <v>664</v>
      </c>
      <c r="F170">
        <f>15.75*3</f>
        <v>47.25</v>
      </c>
      <c r="G170">
        <f>F170*6.79</f>
        <v>320.82749999999999</v>
      </c>
      <c r="I170">
        <f t="shared" si="14"/>
        <v>343.17250000000001</v>
      </c>
      <c r="J170">
        <f t="shared" si="15"/>
        <v>0.51682605421686745</v>
      </c>
    </row>
    <row r="171" spans="1:10">
      <c r="I171">
        <f t="shared" si="14"/>
        <v>0</v>
      </c>
      <c r="J171" t="e">
        <f t="shared" si="15"/>
        <v>#DIV/0!</v>
      </c>
    </row>
    <row r="172" spans="1:10">
      <c r="A172">
        <v>2.4</v>
      </c>
      <c r="D172" t="s">
        <v>360</v>
      </c>
      <c r="E172">
        <v>118</v>
      </c>
      <c r="F172">
        <v>8.5</v>
      </c>
      <c r="G172">
        <f>F172*6.9+8</f>
        <v>66.650000000000006</v>
      </c>
      <c r="I172">
        <f t="shared" si="14"/>
        <v>51.349999999999994</v>
      </c>
      <c r="J172">
        <f t="shared" si="15"/>
        <v>0.43516949152542367</v>
      </c>
    </row>
    <row r="173" spans="1:10">
      <c r="I173">
        <f t="shared" si="14"/>
        <v>0</v>
      </c>
      <c r="J173" t="e">
        <f t="shared" si="15"/>
        <v>#DIV/0!</v>
      </c>
    </row>
    <row r="174" spans="1:10">
      <c r="A174">
        <v>2.5</v>
      </c>
      <c r="B174" t="s">
        <v>361</v>
      </c>
      <c r="D174" t="s">
        <v>362</v>
      </c>
      <c r="E174">
        <v>315</v>
      </c>
      <c r="F174">
        <f>12*2</f>
        <v>24</v>
      </c>
      <c r="G174">
        <f>F174*6.8+10</f>
        <v>173.2</v>
      </c>
      <c r="I174">
        <f t="shared" si="14"/>
        <v>141.80000000000001</v>
      </c>
      <c r="J174">
        <f t="shared" si="15"/>
        <v>0.4501587301587302</v>
      </c>
    </row>
    <row r="175" spans="1:10">
      <c r="I175">
        <f t="shared" si="14"/>
        <v>0</v>
      </c>
      <c r="J175" t="e">
        <f t="shared" si="15"/>
        <v>#DIV/0!</v>
      </c>
    </row>
    <row r="176" spans="1:10">
      <c r="A176">
        <v>2.6</v>
      </c>
      <c r="D176" t="s">
        <v>363</v>
      </c>
      <c r="E176">
        <v>325</v>
      </c>
      <c r="G176">
        <v>265</v>
      </c>
      <c r="I176">
        <f t="shared" si="14"/>
        <v>60</v>
      </c>
      <c r="J176">
        <f t="shared" si="15"/>
        <v>0.18461538461538463</v>
      </c>
    </row>
    <row r="177" spans="1:10">
      <c r="D177" t="s">
        <v>364</v>
      </c>
      <c r="E177">
        <v>205</v>
      </c>
      <c r="F177">
        <f>14.3+1</f>
        <v>15.3</v>
      </c>
      <c r="G177">
        <f>F177*6.9</f>
        <v>105.57000000000001</v>
      </c>
      <c r="I177">
        <f t="shared" si="14"/>
        <v>99.429999999999993</v>
      </c>
      <c r="J177">
        <f t="shared" si="15"/>
        <v>0.48502439024390243</v>
      </c>
    </row>
    <row r="178" spans="1:10">
      <c r="D178" t="s">
        <v>333</v>
      </c>
      <c r="E178">
        <f>90*2+8</f>
        <v>188</v>
      </c>
      <c r="G178">
        <f>55*2+8</f>
        <v>118</v>
      </c>
      <c r="I178">
        <f t="shared" si="14"/>
        <v>70</v>
      </c>
      <c r="J178">
        <f t="shared" si="15"/>
        <v>0.37234042553191488</v>
      </c>
    </row>
    <row r="179" spans="1:10">
      <c r="D179" t="s">
        <v>365</v>
      </c>
      <c r="E179">
        <v>145</v>
      </c>
      <c r="G179">
        <v>95</v>
      </c>
      <c r="I179">
        <f t="shared" si="14"/>
        <v>50</v>
      </c>
      <c r="J179">
        <f t="shared" si="15"/>
        <v>0.34482758620689657</v>
      </c>
    </row>
    <row r="180" spans="1:10">
      <c r="C180" t="s">
        <v>30</v>
      </c>
      <c r="D180" t="s">
        <v>366</v>
      </c>
      <c r="E180">
        <v>450</v>
      </c>
      <c r="F180">
        <f>74*0.7</f>
        <v>51.8</v>
      </c>
      <c r="G180">
        <f>F180*6.8</f>
        <v>352.23999999999995</v>
      </c>
      <c r="I180">
        <f t="shared" si="14"/>
        <v>97.760000000000048</v>
      </c>
      <c r="J180">
        <f t="shared" si="15"/>
        <v>0.21724444444444455</v>
      </c>
    </row>
    <row r="181" spans="1:10">
      <c r="I181">
        <f t="shared" si="14"/>
        <v>0</v>
      </c>
      <c r="J181" t="e">
        <f t="shared" si="15"/>
        <v>#DIV/0!</v>
      </c>
    </row>
    <row r="182" spans="1:10">
      <c r="A182">
        <v>2.7</v>
      </c>
      <c r="B182" t="s">
        <v>367</v>
      </c>
      <c r="D182" t="s">
        <v>368</v>
      </c>
      <c r="E182">
        <v>399</v>
      </c>
      <c r="F182">
        <f>(66.28/2)+1</f>
        <v>34.14</v>
      </c>
      <c r="G182">
        <f>F182*6.75</f>
        <v>230.44499999999999</v>
      </c>
      <c r="I182">
        <f t="shared" si="14"/>
        <v>168.55500000000001</v>
      </c>
      <c r="J182">
        <f t="shared" si="15"/>
        <v>0.4224436090225564</v>
      </c>
    </row>
    <row r="183" spans="1:10">
      <c r="B183" t="s">
        <v>369</v>
      </c>
      <c r="D183" t="s">
        <v>370</v>
      </c>
      <c r="E183">
        <v>365</v>
      </c>
      <c r="F183">
        <v>50</v>
      </c>
      <c r="G183">
        <f>F183*0.85*6.9+8</f>
        <v>301.25</v>
      </c>
      <c r="I183">
        <f t="shared" si="14"/>
        <v>63.75</v>
      </c>
      <c r="J183">
        <f t="shared" si="15"/>
        <v>0.17465753424657535</v>
      </c>
    </row>
    <row r="184" spans="1:10">
      <c r="B184" t="s">
        <v>39</v>
      </c>
      <c r="C184" t="s">
        <v>30</v>
      </c>
      <c r="D184" t="s">
        <v>371</v>
      </c>
      <c r="E184">
        <v>1530</v>
      </c>
      <c r="G184">
        <v>1350</v>
      </c>
      <c r="I184">
        <f t="shared" si="14"/>
        <v>180</v>
      </c>
      <c r="J184">
        <f t="shared" si="15"/>
        <v>0.11764705882352941</v>
      </c>
    </row>
    <row r="185" spans="1:10">
      <c r="J185" t="e">
        <f t="shared" si="15"/>
        <v>#DIV/0!</v>
      </c>
    </row>
    <row r="186" spans="1:10">
      <c r="J186" t="e">
        <f t="shared" si="15"/>
        <v>#DIV/0!</v>
      </c>
    </row>
    <row r="187" spans="1:10">
      <c r="A187">
        <v>2.8</v>
      </c>
      <c r="B187" t="s">
        <v>372</v>
      </c>
      <c r="D187" t="s">
        <v>373</v>
      </c>
      <c r="E187">
        <v>190</v>
      </c>
      <c r="G187">
        <v>79</v>
      </c>
      <c r="I187">
        <f>E187-G187</f>
        <v>111</v>
      </c>
      <c r="J187">
        <f t="shared" si="15"/>
        <v>0.58421052631578951</v>
      </c>
    </row>
    <row r="188" spans="1:10">
      <c r="B188" t="s">
        <v>372</v>
      </c>
      <c r="D188" t="s">
        <v>374</v>
      </c>
      <c r="E188">
        <v>550</v>
      </c>
      <c r="G188">
        <v>400</v>
      </c>
      <c r="I188">
        <f>E188-G188</f>
        <v>150</v>
      </c>
      <c r="J188">
        <f t="shared" si="15"/>
        <v>0.27272727272727271</v>
      </c>
    </row>
    <row r="189" spans="1:10">
      <c r="B189" t="s">
        <v>375</v>
      </c>
      <c r="D189" t="s">
        <v>374</v>
      </c>
      <c r="E189">
        <v>550</v>
      </c>
      <c r="G189">
        <v>400</v>
      </c>
      <c r="I189">
        <f>E189-G189</f>
        <v>150</v>
      </c>
      <c r="J189">
        <f t="shared" si="15"/>
        <v>0.27272727272727271</v>
      </c>
    </row>
    <row r="190" spans="1:10">
      <c r="B190" t="s">
        <v>39</v>
      </c>
      <c r="C190" t="s">
        <v>30</v>
      </c>
      <c r="D190" t="s">
        <v>376</v>
      </c>
      <c r="E190">
        <f>470*4</f>
        <v>1880</v>
      </c>
      <c r="G190">
        <f>400*4</f>
        <v>1600</v>
      </c>
      <c r="I190">
        <f>E190-G190</f>
        <v>280</v>
      </c>
      <c r="J190">
        <f t="shared" si="15"/>
        <v>0.14893617021276595</v>
      </c>
    </row>
    <row r="191" spans="1:10">
      <c r="I191">
        <f t="shared" ref="I191:I213" si="16">E191-G191</f>
        <v>0</v>
      </c>
      <c r="J191" t="e">
        <f t="shared" si="15"/>
        <v>#DIV/0!</v>
      </c>
    </row>
    <row r="192" spans="1:10">
      <c r="A192">
        <v>2.9</v>
      </c>
      <c r="B192" t="s">
        <v>377</v>
      </c>
      <c r="D192" t="s">
        <v>368</v>
      </c>
      <c r="E192">
        <v>399</v>
      </c>
      <c r="F192">
        <f>(66.28/2)+1</f>
        <v>34.14</v>
      </c>
      <c r="G192">
        <f>F192*6.75</f>
        <v>230.44499999999999</v>
      </c>
      <c r="I192">
        <f t="shared" si="16"/>
        <v>168.55500000000001</v>
      </c>
      <c r="J192">
        <f t="shared" si="15"/>
        <v>0.4224436090225564</v>
      </c>
    </row>
    <row r="193" spans="1:10">
      <c r="I193">
        <f t="shared" si="16"/>
        <v>0</v>
      </c>
      <c r="J193" t="e">
        <f t="shared" si="15"/>
        <v>#DIV/0!</v>
      </c>
    </row>
    <row r="194" spans="1:10">
      <c r="A194" t="s">
        <v>378</v>
      </c>
      <c r="B194" t="s">
        <v>39</v>
      </c>
      <c r="C194" t="s">
        <v>30</v>
      </c>
      <c r="D194" t="s">
        <v>379</v>
      </c>
      <c r="E194">
        <v>730</v>
      </c>
      <c r="G194">
        <f>635+8</f>
        <v>643</v>
      </c>
      <c r="I194">
        <f t="shared" si="16"/>
        <v>87</v>
      </c>
      <c r="J194">
        <f t="shared" si="15"/>
        <v>0.11917808219178082</v>
      </c>
    </row>
    <row r="195" spans="1:10">
      <c r="B195" t="s">
        <v>267</v>
      </c>
      <c r="C195" t="s">
        <v>30</v>
      </c>
      <c r="D195" t="s">
        <v>324</v>
      </c>
      <c r="E195">
        <f>252+12</f>
        <v>264</v>
      </c>
      <c r="G195">
        <f>225+22</f>
        <v>247</v>
      </c>
      <c r="I195">
        <f t="shared" si="16"/>
        <v>17</v>
      </c>
      <c r="J195">
        <f t="shared" si="15"/>
        <v>6.4393939393939392E-2</v>
      </c>
    </row>
    <row r="196" spans="1:10">
      <c r="B196" t="s">
        <v>267</v>
      </c>
      <c r="C196" t="s">
        <v>30</v>
      </c>
      <c r="D196" t="s">
        <v>335</v>
      </c>
      <c r="E196">
        <f>128+10</f>
        <v>138</v>
      </c>
      <c r="G196">
        <v>120</v>
      </c>
      <c r="I196">
        <f t="shared" si="16"/>
        <v>18</v>
      </c>
      <c r="J196">
        <f t="shared" si="15"/>
        <v>0.13043478260869565</v>
      </c>
    </row>
    <row r="197" spans="1:10">
      <c r="B197" t="s">
        <v>245</v>
      </c>
      <c r="C197" t="s">
        <v>30</v>
      </c>
      <c r="D197" t="s">
        <v>324</v>
      </c>
      <c r="E197">
        <v>255</v>
      </c>
      <c r="G197">
        <v>226</v>
      </c>
      <c r="I197">
        <f t="shared" si="16"/>
        <v>29</v>
      </c>
      <c r="J197">
        <f t="shared" si="15"/>
        <v>0.11372549019607843</v>
      </c>
    </row>
    <row r="198" spans="1:10">
      <c r="B198" t="s">
        <v>97</v>
      </c>
      <c r="C198" t="s">
        <v>30</v>
      </c>
      <c r="D198" t="s">
        <v>380</v>
      </c>
      <c r="E198">
        <v>418</v>
      </c>
      <c r="G198">
        <f>368+8</f>
        <v>376</v>
      </c>
      <c r="I198">
        <f t="shared" si="16"/>
        <v>42</v>
      </c>
      <c r="J198">
        <f t="shared" si="15"/>
        <v>0.10047846889952153</v>
      </c>
    </row>
    <row r="199" spans="1:10">
      <c r="B199" t="s">
        <v>97</v>
      </c>
      <c r="C199" t="s">
        <v>30</v>
      </c>
      <c r="D199" t="s">
        <v>381</v>
      </c>
      <c r="E199">
        <v>310</v>
      </c>
      <c r="F199">
        <v>25</v>
      </c>
      <c r="G199">
        <f>F199*6.75</f>
        <v>168.75</v>
      </c>
      <c r="I199">
        <f t="shared" si="16"/>
        <v>141.25</v>
      </c>
      <c r="J199">
        <f t="shared" si="15"/>
        <v>0.45564516129032256</v>
      </c>
    </row>
    <row r="200" spans="1:10">
      <c r="B200" t="s">
        <v>377</v>
      </c>
      <c r="D200" t="s">
        <v>21</v>
      </c>
      <c r="E200">
        <v>299</v>
      </c>
      <c r="F200">
        <v>42</v>
      </c>
      <c r="G200">
        <f>F200*0.8*6.75</f>
        <v>226.8</v>
      </c>
      <c r="I200">
        <f t="shared" si="16"/>
        <v>72.199999999999989</v>
      </c>
      <c r="J200">
        <f t="shared" si="15"/>
        <v>0.24147157190635449</v>
      </c>
    </row>
    <row r="201" spans="1:10">
      <c r="B201" t="s">
        <v>382</v>
      </c>
      <c r="D201" t="s">
        <v>383</v>
      </c>
      <c r="E201">
        <v>379</v>
      </c>
      <c r="G201">
        <v>278</v>
      </c>
      <c r="I201">
        <f t="shared" si="16"/>
        <v>101</v>
      </c>
      <c r="J201">
        <f t="shared" si="15"/>
        <v>0.26649076517150394</v>
      </c>
    </row>
    <row r="202" spans="1:10">
      <c r="I202">
        <f t="shared" si="16"/>
        <v>0</v>
      </c>
      <c r="J202" t="e">
        <f t="shared" si="15"/>
        <v>#DIV/0!</v>
      </c>
    </row>
    <row r="203" spans="1:10">
      <c r="A203">
        <v>2.11</v>
      </c>
      <c r="D203" t="s">
        <v>384</v>
      </c>
      <c r="E203">
        <v>760</v>
      </c>
      <c r="G203">
        <v>0</v>
      </c>
      <c r="I203">
        <f t="shared" si="16"/>
        <v>760</v>
      </c>
      <c r="J203">
        <f t="shared" ref="J203:J266" si="17">I203/E203</f>
        <v>1</v>
      </c>
    </row>
    <row r="204" spans="1:10">
      <c r="I204">
        <f t="shared" si="16"/>
        <v>0</v>
      </c>
      <c r="J204" t="e">
        <f t="shared" si="17"/>
        <v>#DIV/0!</v>
      </c>
    </row>
    <row r="205" spans="1:10">
      <c r="A205">
        <v>2.12</v>
      </c>
      <c r="I205">
        <f t="shared" si="16"/>
        <v>0</v>
      </c>
      <c r="J205" t="e">
        <f t="shared" si="17"/>
        <v>#DIV/0!</v>
      </c>
    </row>
    <row r="206" spans="1:10">
      <c r="I206">
        <f t="shared" si="16"/>
        <v>0</v>
      </c>
      <c r="J206" t="e">
        <f t="shared" si="17"/>
        <v>#DIV/0!</v>
      </c>
    </row>
    <row r="207" spans="1:10">
      <c r="A207">
        <v>2.13</v>
      </c>
      <c r="B207" t="s">
        <v>97</v>
      </c>
      <c r="C207" t="s">
        <v>30</v>
      </c>
      <c r="D207" t="s">
        <v>385</v>
      </c>
      <c r="E207">
        <v>1950</v>
      </c>
      <c r="G207">
        <v>1600</v>
      </c>
      <c r="I207">
        <f t="shared" si="16"/>
        <v>350</v>
      </c>
      <c r="J207">
        <f t="shared" si="17"/>
        <v>0.17948717948717949</v>
      </c>
    </row>
    <row r="208" spans="1:10">
      <c r="D208" t="s">
        <v>243</v>
      </c>
      <c r="E208">
        <v>199</v>
      </c>
      <c r="G208">
        <v>93.5</v>
      </c>
      <c r="I208">
        <f t="shared" si="16"/>
        <v>105.5</v>
      </c>
      <c r="J208">
        <f t="shared" si="17"/>
        <v>0.53015075376884424</v>
      </c>
    </row>
    <row r="209" spans="1:10">
      <c r="D209" t="s">
        <v>386</v>
      </c>
      <c r="E209">
        <v>222</v>
      </c>
      <c r="G209">
        <f>205+8</f>
        <v>213</v>
      </c>
      <c r="I209">
        <f t="shared" si="16"/>
        <v>9</v>
      </c>
      <c r="J209">
        <f t="shared" si="17"/>
        <v>4.0540540540540543E-2</v>
      </c>
    </row>
    <row r="210" spans="1:10">
      <c r="D210" t="s">
        <v>356</v>
      </c>
      <c r="E210">
        <v>255</v>
      </c>
      <c r="G210">
        <v>200</v>
      </c>
      <c r="I210">
        <f t="shared" si="16"/>
        <v>55</v>
      </c>
      <c r="J210">
        <f t="shared" si="17"/>
        <v>0.21568627450980393</v>
      </c>
    </row>
    <row r="211" spans="1:10">
      <c r="B211" t="s">
        <v>97</v>
      </c>
      <c r="C211" t="s">
        <v>30</v>
      </c>
      <c r="D211" t="s">
        <v>387</v>
      </c>
      <c r="E211">
        <v>418</v>
      </c>
      <c r="G211">
        <f>355+8</f>
        <v>363</v>
      </c>
      <c r="I211">
        <f t="shared" si="16"/>
        <v>55</v>
      </c>
      <c r="J211">
        <f t="shared" si="17"/>
        <v>0.13157894736842105</v>
      </c>
    </row>
    <row r="212" spans="1:10">
      <c r="B212" t="s">
        <v>97</v>
      </c>
      <c r="C212" t="s">
        <v>30</v>
      </c>
      <c r="D212" t="s">
        <v>388</v>
      </c>
      <c r="E212">
        <v>618</v>
      </c>
      <c r="G212">
        <v>540</v>
      </c>
      <c r="I212">
        <f t="shared" si="16"/>
        <v>78</v>
      </c>
      <c r="J212">
        <f t="shared" si="17"/>
        <v>0.12621359223300971</v>
      </c>
    </row>
    <row r="213" spans="1:10">
      <c r="D213" t="s">
        <v>389</v>
      </c>
      <c r="E213">
        <v>209</v>
      </c>
      <c r="G213">
        <v>200</v>
      </c>
      <c r="I213">
        <f t="shared" si="16"/>
        <v>9</v>
      </c>
      <c r="J213">
        <f t="shared" si="17"/>
        <v>4.3062200956937802E-2</v>
      </c>
    </row>
    <row r="214" spans="1:10">
      <c r="D214" t="s">
        <v>390</v>
      </c>
      <c r="E214">
        <f>399+8</f>
        <v>407</v>
      </c>
      <c r="G214" t="s">
        <v>259</v>
      </c>
      <c r="I214">
        <v>45</v>
      </c>
      <c r="J214">
        <f t="shared" si="17"/>
        <v>0.11056511056511056</v>
      </c>
    </row>
    <row r="215" spans="1:10">
      <c r="J215" t="e">
        <f t="shared" si="17"/>
        <v>#DIV/0!</v>
      </c>
    </row>
    <row r="216" spans="1:10">
      <c r="A216">
        <v>2.14</v>
      </c>
      <c r="B216" t="s">
        <v>391</v>
      </c>
      <c r="D216" t="s">
        <v>392</v>
      </c>
      <c r="E216">
        <v>480</v>
      </c>
      <c r="G216">
        <v>359</v>
      </c>
      <c r="I216">
        <f t="shared" ref="I216:I276" si="18">E216-G216</f>
        <v>121</v>
      </c>
      <c r="J216">
        <f t="shared" si="17"/>
        <v>0.25208333333333333</v>
      </c>
    </row>
    <row r="217" spans="1:10">
      <c r="D217" t="s">
        <v>393</v>
      </c>
      <c r="E217">
        <v>699</v>
      </c>
      <c r="G217">
        <v>560</v>
      </c>
      <c r="I217">
        <f t="shared" si="18"/>
        <v>139</v>
      </c>
      <c r="J217">
        <f t="shared" si="17"/>
        <v>0.19885550786838341</v>
      </c>
    </row>
    <row r="218" spans="1:10">
      <c r="B218" t="s">
        <v>394</v>
      </c>
      <c r="D218" t="s">
        <v>395</v>
      </c>
      <c r="E218">
        <v>369</v>
      </c>
      <c r="G218">
        <v>232</v>
      </c>
      <c r="I218">
        <f t="shared" si="18"/>
        <v>137</v>
      </c>
      <c r="J218">
        <f t="shared" si="17"/>
        <v>0.37127371273712739</v>
      </c>
    </row>
    <row r="219" spans="1:10">
      <c r="B219" t="s">
        <v>396</v>
      </c>
      <c r="D219" t="s">
        <v>395</v>
      </c>
      <c r="E219">
        <v>369</v>
      </c>
      <c r="G219">
        <v>232</v>
      </c>
      <c r="I219">
        <f t="shared" si="18"/>
        <v>137</v>
      </c>
      <c r="J219">
        <f t="shared" si="17"/>
        <v>0.37127371273712739</v>
      </c>
    </row>
    <row r="220" spans="1:10">
      <c r="B220" t="s">
        <v>397</v>
      </c>
      <c r="C220" t="s">
        <v>30</v>
      </c>
      <c r="D220" t="s">
        <v>398</v>
      </c>
      <c r="E220">
        <f>288*4</f>
        <v>1152</v>
      </c>
      <c r="G220">
        <f>255*4</f>
        <v>1020</v>
      </c>
      <c r="I220">
        <f t="shared" si="18"/>
        <v>132</v>
      </c>
      <c r="J220">
        <f t="shared" si="17"/>
        <v>0.11458333333333333</v>
      </c>
    </row>
    <row r="221" spans="1:10">
      <c r="B221" t="s">
        <v>399</v>
      </c>
      <c r="C221" t="s">
        <v>30</v>
      </c>
      <c r="D221" t="s">
        <v>398</v>
      </c>
      <c r="E221">
        <v>1095</v>
      </c>
      <c r="G221">
        <f>255*4</f>
        <v>1020</v>
      </c>
      <c r="I221">
        <f t="shared" si="18"/>
        <v>75</v>
      </c>
      <c r="J221">
        <f t="shared" si="17"/>
        <v>6.8493150684931503E-2</v>
      </c>
    </row>
    <row r="222" spans="1:10">
      <c r="I222">
        <f t="shared" si="18"/>
        <v>0</v>
      </c>
      <c r="J222" t="e">
        <f t="shared" si="17"/>
        <v>#DIV/0!</v>
      </c>
    </row>
    <row r="223" spans="1:10">
      <c r="A223">
        <v>2.15</v>
      </c>
      <c r="B223" t="s">
        <v>267</v>
      </c>
      <c r="C223" t="s">
        <v>30</v>
      </c>
      <c r="D223" t="s">
        <v>400</v>
      </c>
      <c r="I223">
        <v>10</v>
      </c>
      <c r="J223" t="e">
        <f t="shared" si="17"/>
        <v>#DIV/0!</v>
      </c>
    </row>
    <row r="224" spans="1:10">
      <c r="I224">
        <f t="shared" si="18"/>
        <v>0</v>
      </c>
      <c r="J224" t="e">
        <f t="shared" si="17"/>
        <v>#DIV/0!</v>
      </c>
    </row>
    <row r="225" spans="1:10">
      <c r="A225">
        <v>2.16</v>
      </c>
      <c r="D225" t="s">
        <v>401</v>
      </c>
      <c r="E225">
        <v>150</v>
      </c>
      <c r="G225">
        <v>95</v>
      </c>
      <c r="I225">
        <f t="shared" si="18"/>
        <v>55</v>
      </c>
      <c r="J225">
        <f t="shared" si="17"/>
        <v>0.36666666666666664</v>
      </c>
    </row>
    <row r="226" spans="1:10">
      <c r="D226" t="s">
        <v>182</v>
      </c>
      <c r="E226">
        <v>175</v>
      </c>
      <c r="G226">
        <v>149</v>
      </c>
      <c r="I226">
        <f t="shared" si="18"/>
        <v>26</v>
      </c>
      <c r="J226">
        <f t="shared" si="17"/>
        <v>0.14857142857142858</v>
      </c>
    </row>
    <row r="227" spans="1:10">
      <c r="I227">
        <f t="shared" si="18"/>
        <v>0</v>
      </c>
      <c r="J227" t="e">
        <f t="shared" si="17"/>
        <v>#DIV/0!</v>
      </c>
    </row>
    <row r="228" spans="1:10">
      <c r="A228">
        <v>2.17</v>
      </c>
      <c r="B228" t="s">
        <v>111</v>
      </c>
      <c r="C228" t="s">
        <v>30</v>
      </c>
      <c r="D228" t="s">
        <v>402</v>
      </c>
      <c r="I228">
        <f t="shared" si="18"/>
        <v>0</v>
      </c>
      <c r="J228" t="e">
        <f t="shared" si="17"/>
        <v>#DIV/0!</v>
      </c>
    </row>
    <row r="229" spans="1:10">
      <c r="D229" t="s">
        <v>403</v>
      </c>
      <c r="E229">
        <f>625*2</f>
        <v>1250</v>
      </c>
      <c r="G229">
        <f>600*2</f>
        <v>1200</v>
      </c>
      <c r="I229">
        <f t="shared" si="18"/>
        <v>50</v>
      </c>
      <c r="J229">
        <f t="shared" si="17"/>
        <v>0.04</v>
      </c>
    </row>
    <row r="230" spans="1:10">
      <c r="D230" t="s">
        <v>221</v>
      </c>
      <c r="I230">
        <f t="shared" si="18"/>
        <v>0</v>
      </c>
      <c r="J230" t="e">
        <f t="shared" si="17"/>
        <v>#DIV/0!</v>
      </c>
    </row>
    <row r="231" spans="1:10">
      <c r="D231" t="s">
        <v>404</v>
      </c>
      <c r="I231">
        <f t="shared" si="18"/>
        <v>0</v>
      </c>
      <c r="J231" t="e">
        <f t="shared" si="17"/>
        <v>#DIV/0!</v>
      </c>
    </row>
    <row r="232" spans="1:10">
      <c r="I232">
        <f t="shared" si="18"/>
        <v>0</v>
      </c>
      <c r="J232" t="e">
        <f t="shared" si="17"/>
        <v>#DIV/0!</v>
      </c>
    </row>
    <row r="233" spans="1:10">
      <c r="B233" t="s">
        <v>39</v>
      </c>
      <c r="C233" t="s">
        <v>30</v>
      </c>
      <c r="I233">
        <f t="shared" si="18"/>
        <v>0</v>
      </c>
      <c r="J233" t="e">
        <f t="shared" si="17"/>
        <v>#DIV/0!</v>
      </c>
    </row>
    <row r="234" spans="1:10">
      <c r="B234" t="s">
        <v>267</v>
      </c>
      <c r="C234" t="s">
        <v>30</v>
      </c>
      <c r="D234" t="s">
        <v>405</v>
      </c>
      <c r="I234">
        <f t="shared" si="18"/>
        <v>0</v>
      </c>
      <c r="J234" t="e">
        <f t="shared" si="17"/>
        <v>#DIV/0!</v>
      </c>
    </row>
    <row r="235" spans="1:10">
      <c r="I235">
        <f t="shared" si="18"/>
        <v>0</v>
      </c>
      <c r="J235" t="e">
        <f t="shared" si="17"/>
        <v>#DIV/0!</v>
      </c>
    </row>
    <row r="236" spans="1:10">
      <c r="I236">
        <f t="shared" si="18"/>
        <v>0</v>
      </c>
      <c r="J236" t="e">
        <f t="shared" si="17"/>
        <v>#DIV/0!</v>
      </c>
    </row>
    <row r="237" spans="1:10">
      <c r="I237">
        <f t="shared" si="18"/>
        <v>0</v>
      </c>
      <c r="J237" t="e">
        <f t="shared" si="17"/>
        <v>#DIV/0!</v>
      </c>
    </row>
    <row r="238" spans="1:10">
      <c r="A238">
        <v>2.1800000000000002</v>
      </c>
      <c r="B238" t="s">
        <v>397</v>
      </c>
      <c r="C238" t="s">
        <v>30</v>
      </c>
      <c r="D238" t="s">
        <v>406</v>
      </c>
      <c r="E238">
        <f>288*7</f>
        <v>2016</v>
      </c>
      <c r="G238">
        <f>255*7</f>
        <v>1785</v>
      </c>
      <c r="I238">
        <f t="shared" si="18"/>
        <v>231</v>
      </c>
      <c r="J238">
        <f t="shared" si="17"/>
        <v>0.11458333333333333</v>
      </c>
    </row>
    <row r="239" spans="1:10">
      <c r="I239">
        <f t="shared" si="18"/>
        <v>0</v>
      </c>
      <c r="J239" t="e">
        <f t="shared" si="17"/>
        <v>#DIV/0!</v>
      </c>
    </row>
    <row r="240" spans="1:10">
      <c r="A240">
        <v>2.19</v>
      </c>
      <c r="C240" t="s">
        <v>407</v>
      </c>
      <c r="D240" t="s">
        <v>408</v>
      </c>
      <c r="F240">
        <v>2</v>
      </c>
      <c r="G240">
        <f>F240*6.8</f>
        <v>13.6</v>
      </c>
      <c r="I240">
        <f t="shared" si="18"/>
        <v>-13.6</v>
      </c>
      <c r="J240" t="e">
        <f t="shared" si="17"/>
        <v>#DIV/0!</v>
      </c>
    </row>
    <row r="241" spans="1:10">
      <c r="I241">
        <f t="shared" si="18"/>
        <v>0</v>
      </c>
      <c r="J241" t="e">
        <f t="shared" si="17"/>
        <v>#DIV/0!</v>
      </c>
    </row>
    <row r="242" spans="1:10">
      <c r="A242" t="s">
        <v>409</v>
      </c>
      <c r="D242" t="s">
        <v>368</v>
      </c>
      <c r="E242">
        <v>399</v>
      </c>
      <c r="F242">
        <f>(66.28/2)+1</f>
        <v>34.14</v>
      </c>
      <c r="G242">
        <f>F242*6.75</f>
        <v>230.44499999999999</v>
      </c>
      <c r="I242">
        <f t="shared" si="18"/>
        <v>168.55500000000001</v>
      </c>
      <c r="J242">
        <f t="shared" si="17"/>
        <v>0.4224436090225564</v>
      </c>
    </row>
    <row r="243" spans="1:10">
      <c r="D243" t="s">
        <v>410</v>
      </c>
      <c r="E243">
        <v>399</v>
      </c>
      <c r="F243">
        <f>27.99*1.09+1</f>
        <v>31.5091</v>
      </c>
      <c r="G243">
        <f>F243*6.75</f>
        <v>212.68642500000001</v>
      </c>
      <c r="I243">
        <f t="shared" si="18"/>
        <v>186.31357499999999</v>
      </c>
      <c r="J243">
        <f t="shared" si="17"/>
        <v>0.46695131578947363</v>
      </c>
    </row>
    <row r="244" spans="1:10">
      <c r="I244">
        <f t="shared" si="18"/>
        <v>0</v>
      </c>
      <c r="J244" t="e">
        <f t="shared" si="17"/>
        <v>#DIV/0!</v>
      </c>
    </row>
    <row r="245" spans="1:10">
      <c r="A245">
        <v>2.21</v>
      </c>
      <c r="D245" t="s">
        <v>411</v>
      </c>
      <c r="E245">
        <v>399</v>
      </c>
      <c r="F245">
        <f>48</f>
        <v>48</v>
      </c>
      <c r="G245">
        <f>F245*6.8</f>
        <v>326.39999999999998</v>
      </c>
      <c r="I245">
        <f t="shared" si="18"/>
        <v>72.600000000000023</v>
      </c>
      <c r="J245">
        <f t="shared" si="17"/>
        <v>0.18195488721804517</v>
      </c>
    </row>
    <row r="246" spans="1:10">
      <c r="D246" t="s">
        <v>57</v>
      </c>
      <c r="E246">
        <f>252+33</f>
        <v>285</v>
      </c>
      <c r="I246">
        <f>42.24+33</f>
        <v>75.240000000000009</v>
      </c>
      <c r="J246">
        <f t="shared" si="17"/>
        <v>0.26400000000000001</v>
      </c>
    </row>
    <row r="247" spans="1:10">
      <c r="A247">
        <v>2.2200000000000002</v>
      </c>
      <c r="D247" t="s">
        <v>57</v>
      </c>
      <c r="E247">
        <v>295</v>
      </c>
      <c r="I247">
        <f>42.24+33+10</f>
        <v>85.240000000000009</v>
      </c>
      <c r="J247">
        <f t="shared" si="17"/>
        <v>0.28894915254237291</v>
      </c>
    </row>
    <row r="248" spans="1:10">
      <c r="I248">
        <f t="shared" si="18"/>
        <v>0</v>
      </c>
      <c r="J248" t="e">
        <f t="shared" si="17"/>
        <v>#DIV/0!</v>
      </c>
    </row>
    <row r="249" spans="1:10">
      <c r="A249">
        <v>2.23</v>
      </c>
      <c r="D249" t="s">
        <v>412</v>
      </c>
      <c r="E249">
        <v>270</v>
      </c>
      <c r="F249">
        <v>10</v>
      </c>
      <c r="G249">
        <f>F249*6.8</f>
        <v>68</v>
      </c>
      <c r="I249">
        <f t="shared" si="18"/>
        <v>202</v>
      </c>
      <c r="J249">
        <f t="shared" si="17"/>
        <v>0.74814814814814812</v>
      </c>
    </row>
    <row r="250" spans="1:10">
      <c r="I250">
        <f t="shared" si="18"/>
        <v>0</v>
      </c>
      <c r="J250" t="e">
        <f t="shared" si="17"/>
        <v>#DIV/0!</v>
      </c>
    </row>
    <row r="251" spans="1:10">
      <c r="A251">
        <v>2.2400000000000002</v>
      </c>
      <c r="D251" t="s">
        <v>155</v>
      </c>
      <c r="I251">
        <f t="shared" si="18"/>
        <v>0</v>
      </c>
      <c r="J251" t="e">
        <f t="shared" si="17"/>
        <v>#DIV/0!</v>
      </c>
    </row>
    <row r="252" spans="1:10">
      <c r="D252" t="s">
        <v>413</v>
      </c>
      <c r="E252">
        <f>171*1.1*7+50</f>
        <v>1366.7000000000003</v>
      </c>
      <c r="F252">
        <f>160*0.985</f>
        <v>157.6</v>
      </c>
      <c r="G252">
        <f>F252*6.75</f>
        <v>1063.8</v>
      </c>
      <c r="I252">
        <f t="shared" si="18"/>
        <v>302.90000000000032</v>
      </c>
      <c r="J252">
        <f t="shared" si="17"/>
        <v>0.22162874076242062</v>
      </c>
    </row>
    <row r="253" spans="1:10">
      <c r="I253">
        <f t="shared" si="18"/>
        <v>0</v>
      </c>
      <c r="J253" t="e">
        <f t="shared" si="17"/>
        <v>#DIV/0!</v>
      </c>
    </row>
    <row r="254" spans="1:10">
      <c r="A254">
        <v>2.25</v>
      </c>
      <c r="C254" t="s">
        <v>30</v>
      </c>
      <c r="D254" t="s">
        <v>269</v>
      </c>
      <c r="E254">
        <v>173</v>
      </c>
      <c r="G254">
        <v>158</v>
      </c>
      <c r="I254">
        <f t="shared" si="18"/>
        <v>15</v>
      </c>
      <c r="J254">
        <f t="shared" si="17"/>
        <v>8.6705202312138727E-2</v>
      </c>
    </row>
    <row r="255" spans="1:10">
      <c r="B255" t="s">
        <v>39</v>
      </c>
      <c r="C255" t="s">
        <v>30</v>
      </c>
      <c r="D255" t="s">
        <v>414</v>
      </c>
      <c r="E255">
        <f>(210+10)*2</f>
        <v>440</v>
      </c>
      <c r="G255">
        <f>189*2</f>
        <v>378</v>
      </c>
      <c r="I255">
        <f t="shared" si="18"/>
        <v>62</v>
      </c>
      <c r="J255">
        <f t="shared" si="17"/>
        <v>0.1409090909090909</v>
      </c>
    </row>
    <row r="256" spans="1:10">
      <c r="B256" t="s">
        <v>39</v>
      </c>
      <c r="C256" t="s">
        <v>30</v>
      </c>
      <c r="D256" t="s">
        <v>415</v>
      </c>
      <c r="E256">
        <v>200</v>
      </c>
      <c r="I256">
        <f t="shared" si="18"/>
        <v>200</v>
      </c>
      <c r="J256">
        <f t="shared" si="17"/>
        <v>1</v>
      </c>
    </row>
    <row r="257" spans="1:10">
      <c r="D257" t="s">
        <v>416</v>
      </c>
      <c r="E257">
        <v>169</v>
      </c>
      <c r="F257">
        <v>8</v>
      </c>
      <c r="G257">
        <f>F257*6.9</f>
        <v>55.2</v>
      </c>
      <c r="I257">
        <f t="shared" si="18"/>
        <v>113.8</v>
      </c>
      <c r="J257">
        <f t="shared" si="17"/>
        <v>0.67337278106508869</v>
      </c>
    </row>
    <row r="258" spans="1:10">
      <c r="D258" t="s">
        <v>417</v>
      </c>
      <c r="E258">
        <f>162*3</f>
        <v>486</v>
      </c>
      <c r="G258">
        <f>149*3</f>
        <v>447</v>
      </c>
      <c r="I258">
        <f t="shared" si="18"/>
        <v>39</v>
      </c>
      <c r="J258">
        <f t="shared" si="17"/>
        <v>8.0246913580246909E-2</v>
      </c>
    </row>
    <row r="259" spans="1:10">
      <c r="A259">
        <v>2.2599999999999998</v>
      </c>
      <c r="C259" t="s">
        <v>30</v>
      </c>
      <c r="D259" t="s">
        <v>418</v>
      </c>
      <c r="E259">
        <v>1189</v>
      </c>
      <c r="F259">
        <f>215*0.725</f>
        <v>155.875</v>
      </c>
      <c r="G259">
        <f>F259*6.8</f>
        <v>1059.95</v>
      </c>
      <c r="I259">
        <f t="shared" si="18"/>
        <v>129.04999999999995</v>
      </c>
      <c r="J259">
        <f t="shared" si="17"/>
        <v>0.10853658536585362</v>
      </c>
    </row>
    <row r="260" spans="1:10">
      <c r="B260" t="s">
        <v>397</v>
      </c>
      <c r="C260" t="s">
        <v>30</v>
      </c>
      <c r="D260" t="s">
        <v>398</v>
      </c>
      <c r="E260">
        <v>288</v>
      </c>
      <c r="G260">
        <v>255</v>
      </c>
      <c r="I260">
        <f t="shared" si="18"/>
        <v>33</v>
      </c>
      <c r="J260">
        <f t="shared" si="17"/>
        <v>0.11458333333333333</v>
      </c>
    </row>
    <row r="261" spans="1:10">
      <c r="A261">
        <v>2.27</v>
      </c>
      <c r="D261" t="s">
        <v>419</v>
      </c>
      <c r="E261">
        <v>720</v>
      </c>
      <c r="G261">
        <v>500</v>
      </c>
      <c r="I261">
        <f t="shared" si="18"/>
        <v>220</v>
      </c>
      <c r="J261">
        <f t="shared" si="17"/>
        <v>0.30555555555555558</v>
      </c>
    </row>
    <row r="262" spans="1:10">
      <c r="D262" t="s">
        <v>420</v>
      </c>
      <c r="E262">
        <v>1450</v>
      </c>
      <c r="G262">
        <v>999</v>
      </c>
      <c r="I262">
        <f t="shared" si="18"/>
        <v>451</v>
      </c>
      <c r="J262">
        <f t="shared" si="17"/>
        <v>0.31103448275862067</v>
      </c>
    </row>
    <row r="263" spans="1:10">
      <c r="D263" t="s">
        <v>421</v>
      </c>
      <c r="E263">
        <v>0</v>
      </c>
      <c r="F263">
        <f>400</f>
        <v>400</v>
      </c>
      <c r="G263">
        <f>F263*6.76</f>
        <v>2704</v>
      </c>
      <c r="I263" s="2">
        <f t="shared" si="18"/>
        <v>-2704</v>
      </c>
      <c r="J263" t="e">
        <f t="shared" si="17"/>
        <v>#DIV/0!</v>
      </c>
    </row>
    <row r="264" spans="1:10">
      <c r="A264">
        <v>2.2799999999999998</v>
      </c>
      <c r="C264" t="s">
        <v>30</v>
      </c>
      <c r="D264" t="s">
        <v>171</v>
      </c>
      <c r="E264">
        <v>130</v>
      </c>
      <c r="G264">
        <v>110</v>
      </c>
      <c r="I264">
        <f t="shared" si="18"/>
        <v>20</v>
      </c>
      <c r="J264">
        <f t="shared" si="17"/>
        <v>0.15384615384615385</v>
      </c>
    </row>
    <row r="266" spans="1:10">
      <c r="D266" t="s">
        <v>168</v>
      </c>
      <c r="E266">
        <v>259</v>
      </c>
      <c r="F266">
        <v>21.66</v>
      </c>
      <c r="G266">
        <f>F266*6.8</f>
        <v>147.28800000000001</v>
      </c>
      <c r="I266">
        <f t="shared" si="18"/>
        <v>111.71199999999999</v>
      </c>
      <c r="J266">
        <f t="shared" si="17"/>
        <v>0.43132046332046325</v>
      </c>
    </row>
    <row r="267" spans="1:10">
      <c r="D267" t="s">
        <v>422</v>
      </c>
      <c r="E267">
        <v>199</v>
      </c>
      <c r="F267">
        <v>14</v>
      </c>
      <c r="G267">
        <f>F267*6.85</f>
        <v>95.899999999999991</v>
      </c>
      <c r="I267">
        <f t="shared" si="18"/>
        <v>103.10000000000001</v>
      </c>
      <c r="J267">
        <f t="shared" ref="J267:J330" si="19">I267/E267</f>
        <v>0.51809045226130657</v>
      </c>
    </row>
    <row r="268" spans="1:10">
      <c r="D268" t="s">
        <v>423</v>
      </c>
      <c r="E268">
        <v>279</v>
      </c>
      <c r="G268">
        <v>178</v>
      </c>
      <c r="I268">
        <f t="shared" si="18"/>
        <v>101</v>
      </c>
      <c r="J268">
        <f t="shared" si="19"/>
        <v>0.36200716845878134</v>
      </c>
    </row>
    <row r="269" spans="1:10">
      <c r="D269" t="s">
        <v>424</v>
      </c>
      <c r="E269">
        <v>269</v>
      </c>
      <c r="F269">
        <f>19.99*1.09+1</f>
        <v>22.789100000000001</v>
      </c>
      <c r="G269">
        <f>F269*6.8</f>
        <v>154.96588</v>
      </c>
      <c r="I269">
        <f t="shared" si="18"/>
        <v>114.03412</v>
      </c>
      <c r="J269">
        <f t="shared" si="19"/>
        <v>0.42391866171003717</v>
      </c>
    </row>
    <row r="270" spans="1:10">
      <c r="B270" t="s">
        <v>336</v>
      </c>
      <c r="C270" t="s">
        <v>30</v>
      </c>
      <c r="D270" t="s">
        <v>424</v>
      </c>
      <c r="E270">
        <v>255</v>
      </c>
      <c r="F270">
        <f>19.99*1.09+1</f>
        <v>22.789100000000001</v>
      </c>
      <c r="G270">
        <f>F270*6.8</f>
        <v>154.96588</v>
      </c>
      <c r="I270">
        <f t="shared" si="18"/>
        <v>100.03412</v>
      </c>
      <c r="J270">
        <f t="shared" si="19"/>
        <v>0.39229066666666668</v>
      </c>
    </row>
    <row r="271" spans="1:10">
      <c r="B271" t="s">
        <v>336</v>
      </c>
      <c r="C271" t="s">
        <v>30</v>
      </c>
      <c r="D271" t="s">
        <v>398</v>
      </c>
      <c r="E271">
        <v>369</v>
      </c>
      <c r="G271">
        <v>255</v>
      </c>
      <c r="I271">
        <f t="shared" si="18"/>
        <v>114</v>
      </c>
      <c r="J271">
        <f t="shared" si="19"/>
        <v>0.30894308943089432</v>
      </c>
    </row>
    <row r="272" spans="1:10">
      <c r="C272" t="s">
        <v>30</v>
      </c>
      <c r="D272" t="s">
        <v>425</v>
      </c>
      <c r="I272">
        <v>80</v>
      </c>
      <c r="J272" t="e">
        <f t="shared" si="19"/>
        <v>#DIV/0!</v>
      </c>
    </row>
    <row r="273" spans="1:10">
      <c r="D273" t="s">
        <v>426</v>
      </c>
      <c r="I273">
        <v>40</v>
      </c>
      <c r="J273" t="e">
        <f t="shared" si="19"/>
        <v>#DIV/0!</v>
      </c>
    </row>
    <row r="274" spans="1:10">
      <c r="D274" t="s">
        <v>427</v>
      </c>
      <c r="E274">
        <f>239+15</f>
        <v>254</v>
      </c>
      <c r="G274">
        <f>200+18</f>
        <v>218</v>
      </c>
      <c r="I274">
        <f t="shared" si="18"/>
        <v>36</v>
      </c>
      <c r="J274">
        <f t="shared" si="19"/>
        <v>0.14173228346456693</v>
      </c>
    </row>
    <row r="275" spans="1:10">
      <c r="B275" t="s">
        <v>428</v>
      </c>
      <c r="D275" t="s">
        <v>429</v>
      </c>
      <c r="E275">
        <f>131*6.8</f>
        <v>890.8</v>
      </c>
      <c r="G275">
        <v>574</v>
      </c>
      <c r="I275">
        <f t="shared" si="18"/>
        <v>316.79999999999995</v>
      </c>
      <c r="J275">
        <f t="shared" si="19"/>
        <v>0.35563538392456218</v>
      </c>
    </row>
    <row r="276" spans="1:10">
      <c r="B276" t="s">
        <v>39</v>
      </c>
      <c r="D276" t="s">
        <v>360</v>
      </c>
      <c r="E276">
        <f>100*2</f>
        <v>200</v>
      </c>
      <c r="F276">
        <f>7.5*2</f>
        <v>15</v>
      </c>
      <c r="G276">
        <f>F276*6.9+8</f>
        <v>111.5</v>
      </c>
      <c r="I276">
        <f t="shared" si="18"/>
        <v>88.5</v>
      </c>
      <c r="J276">
        <f t="shared" si="19"/>
        <v>0.4425</v>
      </c>
    </row>
    <row r="277" spans="1:10">
      <c r="B277" t="s">
        <v>39</v>
      </c>
      <c r="D277" t="s">
        <v>430</v>
      </c>
      <c r="J277" t="e">
        <f t="shared" si="19"/>
        <v>#DIV/0!</v>
      </c>
    </row>
    <row r="278" spans="1:10">
      <c r="B278" t="s">
        <v>39</v>
      </c>
      <c r="D278" t="s">
        <v>431</v>
      </c>
      <c r="J278" t="e">
        <f t="shared" si="19"/>
        <v>#DIV/0!</v>
      </c>
    </row>
    <row r="279" spans="1:10">
      <c r="B279" t="s">
        <v>39</v>
      </c>
      <c r="D279" t="s">
        <v>235</v>
      </c>
      <c r="E279">
        <f>145*2</f>
        <v>290</v>
      </c>
      <c r="F279">
        <f>10*2</f>
        <v>20</v>
      </c>
      <c r="G279">
        <f>F279*6.9</f>
        <v>138</v>
      </c>
      <c r="J279">
        <f t="shared" si="19"/>
        <v>0</v>
      </c>
    </row>
    <row r="280" spans="1:10">
      <c r="B280" t="s">
        <v>39</v>
      </c>
      <c r="D280" t="s">
        <v>432</v>
      </c>
      <c r="E280">
        <v>450</v>
      </c>
      <c r="J280">
        <f t="shared" si="19"/>
        <v>0</v>
      </c>
    </row>
    <row r="281" spans="1:10">
      <c r="J281" t="e">
        <f t="shared" si="19"/>
        <v>#DIV/0!</v>
      </c>
    </row>
    <row r="282" spans="1:10">
      <c r="J282" t="e">
        <f t="shared" si="19"/>
        <v>#DIV/0!</v>
      </c>
    </row>
    <row r="283" spans="1:10">
      <c r="J283" t="e">
        <f t="shared" si="19"/>
        <v>#DIV/0!</v>
      </c>
    </row>
    <row r="284" spans="1:10">
      <c r="J284" t="e">
        <f t="shared" si="19"/>
        <v>#DIV/0!</v>
      </c>
    </row>
    <row r="285" spans="1:10">
      <c r="A285">
        <v>3.1</v>
      </c>
      <c r="C285" t="s">
        <v>30</v>
      </c>
      <c r="D285" t="s">
        <v>433</v>
      </c>
      <c r="E285">
        <f>650*11</f>
        <v>7150</v>
      </c>
      <c r="G285">
        <f>614.25*11</f>
        <v>6756.75</v>
      </c>
      <c r="I285">
        <f>E285-G285</f>
        <v>393.25</v>
      </c>
      <c r="J285">
        <f t="shared" si="19"/>
        <v>5.5E-2</v>
      </c>
    </row>
    <row r="286" spans="1:10">
      <c r="J286" t="e">
        <f t="shared" si="19"/>
        <v>#DIV/0!</v>
      </c>
    </row>
    <row r="287" spans="1:10">
      <c r="A287">
        <v>3.2</v>
      </c>
      <c r="C287" t="s">
        <v>30</v>
      </c>
      <c r="D287" t="s">
        <v>433</v>
      </c>
      <c r="E287">
        <f>650*2</f>
        <v>1300</v>
      </c>
      <c r="G287">
        <f>614.25*2</f>
        <v>1228.5</v>
      </c>
      <c r="I287">
        <f>E287-G287</f>
        <v>71.5</v>
      </c>
      <c r="J287">
        <f t="shared" si="19"/>
        <v>5.5E-2</v>
      </c>
    </row>
    <row r="288" spans="1:10">
      <c r="C288" t="s">
        <v>30</v>
      </c>
      <c r="D288" t="s">
        <v>434</v>
      </c>
      <c r="E288">
        <v>232</v>
      </c>
      <c r="G288">
        <v>210</v>
      </c>
      <c r="I288">
        <f>E288-G288</f>
        <v>22</v>
      </c>
      <c r="J288">
        <f t="shared" si="19"/>
        <v>9.4827586206896547E-2</v>
      </c>
    </row>
    <row r="289" spans="1:10">
      <c r="B289" t="s">
        <v>267</v>
      </c>
      <c r="C289" t="s">
        <v>37</v>
      </c>
      <c r="D289" t="s">
        <v>435</v>
      </c>
      <c r="E289">
        <f>345*2</f>
        <v>690</v>
      </c>
      <c r="F289">
        <f>56*0.8</f>
        <v>44.800000000000004</v>
      </c>
      <c r="G289">
        <f>F289*6.75*2</f>
        <v>604.80000000000007</v>
      </c>
      <c r="I289">
        <f>E289-G289</f>
        <v>85.199999999999932</v>
      </c>
      <c r="J289">
        <f t="shared" si="19"/>
        <v>0.12347826086956512</v>
      </c>
    </row>
    <row r="290" spans="1:10">
      <c r="B290" t="s">
        <v>39</v>
      </c>
      <c r="C290" t="s">
        <v>30</v>
      </c>
      <c r="D290" t="s">
        <v>436</v>
      </c>
      <c r="E290">
        <v>345</v>
      </c>
      <c r="G290">
        <f>G289/2</f>
        <v>302.40000000000003</v>
      </c>
      <c r="I290">
        <f>E290-G290</f>
        <v>42.599999999999966</v>
      </c>
      <c r="J290">
        <f t="shared" si="19"/>
        <v>0.12347826086956512</v>
      </c>
    </row>
    <row r="291" spans="1:10">
      <c r="A291">
        <v>3.3</v>
      </c>
      <c r="B291" t="s">
        <v>152</v>
      </c>
      <c r="D291" t="s">
        <v>358</v>
      </c>
      <c r="E291">
        <v>950</v>
      </c>
      <c r="G291">
        <v>550</v>
      </c>
      <c r="I291">
        <f t="shared" ref="I291:I343" si="20">E291-G291</f>
        <v>400</v>
      </c>
      <c r="J291">
        <f t="shared" si="19"/>
        <v>0.42105263157894735</v>
      </c>
    </row>
    <row r="292" spans="1:10">
      <c r="J292" t="e">
        <f t="shared" si="19"/>
        <v>#DIV/0!</v>
      </c>
    </row>
    <row r="293" spans="1:10">
      <c r="A293">
        <v>3.4</v>
      </c>
      <c r="B293" t="s">
        <v>437</v>
      </c>
      <c r="D293" t="s">
        <v>438</v>
      </c>
      <c r="E293">
        <v>299</v>
      </c>
      <c r="G293">
        <v>218</v>
      </c>
      <c r="I293">
        <f>E293-G293</f>
        <v>81</v>
      </c>
      <c r="J293">
        <f t="shared" si="19"/>
        <v>0.2709030100334448</v>
      </c>
    </row>
    <row r="294" spans="1:10">
      <c r="B294" t="s">
        <v>439</v>
      </c>
      <c r="D294" t="s">
        <v>440</v>
      </c>
      <c r="E294">
        <v>650</v>
      </c>
      <c r="G294">
        <v>500</v>
      </c>
      <c r="I294">
        <f>E294-G294</f>
        <v>150</v>
      </c>
      <c r="J294">
        <f t="shared" si="19"/>
        <v>0.23076923076923078</v>
      </c>
    </row>
    <row r="295" spans="1:10">
      <c r="I295">
        <f t="shared" si="20"/>
        <v>0</v>
      </c>
      <c r="J295" t="e">
        <f t="shared" si="19"/>
        <v>#DIV/0!</v>
      </c>
    </row>
    <row r="296" spans="1:10">
      <c r="A296">
        <v>3.5</v>
      </c>
      <c r="B296" t="s">
        <v>267</v>
      </c>
      <c r="C296" t="s">
        <v>37</v>
      </c>
      <c r="D296" t="s">
        <v>441</v>
      </c>
      <c r="E296">
        <v>899</v>
      </c>
      <c r="F296">
        <v>65</v>
      </c>
      <c r="G296">
        <f>F296*6.9</f>
        <v>448.5</v>
      </c>
      <c r="I296">
        <f t="shared" si="20"/>
        <v>450.5</v>
      </c>
      <c r="J296">
        <f t="shared" si="19"/>
        <v>0.50111234705228036</v>
      </c>
    </row>
    <row r="297" spans="1:10">
      <c r="I297">
        <f t="shared" si="20"/>
        <v>0</v>
      </c>
      <c r="J297" t="e">
        <f t="shared" si="19"/>
        <v>#DIV/0!</v>
      </c>
    </row>
    <row r="298" spans="1:10">
      <c r="A298">
        <v>3.6</v>
      </c>
      <c r="B298" t="s">
        <v>132</v>
      </c>
      <c r="C298" t="s">
        <v>37</v>
      </c>
      <c r="D298" t="s">
        <v>19</v>
      </c>
      <c r="E298">
        <v>920</v>
      </c>
      <c r="F298">
        <v>65</v>
      </c>
      <c r="G298">
        <f>F298*6.9</f>
        <v>448.5</v>
      </c>
      <c r="I298">
        <f t="shared" si="20"/>
        <v>471.5</v>
      </c>
      <c r="J298">
        <f t="shared" si="19"/>
        <v>0.51249999999999996</v>
      </c>
    </row>
    <row r="299" spans="1:10">
      <c r="B299" t="s">
        <v>132</v>
      </c>
      <c r="C299" t="s">
        <v>37</v>
      </c>
      <c r="D299" t="s">
        <v>442</v>
      </c>
      <c r="E299">
        <v>160</v>
      </c>
      <c r="F299">
        <v>15.3</v>
      </c>
      <c r="G299">
        <f>F299*6.75</f>
        <v>103.27500000000001</v>
      </c>
      <c r="I299">
        <f t="shared" si="20"/>
        <v>56.724999999999994</v>
      </c>
      <c r="J299">
        <f t="shared" si="19"/>
        <v>0.35453124999999996</v>
      </c>
    </row>
    <row r="300" spans="1:10">
      <c r="I300">
        <f t="shared" si="20"/>
        <v>0</v>
      </c>
      <c r="J300" t="e">
        <f t="shared" si="19"/>
        <v>#DIV/0!</v>
      </c>
    </row>
    <row r="301" spans="1:10">
      <c r="A301">
        <v>3.7</v>
      </c>
      <c r="B301" t="s">
        <v>439</v>
      </c>
      <c r="D301" t="s">
        <v>443</v>
      </c>
      <c r="E301">
        <v>59</v>
      </c>
      <c r="G301">
        <v>0</v>
      </c>
      <c r="I301">
        <f t="shared" si="20"/>
        <v>59</v>
      </c>
      <c r="J301">
        <f t="shared" si="19"/>
        <v>1</v>
      </c>
    </row>
    <row r="302" spans="1:10">
      <c r="A302">
        <v>3.8</v>
      </c>
      <c r="B302" t="s">
        <v>39</v>
      </c>
      <c r="D302" t="s">
        <v>444</v>
      </c>
      <c r="E302">
        <f>560+10</f>
        <v>570</v>
      </c>
      <c r="G302">
        <f>540+8</f>
        <v>548</v>
      </c>
      <c r="I302">
        <f t="shared" si="20"/>
        <v>22</v>
      </c>
      <c r="J302">
        <f t="shared" si="19"/>
        <v>3.8596491228070177E-2</v>
      </c>
    </row>
    <row r="303" spans="1:10">
      <c r="C303" t="s">
        <v>30</v>
      </c>
      <c r="D303" t="s">
        <v>445</v>
      </c>
      <c r="E303">
        <v>290</v>
      </c>
      <c r="G303">
        <v>245</v>
      </c>
      <c r="I303">
        <f t="shared" si="20"/>
        <v>45</v>
      </c>
      <c r="J303">
        <f t="shared" si="19"/>
        <v>0.15517241379310345</v>
      </c>
    </row>
    <row r="304" spans="1:10">
      <c r="C304" t="s">
        <v>30</v>
      </c>
      <c r="D304" t="s">
        <v>445</v>
      </c>
      <c r="E304">
        <f>275+10</f>
        <v>285</v>
      </c>
      <c r="G304">
        <v>245</v>
      </c>
      <c r="I304">
        <f t="shared" si="20"/>
        <v>40</v>
      </c>
      <c r="J304">
        <f t="shared" si="19"/>
        <v>0.14035087719298245</v>
      </c>
    </row>
    <row r="305" spans="1:10">
      <c r="A305">
        <v>3.9</v>
      </c>
      <c r="D305" t="s">
        <v>421</v>
      </c>
      <c r="E305">
        <v>0</v>
      </c>
      <c r="F305">
        <v>108</v>
      </c>
      <c r="G305">
        <f>F305*6.72</f>
        <v>725.76</v>
      </c>
      <c r="I305">
        <f t="shared" si="20"/>
        <v>-725.76</v>
      </c>
      <c r="J305" t="e">
        <f t="shared" si="19"/>
        <v>#DIV/0!</v>
      </c>
    </row>
    <row r="306" spans="1:10">
      <c r="I306">
        <f t="shared" si="20"/>
        <v>0</v>
      </c>
      <c r="J306" t="e">
        <f t="shared" si="19"/>
        <v>#DIV/0!</v>
      </c>
    </row>
    <row r="307" spans="1:10">
      <c r="A307" t="s">
        <v>446</v>
      </c>
      <c r="B307" t="s">
        <v>377</v>
      </c>
      <c r="D307" t="s">
        <v>447</v>
      </c>
      <c r="E307">
        <v>599</v>
      </c>
      <c r="G307">
        <v>470</v>
      </c>
      <c r="I307">
        <f t="shared" si="20"/>
        <v>129</v>
      </c>
      <c r="J307">
        <f t="shared" si="19"/>
        <v>0.21535893155258765</v>
      </c>
    </row>
    <row r="308" spans="1:10">
      <c r="B308" t="s">
        <v>448</v>
      </c>
      <c r="D308" t="s">
        <v>449</v>
      </c>
      <c r="E308">
        <v>399</v>
      </c>
      <c r="G308">
        <v>330</v>
      </c>
      <c r="I308">
        <f t="shared" si="20"/>
        <v>69</v>
      </c>
      <c r="J308">
        <f t="shared" si="19"/>
        <v>0.17293233082706766</v>
      </c>
    </row>
    <row r="309" spans="1:10">
      <c r="B309" t="s">
        <v>450</v>
      </c>
      <c r="D309" t="s">
        <v>451</v>
      </c>
      <c r="E309">
        <v>255</v>
      </c>
      <c r="G309">
        <f>392/2</f>
        <v>196</v>
      </c>
      <c r="I309">
        <f t="shared" si="20"/>
        <v>59</v>
      </c>
      <c r="J309">
        <f t="shared" si="19"/>
        <v>0.23137254901960785</v>
      </c>
    </row>
    <row r="310" spans="1:10">
      <c r="B310" t="s">
        <v>342</v>
      </c>
      <c r="D310" t="s">
        <v>452</v>
      </c>
      <c r="E310">
        <v>450</v>
      </c>
      <c r="G310">
        <v>380</v>
      </c>
      <c r="I310">
        <f t="shared" si="20"/>
        <v>70</v>
      </c>
      <c r="J310">
        <f t="shared" si="19"/>
        <v>0.15555555555555556</v>
      </c>
    </row>
    <row r="311" spans="1:10">
      <c r="B311" t="s">
        <v>453</v>
      </c>
      <c r="D311" t="s">
        <v>454</v>
      </c>
      <c r="E311">
        <v>409</v>
      </c>
      <c r="G311">
        <v>340</v>
      </c>
      <c r="I311">
        <f t="shared" si="20"/>
        <v>69</v>
      </c>
      <c r="J311">
        <f t="shared" si="19"/>
        <v>0.1687041564792176</v>
      </c>
    </row>
    <row r="312" spans="1:10">
      <c r="B312" t="s">
        <v>30</v>
      </c>
      <c r="D312" t="s">
        <v>455</v>
      </c>
      <c r="E312">
        <v>244</v>
      </c>
      <c r="G312">
        <v>200</v>
      </c>
      <c r="I312">
        <f t="shared" si="20"/>
        <v>44</v>
      </c>
      <c r="J312">
        <f t="shared" si="19"/>
        <v>0.18032786885245902</v>
      </c>
    </row>
    <row r="314" spans="1:10">
      <c r="B314" t="s">
        <v>16</v>
      </c>
      <c r="D314" t="s">
        <v>456</v>
      </c>
      <c r="E314">
        <v>399</v>
      </c>
      <c r="G314">
        <v>340</v>
      </c>
      <c r="I314">
        <f t="shared" si="20"/>
        <v>59</v>
      </c>
      <c r="J314">
        <f t="shared" si="19"/>
        <v>0.14786967418546365</v>
      </c>
    </row>
    <row r="315" spans="1:10">
      <c r="C315" t="s">
        <v>37</v>
      </c>
      <c r="D315" t="s">
        <v>457</v>
      </c>
      <c r="E315">
        <f>315+10</f>
        <v>325</v>
      </c>
      <c r="G315">
        <v>270</v>
      </c>
      <c r="I315">
        <f t="shared" si="20"/>
        <v>55</v>
      </c>
      <c r="J315">
        <f t="shared" si="19"/>
        <v>0.16923076923076924</v>
      </c>
    </row>
    <row r="316" spans="1:10">
      <c r="J316" t="e">
        <f t="shared" si="19"/>
        <v>#DIV/0!</v>
      </c>
    </row>
    <row r="317" spans="1:10">
      <c r="J317" t="e">
        <f t="shared" si="19"/>
        <v>#DIV/0!</v>
      </c>
    </row>
    <row r="318" spans="1:10">
      <c r="J318" t="e">
        <f t="shared" si="19"/>
        <v>#DIV/0!</v>
      </c>
    </row>
    <row r="319" spans="1:10">
      <c r="A319">
        <v>3.11</v>
      </c>
      <c r="C319" t="s">
        <v>37</v>
      </c>
      <c r="D319" t="s">
        <v>334</v>
      </c>
      <c r="E319">
        <v>175</v>
      </c>
      <c r="F319">
        <v>12</v>
      </c>
      <c r="G319">
        <f>F319*6.75</f>
        <v>81</v>
      </c>
      <c r="I319">
        <f t="shared" si="20"/>
        <v>94</v>
      </c>
      <c r="J319">
        <f t="shared" si="19"/>
        <v>0.53714285714285714</v>
      </c>
    </row>
    <row r="320" spans="1:10">
      <c r="C320" t="s">
        <v>30</v>
      </c>
      <c r="D320" t="s">
        <v>458</v>
      </c>
      <c r="E320">
        <f>255+10</f>
        <v>265</v>
      </c>
      <c r="G320">
        <v>220</v>
      </c>
      <c r="I320">
        <f t="shared" si="20"/>
        <v>45</v>
      </c>
      <c r="J320">
        <f t="shared" si="19"/>
        <v>0.16981132075471697</v>
      </c>
    </row>
    <row r="321" spans="1:10">
      <c r="C321" t="s">
        <v>30</v>
      </c>
      <c r="D321" t="s">
        <v>459</v>
      </c>
      <c r="E321">
        <v>235</v>
      </c>
      <c r="F321">
        <f>37*0.66</f>
        <v>24.42</v>
      </c>
      <c r="G321">
        <f>F321*6.9+10</f>
        <v>178.49800000000002</v>
      </c>
      <c r="I321">
        <f>E321-G321</f>
        <v>56.501999999999981</v>
      </c>
      <c r="J321">
        <f t="shared" si="19"/>
        <v>0.2404340425531914</v>
      </c>
    </row>
    <row r="322" spans="1:10">
      <c r="B322" t="s">
        <v>39</v>
      </c>
      <c r="C322" t="s">
        <v>37</v>
      </c>
      <c r="D322" t="s">
        <v>460</v>
      </c>
      <c r="E322">
        <f>166*3+20</f>
        <v>518</v>
      </c>
      <c r="G322">
        <f>481+12</f>
        <v>493</v>
      </c>
      <c r="I322">
        <f>E322-G322</f>
        <v>25</v>
      </c>
      <c r="J322">
        <f t="shared" si="19"/>
        <v>4.8262548262548263E-2</v>
      </c>
    </row>
    <row r="323" spans="1:10">
      <c r="B323" t="s">
        <v>461</v>
      </c>
      <c r="D323" t="s">
        <v>462</v>
      </c>
      <c r="E323">
        <f>199*2</f>
        <v>398</v>
      </c>
      <c r="F323">
        <f>35.2</f>
        <v>35.200000000000003</v>
      </c>
      <c r="G323">
        <f>F323*6.73</f>
        <v>236.89600000000004</v>
      </c>
      <c r="I323">
        <f t="shared" si="20"/>
        <v>161.10399999999996</v>
      </c>
      <c r="J323">
        <f t="shared" si="19"/>
        <v>0.40478391959798982</v>
      </c>
    </row>
    <row r="324" spans="1:10">
      <c r="B324" t="s">
        <v>463</v>
      </c>
      <c r="D324" t="s">
        <v>462</v>
      </c>
      <c r="E324">
        <f>199*2</f>
        <v>398</v>
      </c>
      <c r="F324">
        <f>35.2</f>
        <v>35.200000000000003</v>
      </c>
      <c r="G324">
        <f>F324*6.73</f>
        <v>236.89600000000004</v>
      </c>
      <c r="I324">
        <f t="shared" si="20"/>
        <v>161.10399999999996</v>
      </c>
      <c r="J324">
        <f t="shared" si="19"/>
        <v>0.40478391959798982</v>
      </c>
    </row>
    <row r="325" spans="1:10">
      <c r="I325">
        <f t="shared" si="20"/>
        <v>0</v>
      </c>
      <c r="J325" t="e">
        <f t="shared" si="19"/>
        <v>#DIV/0!</v>
      </c>
    </row>
    <row r="326" spans="1:10">
      <c r="A326">
        <v>3.14</v>
      </c>
      <c r="B326" t="s">
        <v>464</v>
      </c>
      <c r="D326" t="s">
        <v>465</v>
      </c>
      <c r="E326">
        <v>200</v>
      </c>
      <c r="G326">
        <f>110</f>
        <v>110</v>
      </c>
      <c r="I326" s="2">
        <f>E326-G326</f>
        <v>90</v>
      </c>
      <c r="J326">
        <f t="shared" si="19"/>
        <v>0.45</v>
      </c>
    </row>
    <row r="327" spans="1:10">
      <c r="B327" t="s">
        <v>466</v>
      </c>
      <c r="C327" t="s">
        <v>37</v>
      </c>
      <c r="D327" t="s">
        <v>467</v>
      </c>
      <c r="E327">
        <v>260</v>
      </c>
      <c r="G327">
        <v>176</v>
      </c>
      <c r="I327">
        <f t="shared" si="20"/>
        <v>84</v>
      </c>
      <c r="J327">
        <f t="shared" si="19"/>
        <v>0.32307692307692309</v>
      </c>
    </row>
    <row r="328" spans="1:10">
      <c r="B328" t="s">
        <v>132</v>
      </c>
      <c r="C328" t="s">
        <v>37</v>
      </c>
      <c r="D328" t="s">
        <v>468</v>
      </c>
      <c r="E328">
        <v>500</v>
      </c>
      <c r="G328">
        <v>419</v>
      </c>
      <c r="I328">
        <f t="shared" si="20"/>
        <v>81</v>
      </c>
      <c r="J328">
        <f t="shared" si="19"/>
        <v>0.16200000000000001</v>
      </c>
    </row>
    <row r="329" spans="1:10">
      <c r="I329">
        <f t="shared" si="20"/>
        <v>0</v>
      </c>
      <c r="J329" t="e">
        <f t="shared" si="19"/>
        <v>#DIV/0!</v>
      </c>
    </row>
    <row r="330" spans="1:10">
      <c r="A330">
        <v>3.15</v>
      </c>
      <c r="B330" t="s">
        <v>245</v>
      </c>
      <c r="C330" t="s">
        <v>30</v>
      </c>
      <c r="D330" t="s">
        <v>469</v>
      </c>
      <c r="E330">
        <v>220</v>
      </c>
      <c r="F330">
        <v>15</v>
      </c>
      <c r="G330">
        <f>F330*6.75</f>
        <v>101.25</v>
      </c>
      <c r="I330">
        <f t="shared" si="20"/>
        <v>118.75</v>
      </c>
      <c r="J330">
        <f t="shared" si="19"/>
        <v>0.53977272727272729</v>
      </c>
    </row>
    <row r="331" spans="1:10">
      <c r="B331" t="s">
        <v>245</v>
      </c>
      <c r="C331" t="s">
        <v>30</v>
      </c>
      <c r="D331" t="s">
        <v>470</v>
      </c>
      <c r="I331">
        <f t="shared" si="20"/>
        <v>0</v>
      </c>
      <c r="J331" t="e">
        <f t="shared" ref="J331:J394" si="21">I331/E331</f>
        <v>#DIV/0!</v>
      </c>
    </row>
    <row r="332" spans="1:10">
      <c r="B332" t="s">
        <v>245</v>
      </c>
      <c r="C332" t="s">
        <v>30</v>
      </c>
      <c r="D332" t="s">
        <v>471</v>
      </c>
      <c r="E332">
        <f>300*3</f>
        <v>900</v>
      </c>
      <c r="G332">
        <f>265*3</f>
        <v>795</v>
      </c>
      <c r="I332">
        <f t="shared" si="20"/>
        <v>105</v>
      </c>
      <c r="J332">
        <f t="shared" si="21"/>
        <v>0.11666666666666667</v>
      </c>
    </row>
    <row r="333" spans="1:10">
      <c r="B333" t="s">
        <v>132</v>
      </c>
      <c r="C333" t="s">
        <v>37</v>
      </c>
      <c r="D333" t="s">
        <v>442</v>
      </c>
      <c r="E333">
        <v>160</v>
      </c>
      <c r="F333">
        <v>15.3</v>
      </c>
      <c r="G333">
        <f>F333*6.75</f>
        <v>103.27500000000001</v>
      </c>
      <c r="I333">
        <f t="shared" si="20"/>
        <v>56.724999999999994</v>
      </c>
      <c r="J333">
        <f t="shared" si="21"/>
        <v>0.35453124999999996</v>
      </c>
    </row>
    <row r="334" spans="1:10">
      <c r="I334">
        <f t="shared" si="20"/>
        <v>0</v>
      </c>
      <c r="J334" t="e">
        <f t="shared" si="21"/>
        <v>#DIV/0!</v>
      </c>
    </row>
    <row r="335" spans="1:10">
      <c r="A335">
        <v>3.16</v>
      </c>
      <c r="B335" t="s">
        <v>111</v>
      </c>
      <c r="C335" t="s">
        <v>30</v>
      </c>
      <c r="D335" t="s">
        <v>51</v>
      </c>
      <c r="E335">
        <v>225</v>
      </c>
      <c r="G335">
        <v>185</v>
      </c>
      <c r="I335">
        <f t="shared" si="20"/>
        <v>40</v>
      </c>
      <c r="J335">
        <f t="shared" si="21"/>
        <v>0.17777777777777778</v>
      </c>
    </row>
    <row r="336" spans="1:10">
      <c r="B336" t="s">
        <v>245</v>
      </c>
      <c r="C336" t="s">
        <v>30</v>
      </c>
      <c r="D336" t="s">
        <v>472</v>
      </c>
      <c r="E336">
        <v>315</v>
      </c>
      <c r="G336">
        <v>265</v>
      </c>
      <c r="I336">
        <f t="shared" si="20"/>
        <v>50</v>
      </c>
      <c r="J336">
        <f t="shared" si="21"/>
        <v>0.15873015873015872</v>
      </c>
    </row>
    <row r="337" spans="1:10">
      <c r="B337" t="s">
        <v>245</v>
      </c>
      <c r="C337" t="s">
        <v>30</v>
      </c>
      <c r="D337" t="s">
        <v>473</v>
      </c>
      <c r="E337">
        <v>195</v>
      </c>
      <c r="G337">
        <v>155</v>
      </c>
      <c r="I337">
        <f t="shared" si="20"/>
        <v>40</v>
      </c>
      <c r="J337">
        <f t="shared" si="21"/>
        <v>0.20512820512820512</v>
      </c>
    </row>
    <row r="338" spans="1:10">
      <c r="B338" t="s">
        <v>245</v>
      </c>
      <c r="C338" t="s">
        <v>30</v>
      </c>
      <c r="D338" t="s">
        <v>473</v>
      </c>
      <c r="E338">
        <v>195</v>
      </c>
      <c r="G338">
        <v>155</v>
      </c>
      <c r="I338">
        <f t="shared" si="20"/>
        <v>40</v>
      </c>
      <c r="J338">
        <f t="shared" si="21"/>
        <v>0.20512820512820512</v>
      </c>
    </row>
    <row r="339" spans="1:10">
      <c r="B339" t="s">
        <v>474</v>
      </c>
      <c r="C339" t="s">
        <v>37</v>
      </c>
      <c r="D339" t="s">
        <v>475</v>
      </c>
      <c r="E339">
        <f>179*2</f>
        <v>358</v>
      </c>
      <c r="G339">
        <v>122.96</v>
      </c>
      <c r="I339">
        <f t="shared" si="20"/>
        <v>235.04000000000002</v>
      </c>
      <c r="J339">
        <f t="shared" si="21"/>
        <v>0.65653631284916203</v>
      </c>
    </row>
    <row r="340" spans="1:10">
      <c r="A340" t="s">
        <v>476</v>
      </c>
      <c r="B340" t="s">
        <v>474</v>
      </c>
      <c r="C340" t="s">
        <v>37</v>
      </c>
      <c r="D340" t="s">
        <v>477</v>
      </c>
      <c r="E340">
        <f>150*2</f>
        <v>300</v>
      </c>
      <c r="G340">
        <f>49.75*6.73</f>
        <v>334.8175</v>
      </c>
      <c r="I340">
        <f t="shared" si="20"/>
        <v>-34.817499999999995</v>
      </c>
      <c r="J340">
        <f t="shared" si="21"/>
        <v>-0.11605833333333332</v>
      </c>
    </row>
    <row r="341" spans="1:10">
      <c r="B341" t="s">
        <v>474</v>
      </c>
      <c r="C341" t="s">
        <v>37</v>
      </c>
      <c r="D341" t="s">
        <v>478</v>
      </c>
      <c r="E341">
        <v>179</v>
      </c>
      <c r="G341">
        <v>129</v>
      </c>
      <c r="I341">
        <f t="shared" si="20"/>
        <v>50</v>
      </c>
      <c r="J341">
        <f t="shared" si="21"/>
        <v>0.27932960893854747</v>
      </c>
    </row>
    <row r="342" spans="1:10">
      <c r="B342" t="s">
        <v>479</v>
      </c>
      <c r="D342" t="s">
        <v>480</v>
      </c>
      <c r="E342">
        <f>399+8</f>
        <v>407</v>
      </c>
      <c r="G342">
        <f>302+10</f>
        <v>312</v>
      </c>
      <c r="I342">
        <f t="shared" si="20"/>
        <v>95</v>
      </c>
      <c r="J342">
        <f t="shared" si="21"/>
        <v>0.2334152334152334</v>
      </c>
    </row>
    <row r="343" spans="1:10">
      <c r="B343" t="s">
        <v>255</v>
      </c>
      <c r="C343" t="s">
        <v>30</v>
      </c>
      <c r="D343" t="s">
        <v>51</v>
      </c>
      <c r="E343">
        <v>240</v>
      </c>
      <c r="G343">
        <v>185</v>
      </c>
      <c r="I343">
        <f t="shared" si="20"/>
        <v>55</v>
      </c>
      <c r="J343">
        <f t="shared" si="21"/>
        <v>0.22916666666666666</v>
      </c>
    </row>
    <row r="344" spans="1:10">
      <c r="J344" t="e">
        <f t="shared" si="21"/>
        <v>#DIV/0!</v>
      </c>
    </row>
    <row r="345" spans="1:10">
      <c r="A345">
        <v>3.17</v>
      </c>
      <c r="B345" t="s">
        <v>111</v>
      </c>
      <c r="C345" t="s">
        <v>30</v>
      </c>
      <c r="D345" t="s">
        <v>481</v>
      </c>
      <c r="E345">
        <f>300*6.3</f>
        <v>1890</v>
      </c>
      <c r="F345">
        <v>278.39999999999998</v>
      </c>
      <c r="G345">
        <f>F345*6.71</f>
        <v>1868.0639999999999</v>
      </c>
      <c r="H345">
        <f>F345*0.03*6.71</f>
        <v>56.04191999999999</v>
      </c>
      <c r="I345">
        <f>E345-G345+H345</f>
        <v>77.97792000000014</v>
      </c>
      <c r="J345">
        <f t="shared" si="21"/>
        <v>4.1258158730158805E-2</v>
      </c>
    </row>
    <row r="346" spans="1:10">
      <c r="B346" t="s">
        <v>267</v>
      </c>
      <c r="C346" t="s">
        <v>37</v>
      </c>
      <c r="D346" t="s">
        <v>482</v>
      </c>
      <c r="E346">
        <v>600</v>
      </c>
      <c r="G346">
        <v>450</v>
      </c>
      <c r="I346">
        <f t="shared" ref="I346:I361" si="22">E346-G346</f>
        <v>150</v>
      </c>
      <c r="J346">
        <f t="shared" si="21"/>
        <v>0.25</v>
      </c>
    </row>
    <row r="347" spans="1:10">
      <c r="B347" t="s">
        <v>267</v>
      </c>
      <c r="C347" t="s">
        <v>37</v>
      </c>
      <c r="D347" t="s">
        <v>457</v>
      </c>
      <c r="E347">
        <v>320</v>
      </c>
      <c r="G347">
        <f>270+8</f>
        <v>278</v>
      </c>
      <c r="I347">
        <f t="shared" si="22"/>
        <v>42</v>
      </c>
      <c r="J347">
        <f t="shared" si="21"/>
        <v>0.13125000000000001</v>
      </c>
    </row>
    <row r="348" spans="1:10">
      <c r="B348" t="s">
        <v>483</v>
      </c>
      <c r="C348" t="s">
        <v>30</v>
      </c>
      <c r="D348" t="s">
        <v>484</v>
      </c>
      <c r="E348">
        <v>235</v>
      </c>
      <c r="G348">
        <v>0</v>
      </c>
      <c r="I348">
        <f t="shared" si="22"/>
        <v>235</v>
      </c>
      <c r="J348">
        <f t="shared" si="21"/>
        <v>1</v>
      </c>
    </row>
    <row r="349" spans="1:10">
      <c r="B349" t="s">
        <v>439</v>
      </c>
      <c r="D349" t="s">
        <v>485</v>
      </c>
      <c r="E349">
        <v>199</v>
      </c>
      <c r="G349">
        <v>109</v>
      </c>
      <c r="I349">
        <f t="shared" si="22"/>
        <v>90</v>
      </c>
      <c r="J349">
        <f t="shared" si="21"/>
        <v>0.45226130653266333</v>
      </c>
    </row>
    <row r="350" spans="1:10">
      <c r="B350" t="s">
        <v>267</v>
      </c>
      <c r="C350" t="s">
        <v>37</v>
      </c>
      <c r="D350" t="s">
        <v>486</v>
      </c>
      <c r="E350">
        <f>611-33</f>
        <v>578</v>
      </c>
      <c r="G350">
        <f>(500*3-20)/3</f>
        <v>493.33333333333331</v>
      </c>
      <c r="I350">
        <f t="shared" si="22"/>
        <v>84.666666666666686</v>
      </c>
      <c r="J350">
        <f t="shared" si="21"/>
        <v>0.14648212226066901</v>
      </c>
    </row>
    <row r="351" spans="1:10">
      <c r="B351" t="s">
        <v>267</v>
      </c>
      <c r="C351" t="s">
        <v>37</v>
      </c>
      <c r="D351" t="s">
        <v>487</v>
      </c>
      <c r="E351">
        <v>33</v>
      </c>
      <c r="F351">
        <f>12*0.25</f>
        <v>3</v>
      </c>
      <c r="G351">
        <f>F351*6.8</f>
        <v>20.399999999999999</v>
      </c>
      <c r="I351">
        <f t="shared" si="22"/>
        <v>12.600000000000001</v>
      </c>
      <c r="J351">
        <f t="shared" si="21"/>
        <v>0.38181818181818183</v>
      </c>
    </row>
    <row r="352" spans="1:10">
      <c r="I352">
        <f t="shared" si="22"/>
        <v>0</v>
      </c>
      <c r="J352" t="e">
        <f t="shared" si="21"/>
        <v>#DIV/0!</v>
      </c>
    </row>
    <row r="353" spans="1:10">
      <c r="A353">
        <v>3.18</v>
      </c>
      <c r="B353" t="s">
        <v>483</v>
      </c>
      <c r="C353" t="s">
        <v>37</v>
      </c>
      <c r="D353" t="s">
        <v>488</v>
      </c>
      <c r="E353">
        <v>800</v>
      </c>
      <c r="G353">
        <f>85*6.8</f>
        <v>578</v>
      </c>
      <c r="I353" s="2">
        <f t="shared" si="22"/>
        <v>222</v>
      </c>
      <c r="J353">
        <f t="shared" si="21"/>
        <v>0.27750000000000002</v>
      </c>
    </row>
    <row r="354" spans="1:10">
      <c r="B354" t="s">
        <v>16</v>
      </c>
      <c r="D354" t="s">
        <v>239</v>
      </c>
      <c r="E354">
        <f>90*4</f>
        <v>360</v>
      </c>
      <c r="G354">
        <f>55*4+8</f>
        <v>228</v>
      </c>
      <c r="I354" s="2">
        <f t="shared" si="22"/>
        <v>132</v>
      </c>
      <c r="J354">
        <f t="shared" si="21"/>
        <v>0.36666666666666664</v>
      </c>
    </row>
    <row r="355" spans="1:10">
      <c r="B355" t="s">
        <v>260</v>
      </c>
      <c r="C355" t="s">
        <v>30</v>
      </c>
      <c r="D355" t="s">
        <v>489</v>
      </c>
      <c r="E355">
        <v>145</v>
      </c>
      <c r="F355">
        <v>9</v>
      </c>
      <c r="G355">
        <f>F355*6.8</f>
        <v>61.199999999999996</v>
      </c>
      <c r="I355" s="2">
        <f t="shared" si="22"/>
        <v>83.800000000000011</v>
      </c>
      <c r="J355">
        <f t="shared" si="21"/>
        <v>0.57793103448275873</v>
      </c>
    </row>
    <row r="356" spans="1:10">
      <c r="B356" t="s">
        <v>85</v>
      </c>
      <c r="C356" t="s">
        <v>37</v>
      </c>
      <c r="D356" t="s">
        <v>490</v>
      </c>
      <c r="E356">
        <v>225</v>
      </c>
      <c r="G356">
        <v>170</v>
      </c>
      <c r="I356" s="2">
        <f t="shared" si="22"/>
        <v>55</v>
      </c>
      <c r="J356">
        <f t="shared" si="21"/>
        <v>0.24444444444444444</v>
      </c>
    </row>
    <row r="357" spans="1:10">
      <c r="B357" t="s">
        <v>491</v>
      </c>
      <c r="D357" t="s">
        <v>492</v>
      </c>
      <c r="E357">
        <v>350</v>
      </c>
      <c r="G357">
        <f>89+89</f>
        <v>178</v>
      </c>
      <c r="I357" s="2">
        <f t="shared" si="22"/>
        <v>172</v>
      </c>
      <c r="J357">
        <f t="shared" si="21"/>
        <v>0.49142857142857144</v>
      </c>
    </row>
    <row r="358" spans="1:10">
      <c r="B358" t="s">
        <v>85</v>
      </c>
      <c r="C358" t="s">
        <v>37</v>
      </c>
      <c r="D358" t="s">
        <v>493</v>
      </c>
      <c r="E358">
        <v>880</v>
      </c>
      <c r="G358">
        <v>750</v>
      </c>
      <c r="I358" s="2">
        <f t="shared" si="22"/>
        <v>130</v>
      </c>
      <c r="J358">
        <f t="shared" si="21"/>
        <v>0.14772727272727273</v>
      </c>
    </row>
    <row r="359" spans="1:10">
      <c r="B359" t="s">
        <v>85</v>
      </c>
      <c r="C359" t="s">
        <v>37</v>
      </c>
      <c r="D359" t="s">
        <v>494</v>
      </c>
      <c r="E359">
        <v>820</v>
      </c>
      <c r="G359">
        <v>672</v>
      </c>
      <c r="I359" s="2">
        <f t="shared" si="22"/>
        <v>148</v>
      </c>
      <c r="J359">
        <f t="shared" si="21"/>
        <v>0.18048780487804877</v>
      </c>
    </row>
    <row r="360" spans="1:10">
      <c r="B360" t="s">
        <v>495</v>
      </c>
      <c r="C360" t="s">
        <v>37</v>
      </c>
      <c r="D360" t="s">
        <v>222</v>
      </c>
      <c r="E360">
        <f>128*2</f>
        <v>256</v>
      </c>
      <c r="F360">
        <f>18*0.75</f>
        <v>13.5</v>
      </c>
      <c r="G360">
        <f>F360*6.9*2</f>
        <v>186.3</v>
      </c>
      <c r="I360" s="2">
        <f t="shared" si="22"/>
        <v>69.699999999999989</v>
      </c>
      <c r="J360">
        <f t="shared" si="21"/>
        <v>0.27226562499999996</v>
      </c>
    </row>
    <row r="361" spans="1:10">
      <c r="B361" t="s">
        <v>495</v>
      </c>
      <c r="C361" t="s">
        <v>37</v>
      </c>
      <c r="D361" t="s">
        <v>496</v>
      </c>
      <c r="E361">
        <f>70*2</f>
        <v>140</v>
      </c>
      <c r="G361">
        <f>50*2</f>
        <v>100</v>
      </c>
      <c r="I361" s="2">
        <f t="shared" si="22"/>
        <v>40</v>
      </c>
      <c r="J361">
        <f t="shared" si="21"/>
        <v>0.2857142857142857</v>
      </c>
    </row>
    <row r="362" spans="1:10">
      <c r="J362" t="e">
        <f t="shared" si="21"/>
        <v>#DIV/0!</v>
      </c>
    </row>
    <row r="363" spans="1:10">
      <c r="A363">
        <v>3.19</v>
      </c>
      <c r="B363" t="s">
        <v>245</v>
      </c>
      <c r="C363" t="s">
        <v>30</v>
      </c>
      <c r="D363" t="s">
        <v>473</v>
      </c>
      <c r="E363">
        <f>195*3</f>
        <v>585</v>
      </c>
      <c r="G363">
        <f>155*3</f>
        <v>465</v>
      </c>
      <c r="I363" s="2">
        <f>E363-G363</f>
        <v>120</v>
      </c>
      <c r="J363">
        <f t="shared" si="21"/>
        <v>0.20512820512820512</v>
      </c>
    </row>
    <row r="364" spans="1:10">
      <c r="B364" t="s">
        <v>245</v>
      </c>
      <c r="C364" t="s">
        <v>30</v>
      </c>
      <c r="D364" t="s">
        <v>497</v>
      </c>
      <c r="E364">
        <v>385</v>
      </c>
      <c r="G364">
        <f>1034.88/3</f>
        <v>344.96000000000004</v>
      </c>
      <c r="I364" s="2">
        <f t="shared" ref="I364:I369" si="23">E364-G364</f>
        <v>40.039999999999964</v>
      </c>
      <c r="J364">
        <f t="shared" si="21"/>
        <v>0.10399999999999991</v>
      </c>
    </row>
    <row r="365" spans="1:10">
      <c r="B365" t="s">
        <v>255</v>
      </c>
      <c r="C365" t="s">
        <v>30</v>
      </c>
      <c r="D365" t="s">
        <v>498</v>
      </c>
      <c r="E365">
        <v>345</v>
      </c>
      <c r="G365">
        <v>305</v>
      </c>
      <c r="I365" s="2">
        <f t="shared" si="23"/>
        <v>40</v>
      </c>
      <c r="J365">
        <f t="shared" si="21"/>
        <v>0.11594202898550725</v>
      </c>
    </row>
    <row r="366" spans="1:10">
      <c r="B366" t="s">
        <v>39</v>
      </c>
      <c r="C366" t="s">
        <v>30</v>
      </c>
      <c r="D366" t="s">
        <v>57</v>
      </c>
      <c r="E366">
        <v>245</v>
      </c>
      <c r="I366" s="2">
        <v>42</v>
      </c>
      <c r="J366">
        <f t="shared" si="21"/>
        <v>0.17142857142857143</v>
      </c>
    </row>
    <row r="367" spans="1:10">
      <c r="B367" t="s">
        <v>39</v>
      </c>
      <c r="C367" t="s">
        <v>30</v>
      </c>
      <c r="D367" t="s">
        <v>44</v>
      </c>
      <c r="E367">
        <f>325*2</f>
        <v>650</v>
      </c>
      <c r="G367">
        <f>50*0.8*6.7*2</f>
        <v>536</v>
      </c>
      <c r="I367" s="2">
        <f t="shared" si="23"/>
        <v>114</v>
      </c>
      <c r="J367">
        <f t="shared" si="21"/>
        <v>0.17538461538461539</v>
      </c>
    </row>
    <row r="368" spans="1:10">
      <c r="B368" t="s">
        <v>245</v>
      </c>
      <c r="C368" t="s">
        <v>30</v>
      </c>
      <c r="D368" t="s">
        <v>499</v>
      </c>
      <c r="E368">
        <f>355+355+10</f>
        <v>720</v>
      </c>
      <c r="G368">
        <f>320+320+8</f>
        <v>648</v>
      </c>
      <c r="I368" s="2">
        <f t="shared" si="23"/>
        <v>72</v>
      </c>
      <c r="J368">
        <f t="shared" si="21"/>
        <v>0.1</v>
      </c>
    </row>
    <row r="369" spans="1:11">
      <c r="B369" t="s">
        <v>142</v>
      </c>
      <c r="D369" t="s">
        <v>168</v>
      </c>
      <c r="E369">
        <f>279+279</f>
        <v>558</v>
      </c>
      <c r="G369">
        <f>155+155</f>
        <v>310</v>
      </c>
      <c r="I369" s="2">
        <f t="shared" si="23"/>
        <v>248</v>
      </c>
      <c r="J369">
        <f t="shared" si="21"/>
        <v>0.44444444444444442</v>
      </c>
    </row>
    <row r="370" spans="1:11">
      <c r="B370" t="s">
        <v>474</v>
      </c>
      <c r="C370" t="s">
        <v>37</v>
      </c>
      <c r="D370" t="s">
        <v>500</v>
      </c>
      <c r="E370">
        <v>490</v>
      </c>
      <c r="G370">
        <v>450</v>
      </c>
      <c r="I370" s="2">
        <f>E370-G370</f>
        <v>40</v>
      </c>
      <c r="J370">
        <f t="shared" si="21"/>
        <v>8.1632653061224483E-2</v>
      </c>
    </row>
    <row r="371" spans="1:11">
      <c r="B371" t="s">
        <v>245</v>
      </c>
      <c r="C371" t="s">
        <v>30</v>
      </c>
      <c r="D371" t="s">
        <v>501</v>
      </c>
      <c r="E371">
        <f>252</f>
        <v>252</v>
      </c>
      <c r="G371">
        <f>215+8</f>
        <v>223</v>
      </c>
      <c r="I371" s="2">
        <v>0</v>
      </c>
      <c r="J371">
        <f t="shared" si="21"/>
        <v>0</v>
      </c>
      <c r="K371" t="s">
        <v>502</v>
      </c>
    </row>
    <row r="372" spans="1:11">
      <c r="B372" t="s">
        <v>245</v>
      </c>
      <c r="C372" t="s">
        <v>30</v>
      </c>
      <c r="D372" t="s">
        <v>503</v>
      </c>
      <c r="E372">
        <v>195</v>
      </c>
      <c r="G372">
        <f>175</f>
        <v>175</v>
      </c>
      <c r="I372" s="2">
        <f>E372-G372</f>
        <v>20</v>
      </c>
      <c r="J372">
        <f t="shared" si="21"/>
        <v>0.10256410256410256</v>
      </c>
    </row>
    <row r="373" spans="1:11">
      <c r="B373" t="s">
        <v>267</v>
      </c>
      <c r="C373" t="s">
        <v>37</v>
      </c>
      <c r="D373" t="s">
        <v>504</v>
      </c>
      <c r="E373">
        <v>320</v>
      </c>
      <c r="G373">
        <v>275</v>
      </c>
      <c r="I373" s="2">
        <f>E373-G373</f>
        <v>45</v>
      </c>
      <c r="J373">
        <f t="shared" si="21"/>
        <v>0.140625</v>
      </c>
    </row>
    <row r="374" spans="1:11">
      <c r="B374" t="s">
        <v>505</v>
      </c>
      <c r="D374" t="s">
        <v>506</v>
      </c>
      <c r="E374">
        <v>399</v>
      </c>
      <c r="G374">
        <v>295</v>
      </c>
      <c r="I374" s="2">
        <f>E374-G374</f>
        <v>104</v>
      </c>
      <c r="J374">
        <f t="shared" si="21"/>
        <v>0.26065162907268169</v>
      </c>
    </row>
    <row r="375" spans="1:11">
      <c r="B375" t="s">
        <v>245</v>
      </c>
      <c r="D375" t="s">
        <v>507</v>
      </c>
      <c r="E375">
        <v>168</v>
      </c>
      <c r="G375">
        <v>148</v>
      </c>
      <c r="I375" s="2">
        <f t="shared" ref="I375:I380" si="24">E375-G375</f>
        <v>20</v>
      </c>
      <c r="J375">
        <f t="shared" si="21"/>
        <v>0.11904761904761904</v>
      </c>
    </row>
    <row r="376" spans="1:11">
      <c r="A376" t="s">
        <v>508</v>
      </c>
      <c r="D376" t="s">
        <v>509</v>
      </c>
      <c r="E376">
        <v>830</v>
      </c>
      <c r="F376">
        <v>90</v>
      </c>
      <c r="G376">
        <f>F376*6.8</f>
        <v>612</v>
      </c>
      <c r="I376" s="2">
        <f t="shared" si="24"/>
        <v>218</v>
      </c>
      <c r="J376">
        <f t="shared" si="21"/>
        <v>0.26265060240963856</v>
      </c>
    </row>
    <row r="377" spans="1:11">
      <c r="D377" t="s">
        <v>510</v>
      </c>
      <c r="E377">
        <v>165</v>
      </c>
      <c r="G377">
        <v>130</v>
      </c>
      <c r="I377" s="2">
        <f t="shared" si="24"/>
        <v>35</v>
      </c>
      <c r="J377">
        <f t="shared" si="21"/>
        <v>0.21212121212121213</v>
      </c>
    </row>
    <row r="378" spans="1:11">
      <c r="B378" t="s">
        <v>267</v>
      </c>
      <c r="C378" t="s">
        <v>37</v>
      </c>
      <c r="D378" t="s">
        <v>511</v>
      </c>
      <c r="E378">
        <f>65*4</f>
        <v>260</v>
      </c>
      <c r="G378">
        <f>55*4</f>
        <v>220</v>
      </c>
      <c r="I378" s="2">
        <f t="shared" si="24"/>
        <v>40</v>
      </c>
      <c r="J378">
        <f t="shared" si="21"/>
        <v>0.15384615384615385</v>
      </c>
    </row>
    <row r="379" spans="1:11">
      <c r="A379">
        <v>3.21</v>
      </c>
      <c r="B379" t="s">
        <v>505</v>
      </c>
      <c r="D379" t="s">
        <v>512</v>
      </c>
      <c r="E379">
        <v>368</v>
      </c>
      <c r="G379">
        <f>G127*2+10</f>
        <v>171.75670000000002</v>
      </c>
      <c r="I379" s="2">
        <f t="shared" si="24"/>
        <v>196.24329999999998</v>
      </c>
      <c r="J379">
        <f t="shared" si="21"/>
        <v>0.53326983695652164</v>
      </c>
    </row>
    <row r="380" spans="1:11">
      <c r="B380" t="s">
        <v>513</v>
      </c>
      <c r="D380" t="s">
        <v>514</v>
      </c>
      <c r="E380">
        <v>299</v>
      </c>
      <c r="G380">
        <f>24*6.9</f>
        <v>165.60000000000002</v>
      </c>
      <c r="I380" s="2">
        <f t="shared" si="24"/>
        <v>133.39999999999998</v>
      </c>
      <c r="J380">
        <f t="shared" si="21"/>
        <v>0.44615384615384607</v>
      </c>
    </row>
    <row r="381" spans="1:11">
      <c r="D381" t="s">
        <v>515</v>
      </c>
      <c r="I381">
        <f>-1000</f>
        <v>-1000</v>
      </c>
      <c r="J381" t="e">
        <f t="shared" si="21"/>
        <v>#DIV/0!</v>
      </c>
    </row>
    <row r="382" spans="1:11">
      <c r="A382">
        <v>3.22</v>
      </c>
      <c r="B382" t="s">
        <v>516</v>
      </c>
      <c r="D382" t="s">
        <v>517</v>
      </c>
      <c r="E382">
        <v>450</v>
      </c>
      <c r="G382">
        <v>293</v>
      </c>
      <c r="I382" s="2">
        <f>E382-G382</f>
        <v>157</v>
      </c>
      <c r="J382">
        <f t="shared" si="21"/>
        <v>0.34888888888888892</v>
      </c>
    </row>
    <row r="383" spans="1:11">
      <c r="B383" t="s">
        <v>518</v>
      </c>
      <c r="D383" t="s">
        <v>43</v>
      </c>
      <c r="E383">
        <v>249</v>
      </c>
      <c r="G383">
        <v>189</v>
      </c>
      <c r="I383" s="2">
        <f>E383-G383</f>
        <v>60</v>
      </c>
      <c r="J383">
        <f t="shared" si="21"/>
        <v>0.24096385542168675</v>
      </c>
    </row>
    <row r="384" spans="1:11">
      <c r="B384" t="s">
        <v>267</v>
      </c>
      <c r="C384" t="s">
        <v>37</v>
      </c>
      <c r="D384" t="s">
        <v>519</v>
      </c>
      <c r="E384">
        <v>375</v>
      </c>
      <c r="G384">
        <v>320</v>
      </c>
      <c r="I384" s="2">
        <f>E384-G384</f>
        <v>55</v>
      </c>
      <c r="J384">
        <f t="shared" si="21"/>
        <v>0.14666666666666667</v>
      </c>
    </row>
    <row r="385" spans="1:11">
      <c r="B385" t="s">
        <v>520</v>
      </c>
      <c r="C385" t="s">
        <v>30</v>
      </c>
      <c r="D385" t="s">
        <v>521</v>
      </c>
      <c r="E385">
        <v>288</v>
      </c>
      <c r="G385">
        <v>255</v>
      </c>
      <c r="I385" s="2">
        <f>E385-G385</f>
        <v>33</v>
      </c>
      <c r="J385">
        <f t="shared" si="21"/>
        <v>0.11458333333333333</v>
      </c>
      <c r="K385">
        <f>SUM(I382:I387)</f>
        <v>388</v>
      </c>
    </row>
    <row r="386" spans="1:11">
      <c r="B386" t="s">
        <v>39</v>
      </c>
      <c r="C386" t="s">
        <v>30</v>
      </c>
      <c r="D386" t="s">
        <v>221</v>
      </c>
      <c r="E386">
        <v>220</v>
      </c>
      <c r="G386">
        <f>175+8</f>
        <v>183</v>
      </c>
      <c r="I386" s="2">
        <f t="shared" ref="I386:I396" si="25">E386-G386</f>
        <v>37</v>
      </c>
      <c r="J386">
        <f t="shared" si="21"/>
        <v>0.16818181818181818</v>
      </c>
    </row>
    <row r="387" spans="1:11">
      <c r="B387" t="s">
        <v>85</v>
      </c>
      <c r="D387" t="s">
        <v>522</v>
      </c>
      <c r="E387">
        <f>243+6</f>
        <v>249</v>
      </c>
      <c r="G387">
        <f>195+8</f>
        <v>203</v>
      </c>
      <c r="I387" s="2">
        <f t="shared" si="25"/>
        <v>46</v>
      </c>
      <c r="J387">
        <f t="shared" si="21"/>
        <v>0.18473895582329317</v>
      </c>
    </row>
    <row r="388" spans="1:11">
      <c r="B388" t="s">
        <v>267</v>
      </c>
      <c r="D388" t="s">
        <v>523</v>
      </c>
      <c r="E388">
        <f>65*2</f>
        <v>130</v>
      </c>
      <c r="G388">
        <f>55*2</f>
        <v>110</v>
      </c>
      <c r="I388" s="2">
        <f t="shared" si="25"/>
        <v>20</v>
      </c>
      <c r="J388">
        <f t="shared" si="21"/>
        <v>0.15384615384615385</v>
      </c>
    </row>
    <row r="389" spans="1:11">
      <c r="A389">
        <v>3.23</v>
      </c>
      <c r="B389" t="s">
        <v>524</v>
      </c>
      <c r="D389" t="s">
        <v>525</v>
      </c>
      <c r="E389">
        <f>199*3</f>
        <v>597</v>
      </c>
      <c r="G389">
        <f>118*3</f>
        <v>354</v>
      </c>
      <c r="I389" s="2">
        <f t="shared" si="25"/>
        <v>243</v>
      </c>
      <c r="J389">
        <f t="shared" si="21"/>
        <v>0.40703517587939697</v>
      </c>
    </row>
    <row r="390" spans="1:11">
      <c r="C390" t="s">
        <v>15</v>
      </c>
      <c r="D390" t="s">
        <v>525</v>
      </c>
      <c r="E390">
        <f>150*1+199</f>
        <v>349</v>
      </c>
      <c r="G390">
        <f>118*2</f>
        <v>236</v>
      </c>
      <c r="I390" s="2">
        <f t="shared" si="25"/>
        <v>113</v>
      </c>
      <c r="J390">
        <f t="shared" si="21"/>
        <v>0.32378223495702008</v>
      </c>
    </row>
    <row r="391" spans="1:11">
      <c r="D391" t="s">
        <v>526</v>
      </c>
      <c r="E391">
        <v>399</v>
      </c>
      <c r="G391">
        <v>300</v>
      </c>
      <c r="I391" s="2">
        <f t="shared" si="25"/>
        <v>99</v>
      </c>
      <c r="J391">
        <f t="shared" si="21"/>
        <v>0.24812030075187969</v>
      </c>
    </row>
    <row r="392" spans="1:11">
      <c r="D392" t="s">
        <v>368</v>
      </c>
      <c r="E392">
        <v>950</v>
      </c>
      <c r="G392">
        <v>800</v>
      </c>
      <c r="I392" s="2">
        <f t="shared" si="25"/>
        <v>150</v>
      </c>
      <c r="J392">
        <f t="shared" si="21"/>
        <v>0.15789473684210525</v>
      </c>
    </row>
    <row r="393" spans="1:11">
      <c r="D393" t="s">
        <v>527</v>
      </c>
      <c r="E393">
        <v>580</v>
      </c>
      <c r="G393">
        <v>10</v>
      </c>
      <c r="I393" s="2">
        <f t="shared" si="25"/>
        <v>570</v>
      </c>
      <c r="J393">
        <f t="shared" si="21"/>
        <v>0.98275862068965514</v>
      </c>
    </row>
    <row r="394" spans="1:11">
      <c r="D394" t="s">
        <v>528</v>
      </c>
      <c r="E394">
        <v>1480</v>
      </c>
      <c r="G394">
        <v>1280</v>
      </c>
      <c r="I394" s="2">
        <f t="shared" si="25"/>
        <v>200</v>
      </c>
      <c r="J394">
        <f t="shared" si="21"/>
        <v>0.13513513513513514</v>
      </c>
    </row>
    <row r="395" spans="1:11">
      <c r="D395" t="s">
        <v>529</v>
      </c>
      <c r="E395">
        <f>102*2</f>
        <v>204</v>
      </c>
      <c r="G395">
        <v>0</v>
      </c>
      <c r="I395" s="2">
        <f t="shared" si="25"/>
        <v>204</v>
      </c>
      <c r="J395">
        <f t="shared" ref="J395:J458" si="26">I395/E395</f>
        <v>1</v>
      </c>
    </row>
    <row r="396" spans="1:11">
      <c r="D396" t="s">
        <v>530</v>
      </c>
      <c r="E396">
        <v>102</v>
      </c>
      <c r="G396">
        <v>90</v>
      </c>
      <c r="I396" s="2">
        <f t="shared" si="25"/>
        <v>12</v>
      </c>
      <c r="J396">
        <f t="shared" si="26"/>
        <v>0.11764705882352941</v>
      </c>
    </row>
    <row r="397" spans="1:11">
      <c r="J397" t="e">
        <f t="shared" si="26"/>
        <v>#DIV/0!</v>
      </c>
    </row>
    <row r="398" spans="1:11">
      <c r="A398">
        <v>3.24</v>
      </c>
      <c r="B398" t="s">
        <v>531</v>
      </c>
      <c r="D398" t="s">
        <v>532</v>
      </c>
      <c r="E398">
        <v>500</v>
      </c>
      <c r="G398">
        <v>380</v>
      </c>
      <c r="I398" s="2">
        <f>E398-G398</f>
        <v>120</v>
      </c>
      <c r="J398">
        <f t="shared" si="26"/>
        <v>0.24</v>
      </c>
    </row>
    <row r="399" spans="1:11">
      <c r="B399" t="s">
        <v>531</v>
      </c>
      <c r="D399" t="s">
        <v>533</v>
      </c>
      <c r="E399">
        <v>300</v>
      </c>
      <c r="G399">
        <v>260</v>
      </c>
      <c r="I399" s="2">
        <f>E399-G399</f>
        <v>40</v>
      </c>
      <c r="J399">
        <f t="shared" si="26"/>
        <v>0.13333333333333333</v>
      </c>
    </row>
    <row r="400" spans="1:11">
      <c r="B400" t="s">
        <v>513</v>
      </c>
      <c r="D400" t="s">
        <v>534</v>
      </c>
      <c r="E400">
        <f>275-8</f>
        <v>267</v>
      </c>
      <c r="G400">
        <f>215+8</f>
        <v>223</v>
      </c>
      <c r="I400" s="2">
        <f>E400-G400</f>
        <v>44</v>
      </c>
      <c r="J400">
        <f t="shared" si="26"/>
        <v>0.16479400749063669</v>
      </c>
    </row>
    <row r="401" spans="1:11">
      <c r="B401" t="s">
        <v>39</v>
      </c>
      <c r="D401" t="s">
        <v>181</v>
      </c>
      <c r="E401">
        <v>295</v>
      </c>
      <c r="F401">
        <v>48</v>
      </c>
      <c r="G401">
        <f>F401*0.8*6.72</f>
        <v>258.048</v>
      </c>
      <c r="I401" s="2">
        <f t="shared" ref="I401:I410" si="27">E401-G401</f>
        <v>36.951999999999998</v>
      </c>
      <c r="J401">
        <f t="shared" si="26"/>
        <v>0.12526101694915254</v>
      </c>
    </row>
    <row r="402" spans="1:11">
      <c r="B402" t="s">
        <v>267</v>
      </c>
      <c r="C402" t="s">
        <v>37</v>
      </c>
      <c r="D402" t="s">
        <v>535</v>
      </c>
      <c r="E402">
        <v>310</v>
      </c>
      <c r="G402">
        <v>215</v>
      </c>
      <c r="I402" s="2">
        <f t="shared" si="27"/>
        <v>95</v>
      </c>
      <c r="J402">
        <f t="shared" si="26"/>
        <v>0.30645161290322581</v>
      </c>
    </row>
    <row r="403" spans="1:11">
      <c r="B403" t="s">
        <v>505</v>
      </c>
      <c r="D403" t="s">
        <v>536</v>
      </c>
      <c r="E403">
        <v>399</v>
      </c>
      <c r="I403" s="2">
        <f t="shared" si="27"/>
        <v>399</v>
      </c>
      <c r="J403">
        <f t="shared" si="26"/>
        <v>1</v>
      </c>
    </row>
    <row r="404" spans="1:11">
      <c r="B404" t="s">
        <v>537</v>
      </c>
      <c r="C404" t="s">
        <v>37</v>
      </c>
      <c r="D404" t="s">
        <v>538</v>
      </c>
      <c r="E404">
        <f>94*2</f>
        <v>188</v>
      </c>
      <c r="F404">
        <f>4.5*2</f>
        <v>9</v>
      </c>
      <c r="G404">
        <f>F404*6.72</f>
        <v>60.48</v>
      </c>
      <c r="I404" s="2">
        <f t="shared" si="27"/>
        <v>127.52000000000001</v>
      </c>
      <c r="J404">
        <f t="shared" si="26"/>
        <v>0.6782978723404256</v>
      </c>
    </row>
    <row r="405" spans="1:11">
      <c r="B405" t="s">
        <v>160</v>
      </c>
      <c r="D405" t="s">
        <v>539</v>
      </c>
      <c r="E405">
        <v>149</v>
      </c>
      <c r="G405">
        <v>95</v>
      </c>
      <c r="I405" s="2">
        <f t="shared" si="27"/>
        <v>54</v>
      </c>
      <c r="J405">
        <f t="shared" si="26"/>
        <v>0.36241610738255031</v>
      </c>
      <c r="K405">
        <f>SUM(I398:I410)</f>
        <v>1304.472</v>
      </c>
    </row>
    <row r="406" spans="1:11">
      <c r="B406" t="s">
        <v>255</v>
      </c>
      <c r="C406" t="s">
        <v>30</v>
      </c>
      <c r="D406" t="s">
        <v>521</v>
      </c>
      <c r="E406">
        <f>288*4</f>
        <v>1152</v>
      </c>
      <c r="G406">
        <f>255*4</f>
        <v>1020</v>
      </c>
      <c r="I406" s="2">
        <f t="shared" si="27"/>
        <v>132</v>
      </c>
      <c r="J406">
        <f t="shared" si="26"/>
        <v>0.11458333333333333</v>
      </c>
    </row>
    <row r="407" spans="1:11">
      <c r="C407" t="s">
        <v>30</v>
      </c>
      <c r="D407" t="s">
        <v>540</v>
      </c>
      <c r="E407">
        <f>265+10</f>
        <v>275</v>
      </c>
      <c r="G407">
        <f>225+10</f>
        <v>235</v>
      </c>
      <c r="I407" s="2">
        <f t="shared" si="27"/>
        <v>40</v>
      </c>
      <c r="J407">
        <f t="shared" si="26"/>
        <v>0.14545454545454545</v>
      </c>
    </row>
    <row r="408" spans="1:11">
      <c r="B408" t="s">
        <v>541</v>
      </c>
      <c r="D408" t="s">
        <v>542</v>
      </c>
      <c r="E408">
        <v>570</v>
      </c>
      <c r="G408">
        <v>470</v>
      </c>
      <c r="I408" s="2">
        <f t="shared" si="27"/>
        <v>100</v>
      </c>
      <c r="J408">
        <f t="shared" si="26"/>
        <v>0.17543859649122806</v>
      </c>
    </row>
    <row r="409" spans="1:11">
      <c r="C409" t="s">
        <v>37</v>
      </c>
      <c r="D409" t="s">
        <v>543</v>
      </c>
      <c r="E409">
        <v>208</v>
      </c>
      <c r="G409">
        <v>160</v>
      </c>
      <c r="I409" s="2">
        <f t="shared" si="27"/>
        <v>48</v>
      </c>
      <c r="J409">
        <f t="shared" si="26"/>
        <v>0.23076923076923078</v>
      </c>
    </row>
    <row r="410" spans="1:11">
      <c r="B410" t="s">
        <v>544</v>
      </c>
      <c r="D410" t="s">
        <v>307</v>
      </c>
      <c r="E410">
        <v>160</v>
      </c>
      <c r="G410">
        <v>92</v>
      </c>
      <c r="I410" s="2">
        <f t="shared" si="27"/>
        <v>68</v>
      </c>
      <c r="J410">
        <f t="shared" si="26"/>
        <v>0.42499999999999999</v>
      </c>
    </row>
    <row r="411" spans="1:11">
      <c r="J411" t="e">
        <f t="shared" si="26"/>
        <v>#DIV/0!</v>
      </c>
    </row>
    <row r="412" spans="1:11">
      <c r="A412">
        <v>3.25</v>
      </c>
      <c r="B412" t="s">
        <v>531</v>
      </c>
      <c r="D412" t="s">
        <v>507</v>
      </c>
      <c r="E412">
        <v>309</v>
      </c>
      <c r="G412">
        <v>175</v>
      </c>
      <c r="I412" s="2">
        <f t="shared" ref="I412:I417" si="28">E412-G412</f>
        <v>134</v>
      </c>
      <c r="J412">
        <f t="shared" si="26"/>
        <v>0.4336569579288026</v>
      </c>
    </row>
    <row r="413" spans="1:11">
      <c r="B413" t="s">
        <v>39</v>
      </c>
      <c r="C413" t="s">
        <v>30</v>
      </c>
      <c r="D413" t="s">
        <v>507</v>
      </c>
      <c r="E413">
        <v>245</v>
      </c>
      <c r="G413">
        <v>175</v>
      </c>
      <c r="I413" s="2">
        <f t="shared" si="28"/>
        <v>70</v>
      </c>
      <c r="J413">
        <f t="shared" si="26"/>
        <v>0.2857142857142857</v>
      </c>
      <c r="K413" t="e">
        <f>SUM(I412:J4134)</f>
        <v>#DIV/0!</v>
      </c>
    </row>
    <row r="414" spans="1:11">
      <c r="B414" t="s">
        <v>245</v>
      </c>
      <c r="C414" t="s">
        <v>30</v>
      </c>
      <c r="D414" t="s">
        <v>433</v>
      </c>
      <c r="E414">
        <v>650</v>
      </c>
      <c r="G414">
        <v>615</v>
      </c>
      <c r="I414" s="2">
        <f t="shared" si="28"/>
        <v>35</v>
      </c>
      <c r="J414">
        <f t="shared" si="26"/>
        <v>5.3846153846153849E-2</v>
      </c>
    </row>
    <row r="415" spans="1:11">
      <c r="B415" t="s">
        <v>39</v>
      </c>
      <c r="C415" t="s">
        <v>30</v>
      </c>
      <c r="D415" t="s">
        <v>105</v>
      </c>
      <c r="E415">
        <v>830</v>
      </c>
      <c r="G415">
        <v>745</v>
      </c>
      <c r="I415" s="2">
        <f t="shared" si="28"/>
        <v>85</v>
      </c>
      <c r="J415">
        <f t="shared" si="26"/>
        <v>0.10240963855421686</v>
      </c>
    </row>
    <row r="416" spans="1:11">
      <c r="B416" t="s">
        <v>545</v>
      </c>
      <c r="D416" t="s">
        <v>546</v>
      </c>
      <c r="E416">
        <v>200</v>
      </c>
      <c r="G416">
        <v>0</v>
      </c>
      <c r="I416" s="2">
        <f t="shared" si="28"/>
        <v>200</v>
      </c>
      <c r="J416">
        <f t="shared" si="26"/>
        <v>1</v>
      </c>
    </row>
    <row r="417" spans="1:10">
      <c r="B417" t="s">
        <v>466</v>
      </c>
      <c r="C417" t="s">
        <v>37</v>
      </c>
      <c r="D417" t="s">
        <v>547</v>
      </c>
      <c r="E417">
        <v>355</v>
      </c>
      <c r="G417">
        <v>310.5</v>
      </c>
      <c r="I417" s="2">
        <f t="shared" si="28"/>
        <v>44.5</v>
      </c>
      <c r="J417">
        <f t="shared" si="26"/>
        <v>0.12535211267605634</v>
      </c>
    </row>
    <row r="418" spans="1:10">
      <c r="J418" t="e">
        <f t="shared" si="26"/>
        <v>#DIV/0!</v>
      </c>
    </row>
    <row r="419" spans="1:10">
      <c r="A419" s="9">
        <v>43550</v>
      </c>
      <c r="B419" t="s">
        <v>336</v>
      </c>
      <c r="C419" t="s">
        <v>37</v>
      </c>
      <c r="D419" t="s">
        <v>548</v>
      </c>
      <c r="E419">
        <v>518</v>
      </c>
      <c r="G419">
        <f>155*2</f>
        <v>310</v>
      </c>
      <c r="J419">
        <f t="shared" si="26"/>
        <v>0</v>
      </c>
    </row>
    <row r="420" spans="1:10">
      <c r="B420" t="s">
        <v>15</v>
      </c>
      <c r="D420" t="s">
        <v>549</v>
      </c>
      <c r="E420">
        <f>185*2</f>
        <v>370</v>
      </c>
      <c r="F420">
        <v>12</v>
      </c>
      <c r="G420">
        <f>F420*6.72</f>
        <v>80.64</v>
      </c>
      <c r="H420">
        <v>7</v>
      </c>
      <c r="I420">
        <f>E420-G420+H420</f>
        <v>296.36</v>
      </c>
      <c r="J420">
        <f t="shared" si="26"/>
        <v>0.80097297297297299</v>
      </c>
    </row>
    <row r="421" spans="1:10">
      <c r="B421" t="s">
        <v>15</v>
      </c>
      <c r="D421" t="s">
        <v>550</v>
      </c>
      <c r="E421">
        <v>210</v>
      </c>
      <c r="J421">
        <f t="shared" si="26"/>
        <v>0</v>
      </c>
    </row>
    <row r="422" spans="1:10">
      <c r="B422" t="s">
        <v>551</v>
      </c>
      <c r="D422" t="s">
        <v>507</v>
      </c>
      <c r="E422">
        <v>299</v>
      </c>
      <c r="G422">
        <v>175</v>
      </c>
      <c r="I422" s="2">
        <f t="shared" ref="I422:I429" si="29">E422-G422</f>
        <v>124</v>
      </c>
      <c r="J422">
        <f t="shared" si="26"/>
        <v>0.41471571906354515</v>
      </c>
    </row>
    <row r="423" spans="1:10">
      <c r="I423" s="2"/>
    </row>
    <row r="424" spans="1:10">
      <c r="C424" t="s">
        <v>37</v>
      </c>
      <c r="D424" t="s">
        <v>552</v>
      </c>
      <c r="E424">
        <v>115</v>
      </c>
      <c r="G424">
        <v>92</v>
      </c>
      <c r="I424" s="2">
        <f t="shared" si="29"/>
        <v>23</v>
      </c>
      <c r="J424">
        <f t="shared" si="26"/>
        <v>0.2</v>
      </c>
    </row>
    <row r="425" spans="1:10">
      <c r="C425" t="s">
        <v>37</v>
      </c>
      <c r="D425" t="s">
        <v>553</v>
      </c>
      <c r="E425">
        <v>135</v>
      </c>
      <c r="G425">
        <v>92</v>
      </c>
      <c r="I425" s="2">
        <f t="shared" si="29"/>
        <v>43</v>
      </c>
      <c r="J425">
        <f t="shared" si="26"/>
        <v>0.31851851851851853</v>
      </c>
    </row>
    <row r="426" spans="1:10">
      <c r="B426" t="s">
        <v>554</v>
      </c>
      <c r="C426" t="s">
        <v>37</v>
      </c>
      <c r="D426" t="s">
        <v>555</v>
      </c>
      <c r="E426">
        <v>390</v>
      </c>
      <c r="F426">
        <v>62</v>
      </c>
      <c r="G426">
        <f>F426*0.75*6.72</f>
        <v>312.47999999999996</v>
      </c>
      <c r="I426" s="2">
        <f t="shared" si="29"/>
        <v>77.520000000000039</v>
      </c>
      <c r="J426">
        <f t="shared" si="26"/>
        <v>0.19876923076923086</v>
      </c>
    </row>
    <row r="427" spans="1:10">
      <c r="B427" t="s">
        <v>556</v>
      </c>
      <c r="C427" t="s">
        <v>30</v>
      </c>
      <c r="D427" t="s">
        <v>239</v>
      </c>
      <c r="E427">
        <f>600+15</f>
        <v>615</v>
      </c>
      <c r="G427">
        <f>560+10</f>
        <v>570</v>
      </c>
      <c r="I427" s="2">
        <f t="shared" si="29"/>
        <v>45</v>
      </c>
      <c r="J427">
        <f t="shared" si="26"/>
        <v>7.3170731707317069E-2</v>
      </c>
    </row>
    <row r="428" spans="1:10">
      <c r="D428" t="s">
        <v>557</v>
      </c>
      <c r="E428">
        <v>360</v>
      </c>
      <c r="F428">
        <v>58</v>
      </c>
      <c r="G428">
        <f>F428*0.78*6.85</f>
        <v>309.89400000000001</v>
      </c>
      <c r="I428" s="2">
        <f t="shared" si="29"/>
        <v>50.105999999999995</v>
      </c>
      <c r="J428">
        <f t="shared" si="26"/>
        <v>0.13918333333333333</v>
      </c>
    </row>
    <row r="429" spans="1:10">
      <c r="B429" t="s">
        <v>15</v>
      </c>
      <c r="D429" t="s">
        <v>239</v>
      </c>
      <c r="E429">
        <v>90</v>
      </c>
      <c r="G429">
        <v>55</v>
      </c>
      <c r="I429" s="2">
        <f t="shared" si="29"/>
        <v>35</v>
      </c>
      <c r="J429">
        <f t="shared" si="26"/>
        <v>0.3888888888888889</v>
      </c>
    </row>
    <row r="430" spans="1:10">
      <c r="J430" t="e">
        <f t="shared" si="26"/>
        <v>#DIV/0!</v>
      </c>
    </row>
    <row r="431" spans="1:10">
      <c r="A431" s="9">
        <v>43551</v>
      </c>
      <c r="B431" t="s">
        <v>39</v>
      </c>
      <c r="C431" t="s">
        <v>30</v>
      </c>
      <c r="D431" t="s">
        <v>558</v>
      </c>
      <c r="E431">
        <v>245</v>
      </c>
      <c r="G431">
        <v>175</v>
      </c>
      <c r="I431" s="2">
        <f t="shared" ref="I431:I446" si="30">E431-G431</f>
        <v>70</v>
      </c>
      <c r="J431">
        <f t="shared" si="26"/>
        <v>0.2857142857142857</v>
      </c>
    </row>
    <row r="432" spans="1:10">
      <c r="D432" t="s">
        <v>559</v>
      </c>
      <c r="E432">
        <v>278</v>
      </c>
      <c r="G432">
        <v>210</v>
      </c>
      <c r="I432" s="2">
        <f t="shared" si="30"/>
        <v>68</v>
      </c>
      <c r="J432">
        <f t="shared" si="26"/>
        <v>0.2446043165467626</v>
      </c>
    </row>
    <row r="433" spans="1:10">
      <c r="D433" t="s">
        <v>560</v>
      </c>
      <c r="E433">
        <v>240</v>
      </c>
      <c r="F433">
        <f>9.99*2</f>
        <v>19.98</v>
      </c>
      <c r="G433">
        <f>F433*6.72</f>
        <v>134.26560000000001</v>
      </c>
      <c r="H433">
        <f>F433*(0.05+0.08)*6.72</f>
        <v>17.454528</v>
      </c>
      <c r="I433" s="2">
        <f>E433-G433+H433</f>
        <v>123.18892799999999</v>
      </c>
      <c r="J433">
        <f t="shared" si="26"/>
        <v>0.51328719999999994</v>
      </c>
    </row>
    <row r="434" spans="1:10">
      <c r="B434" t="s">
        <v>85</v>
      </c>
      <c r="C434" t="s">
        <v>37</v>
      </c>
      <c r="D434" t="s">
        <v>498</v>
      </c>
      <c r="E434">
        <f>350*2</f>
        <v>700</v>
      </c>
      <c r="F434">
        <f>50*0.75*2</f>
        <v>75</v>
      </c>
      <c r="G434">
        <f>F434*6.73</f>
        <v>504.75000000000006</v>
      </c>
      <c r="I434" s="2">
        <f t="shared" si="30"/>
        <v>195.24999999999994</v>
      </c>
      <c r="J434">
        <f t="shared" si="26"/>
        <v>0.27892857142857136</v>
      </c>
    </row>
    <row r="435" spans="1:10">
      <c r="D435" t="s">
        <v>561</v>
      </c>
      <c r="E435">
        <v>370</v>
      </c>
      <c r="G435">
        <v>340</v>
      </c>
      <c r="I435" s="2">
        <f t="shared" si="30"/>
        <v>30</v>
      </c>
      <c r="J435">
        <f t="shared" si="26"/>
        <v>8.1081081081081086E-2</v>
      </c>
    </row>
    <row r="436" spans="1:10">
      <c r="I436" s="2">
        <f t="shared" si="30"/>
        <v>0</v>
      </c>
      <c r="J436" t="e">
        <f t="shared" si="26"/>
        <v>#DIV/0!</v>
      </c>
    </row>
    <row r="437" spans="1:10">
      <c r="A437" s="9">
        <v>43552</v>
      </c>
      <c r="D437" t="s">
        <v>562</v>
      </c>
      <c r="E437">
        <v>375</v>
      </c>
      <c r="G437">
        <f>87*3+8</f>
        <v>269</v>
      </c>
      <c r="I437" s="2">
        <f>E437-G437</f>
        <v>106</v>
      </c>
      <c r="J437">
        <f t="shared" si="26"/>
        <v>0.28266666666666668</v>
      </c>
    </row>
    <row r="438" spans="1:10">
      <c r="D438" t="s">
        <v>421</v>
      </c>
      <c r="E438">
        <v>0</v>
      </c>
      <c r="F438">
        <f>300</f>
        <v>300</v>
      </c>
      <c r="G438">
        <f>F438*6.72</f>
        <v>2016</v>
      </c>
      <c r="I438" s="2">
        <f t="shared" si="30"/>
        <v>-2016</v>
      </c>
      <c r="J438" t="e">
        <f t="shared" si="26"/>
        <v>#DIV/0!</v>
      </c>
    </row>
    <row r="439" spans="1:10">
      <c r="B439" t="s">
        <v>85</v>
      </c>
      <c r="C439" t="s">
        <v>37</v>
      </c>
      <c r="D439" t="s">
        <v>563</v>
      </c>
      <c r="E439">
        <v>149</v>
      </c>
      <c r="G439">
        <v>135</v>
      </c>
      <c r="I439" s="2">
        <f t="shared" si="30"/>
        <v>14</v>
      </c>
      <c r="J439">
        <f t="shared" si="26"/>
        <v>9.3959731543624164E-2</v>
      </c>
    </row>
    <row r="440" spans="1:10">
      <c r="I440" s="2">
        <f t="shared" si="30"/>
        <v>0</v>
      </c>
      <c r="J440" t="e">
        <f t="shared" si="26"/>
        <v>#DIV/0!</v>
      </c>
    </row>
    <row r="441" spans="1:10">
      <c r="A441" s="9">
        <v>43553</v>
      </c>
      <c r="B441" t="s">
        <v>505</v>
      </c>
      <c r="D441" t="s">
        <v>485</v>
      </c>
      <c r="E441">
        <v>199</v>
      </c>
      <c r="G441">
        <v>109</v>
      </c>
      <c r="I441" s="2">
        <f t="shared" si="30"/>
        <v>90</v>
      </c>
      <c r="J441">
        <f t="shared" si="26"/>
        <v>0.45226130653266333</v>
      </c>
    </row>
    <row r="442" spans="1:10">
      <c r="B442" t="s">
        <v>564</v>
      </c>
      <c r="D442" t="s">
        <v>565</v>
      </c>
      <c r="E442">
        <v>450</v>
      </c>
      <c r="G442">
        <v>293</v>
      </c>
      <c r="I442" s="2">
        <f t="shared" si="30"/>
        <v>157</v>
      </c>
      <c r="J442">
        <f t="shared" si="26"/>
        <v>0.34888888888888892</v>
      </c>
    </row>
    <row r="443" spans="1:10">
      <c r="I443" s="2">
        <f t="shared" si="30"/>
        <v>0</v>
      </c>
      <c r="J443" t="e">
        <f t="shared" si="26"/>
        <v>#DIV/0!</v>
      </c>
    </row>
    <row r="444" spans="1:10">
      <c r="A444" s="9">
        <v>43554</v>
      </c>
      <c r="D444" t="s">
        <v>566</v>
      </c>
      <c r="E444">
        <v>210</v>
      </c>
      <c r="I444" s="2">
        <f t="shared" si="30"/>
        <v>210</v>
      </c>
      <c r="J444">
        <f t="shared" si="26"/>
        <v>1</v>
      </c>
    </row>
    <row r="445" spans="1:10">
      <c r="D445" t="s">
        <v>567</v>
      </c>
      <c r="E445">
        <v>200</v>
      </c>
      <c r="G445">
        <v>155</v>
      </c>
      <c r="I445" s="2">
        <f t="shared" si="30"/>
        <v>45</v>
      </c>
      <c r="J445">
        <f t="shared" si="26"/>
        <v>0.22500000000000001</v>
      </c>
    </row>
    <row r="446" spans="1:10">
      <c r="B446" t="s">
        <v>568</v>
      </c>
      <c r="C446" t="s">
        <v>30</v>
      </c>
      <c r="D446" t="s">
        <v>54</v>
      </c>
      <c r="E446">
        <v>520</v>
      </c>
      <c r="F446">
        <v>74</v>
      </c>
      <c r="G446">
        <f>F446*0.8*6.71</f>
        <v>397.23200000000003</v>
      </c>
      <c r="I446" s="2">
        <f t="shared" si="30"/>
        <v>122.76799999999997</v>
      </c>
      <c r="J446">
        <f t="shared" si="26"/>
        <v>0.23609230769230763</v>
      </c>
    </row>
    <row r="447" spans="1:10">
      <c r="J447" t="e">
        <f t="shared" si="26"/>
        <v>#DIV/0!</v>
      </c>
    </row>
    <row r="448" spans="1:10">
      <c r="A448" s="9">
        <v>43555</v>
      </c>
      <c r="C448" t="s">
        <v>30</v>
      </c>
      <c r="D448" t="s">
        <v>521</v>
      </c>
      <c r="E448">
        <v>288</v>
      </c>
      <c r="G448">
        <v>255</v>
      </c>
      <c r="I448" s="2">
        <f>E448-G448</f>
        <v>33</v>
      </c>
      <c r="J448">
        <f t="shared" si="26"/>
        <v>0.11458333333333333</v>
      </c>
    </row>
    <row r="449" spans="1:10">
      <c r="J449" t="e">
        <f t="shared" si="26"/>
        <v>#DIV/0!</v>
      </c>
    </row>
    <row r="450" spans="1:10">
      <c r="A450" s="9">
        <v>43556</v>
      </c>
      <c r="B450" t="s">
        <v>267</v>
      </c>
      <c r="C450" t="s">
        <v>37</v>
      </c>
      <c r="D450" t="s">
        <v>328</v>
      </c>
      <c r="E450">
        <f>121+2</f>
        <v>123</v>
      </c>
      <c r="G450">
        <v>94</v>
      </c>
      <c r="I450" s="2">
        <f>E450-G450</f>
        <v>29</v>
      </c>
      <c r="J450">
        <f t="shared" si="26"/>
        <v>0.23577235772357724</v>
      </c>
    </row>
    <row r="451" spans="1:10">
      <c r="B451" t="s">
        <v>491</v>
      </c>
      <c r="D451" t="s">
        <v>569</v>
      </c>
      <c r="E451">
        <v>599</v>
      </c>
      <c r="G451">
        <v>350</v>
      </c>
      <c r="I451" s="2">
        <f>E451-G451</f>
        <v>249</v>
      </c>
      <c r="J451">
        <f t="shared" si="26"/>
        <v>0.41569282136894825</v>
      </c>
    </row>
    <row r="452" spans="1:10">
      <c r="B452" t="s">
        <v>39</v>
      </c>
      <c r="C452" t="s">
        <v>30</v>
      </c>
      <c r="D452" t="s">
        <v>54</v>
      </c>
      <c r="E452">
        <v>520</v>
      </c>
      <c r="F452">
        <v>74</v>
      </c>
      <c r="G452">
        <f>F452*0.8*6.71</f>
        <v>397.23200000000003</v>
      </c>
      <c r="I452" s="2">
        <f>E452-G452</f>
        <v>122.76799999999997</v>
      </c>
      <c r="J452">
        <f t="shared" si="26"/>
        <v>0.23609230769230763</v>
      </c>
    </row>
    <row r="453" spans="1:10">
      <c r="B453" t="s">
        <v>42</v>
      </c>
      <c r="D453" t="s">
        <v>570</v>
      </c>
      <c r="E453">
        <v>289</v>
      </c>
      <c r="F453">
        <f>19</f>
        <v>19</v>
      </c>
      <c r="G453">
        <f>F453*1.065*6.7</f>
        <v>135.5745</v>
      </c>
      <c r="H453">
        <f>F453*0.12</f>
        <v>2.2799999999999998</v>
      </c>
      <c r="I453">
        <f>E453-G453+H453</f>
        <v>155.7055</v>
      </c>
      <c r="J453">
        <f t="shared" si="26"/>
        <v>0.53877335640138413</v>
      </c>
    </row>
    <row r="454" spans="1:10">
      <c r="I454">
        <f t="shared" ref="I454:I469" si="31">E454-G454+H454</f>
        <v>0</v>
      </c>
      <c r="J454" t="e">
        <f t="shared" si="26"/>
        <v>#DIV/0!</v>
      </c>
    </row>
    <row r="455" spans="1:10">
      <c r="A455" s="9">
        <v>43557</v>
      </c>
      <c r="B455" t="s">
        <v>571</v>
      </c>
      <c r="D455" t="s">
        <v>572</v>
      </c>
      <c r="E455">
        <v>199</v>
      </c>
      <c r="G455">
        <v>118</v>
      </c>
      <c r="I455">
        <f t="shared" si="31"/>
        <v>81</v>
      </c>
      <c r="J455">
        <f t="shared" si="26"/>
        <v>0.40703517587939697</v>
      </c>
    </row>
    <row r="456" spans="1:10">
      <c r="B456" t="s">
        <v>397</v>
      </c>
      <c r="C456" t="s">
        <v>30</v>
      </c>
      <c r="D456" t="s">
        <v>573</v>
      </c>
      <c r="E456">
        <f>168*2</f>
        <v>336</v>
      </c>
      <c r="G456">
        <f>148*2</f>
        <v>296</v>
      </c>
      <c r="I456">
        <f t="shared" si="31"/>
        <v>40</v>
      </c>
      <c r="J456">
        <f t="shared" si="26"/>
        <v>0.11904761904761904</v>
      </c>
    </row>
    <row r="457" spans="1:10">
      <c r="B457" t="s">
        <v>513</v>
      </c>
      <c r="D457" t="s">
        <v>572</v>
      </c>
      <c r="E457">
        <v>199</v>
      </c>
      <c r="G457">
        <v>118</v>
      </c>
      <c r="I457">
        <f t="shared" si="31"/>
        <v>81</v>
      </c>
      <c r="J457">
        <f t="shared" si="26"/>
        <v>0.40703517587939697</v>
      </c>
    </row>
    <row r="458" spans="1:10">
      <c r="I458">
        <f t="shared" si="31"/>
        <v>0</v>
      </c>
      <c r="J458" t="e">
        <f t="shared" si="26"/>
        <v>#DIV/0!</v>
      </c>
    </row>
    <row r="459" spans="1:10">
      <c r="A459" s="9">
        <v>43558</v>
      </c>
      <c r="D459" t="s">
        <v>24</v>
      </c>
      <c r="E459">
        <v>200</v>
      </c>
      <c r="F459">
        <f>18.12</f>
        <v>18.12</v>
      </c>
      <c r="G459">
        <f>F459*6.72</f>
        <v>121.7664</v>
      </c>
      <c r="I459">
        <f t="shared" si="31"/>
        <v>78.233599999999996</v>
      </c>
      <c r="J459">
        <f t="shared" ref="J459:J522" si="32">I459/E459</f>
        <v>0.39116799999999996</v>
      </c>
    </row>
    <row r="460" spans="1:10">
      <c r="D460" t="s">
        <v>574</v>
      </c>
      <c r="E460">
        <v>95</v>
      </c>
      <c r="F460">
        <v>8</v>
      </c>
      <c r="G460">
        <f>F460*6.72</f>
        <v>53.76</v>
      </c>
      <c r="I460">
        <f t="shared" si="31"/>
        <v>41.24</v>
      </c>
      <c r="J460">
        <f t="shared" si="32"/>
        <v>0.43410526315789477</v>
      </c>
    </row>
    <row r="461" spans="1:10">
      <c r="I461">
        <f t="shared" si="31"/>
        <v>0</v>
      </c>
      <c r="J461" t="e">
        <f t="shared" si="32"/>
        <v>#DIV/0!</v>
      </c>
    </row>
    <row r="462" spans="1:10">
      <c r="A462" s="9">
        <v>43559</v>
      </c>
      <c r="D462" t="s">
        <v>575</v>
      </c>
      <c r="E462">
        <v>255</v>
      </c>
      <c r="F462">
        <v>17</v>
      </c>
      <c r="G462">
        <f>F462*6.72</f>
        <v>114.24</v>
      </c>
      <c r="I462">
        <f t="shared" si="31"/>
        <v>140.76</v>
      </c>
      <c r="J462">
        <f t="shared" si="32"/>
        <v>0.55199999999999994</v>
      </c>
    </row>
    <row r="463" spans="1:10">
      <c r="D463" t="s">
        <v>576</v>
      </c>
      <c r="E463">
        <v>202</v>
      </c>
      <c r="F463">
        <v>20</v>
      </c>
      <c r="G463">
        <f>F463*6.72</f>
        <v>134.4</v>
      </c>
      <c r="I463">
        <f t="shared" si="31"/>
        <v>67.599999999999994</v>
      </c>
      <c r="J463">
        <f t="shared" si="32"/>
        <v>0.33465346534653462</v>
      </c>
    </row>
    <row r="464" spans="1:10">
      <c r="I464">
        <f t="shared" si="31"/>
        <v>0</v>
      </c>
      <c r="J464" t="e">
        <f t="shared" si="32"/>
        <v>#DIV/0!</v>
      </c>
    </row>
    <row r="465" spans="1:10">
      <c r="C465" t="s">
        <v>30</v>
      </c>
      <c r="D465" t="s">
        <v>577</v>
      </c>
      <c r="E465">
        <f>345*3</f>
        <v>1035</v>
      </c>
      <c r="G465">
        <f>320*3</f>
        <v>960</v>
      </c>
      <c r="I465">
        <f t="shared" si="31"/>
        <v>75</v>
      </c>
      <c r="J465">
        <f t="shared" si="32"/>
        <v>7.2463768115942032E-2</v>
      </c>
    </row>
    <row r="466" spans="1:10">
      <c r="D466" t="s">
        <v>578</v>
      </c>
      <c r="E466">
        <v>499</v>
      </c>
      <c r="I466">
        <f t="shared" si="31"/>
        <v>499</v>
      </c>
      <c r="J466">
        <f t="shared" si="32"/>
        <v>1</v>
      </c>
    </row>
    <row r="467" spans="1:10">
      <c r="I467">
        <f t="shared" si="31"/>
        <v>0</v>
      </c>
      <c r="J467" t="e">
        <f t="shared" si="32"/>
        <v>#DIV/0!</v>
      </c>
    </row>
    <row r="468" spans="1:10">
      <c r="A468" s="9">
        <v>43563</v>
      </c>
      <c r="D468" t="s">
        <v>579</v>
      </c>
      <c r="E468">
        <v>172</v>
      </c>
      <c r="G468">
        <v>147</v>
      </c>
      <c r="I468">
        <f t="shared" si="31"/>
        <v>25</v>
      </c>
      <c r="J468">
        <f t="shared" si="32"/>
        <v>0.14534883720930233</v>
      </c>
    </row>
    <row r="469" spans="1:10">
      <c r="D469" t="s">
        <v>580</v>
      </c>
      <c r="E469">
        <v>365</v>
      </c>
      <c r="G469">
        <v>0</v>
      </c>
      <c r="I469">
        <f t="shared" si="31"/>
        <v>365</v>
      </c>
      <c r="J469">
        <f t="shared" si="32"/>
        <v>1</v>
      </c>
    </row>
    <row r="470" spans="1:10">
      <c r="J470" t="e">
        <f t="shared" si="32"/>
        <v>#DIV/0!</v>
      </c>
    </row>
    <row r="471" spans="1:10">
      <c r="J471" t="e">
        <f t="shared" si="32"/>
        <v>#DIV/0!</v>
      </c>
    </row>
    <row r="472" spans="1:10">
      <c r="A472" s="9">
        <v>43564</v>
      </c>
      <c r="D472" t="s">
        <v>581</v>
      </c>
      <c r="E472">
        <v>2499</v>
      </c>
      <c r="F472">
        <f>375*0.85</f>
        <v>318.75</v>
      </c>
      <c r="G472">
        <f>F472*6.9</f>
        <v>2199.375</v>
      </c>
      <c r="I472">
        <f t="shared" ref="I472:I477" si="33">E472-G472+H472</f>
        <v>299.625</v>
      </c>
      <c r="J472">
        <f t="shared" si="32"/>
        <v>0.11989795918367346</v>
      </c>
    </row>
    <row r="473" spans="1:10">
      <c r="I473">
        <f t="shared" si="33"/>
        <v>0</v>
      </c>
      <c r="J473" t="e">
        <f t="shared" si="32"/>
        <v>#DIV/0!</v>
      </c>
    </row>
    <row r="474" spans="1:10">
      <c r="A474" s="9">
        <v>43565</v>
      </c>
      <c r="D474" t="s">
        <v>582</v>
      </c>
      <c r="E474">
        <v>930</v>
      </c>
      <c r="G474">
        <v>600</v>
      </c>
      <c r="I474">
        <f t="shared" si="33"/>
        <v>330</v>
      </c>
      <c r="J474">
        <f t="shared" si="32"/>
        <v>0.35483870967741937</v>
      </c>
    </row>
    <row r="475" spans="1:10">
      <c r="D475" t="s">
        <v>583</v>
      </c>
      <c r="E475">
        <v>163</v>
      </c>
      <c r="G475">
        <v>155</v>
      </c>
      <c r="I475">
        <f t="shared" si="33"/>
        <v>8</v>
      </c>
      <c r="J475">
        <f t="shared" si="32"/>
        <v>4.9079754601226995E-2</v>
      </c>
    </row>
    <row r="476" spans="1:10">
      <c r="D476" t="s">
        <v>584</v>
      </c>
      <c r="E476">
        <v>284</v>
      </c>
      <c r="G476">
        <v>245</v>
      </c>
      <c r="I476">
        <f t="shared" si="33"/>
        <v>39</v>
      </c>
      <c r="J476">
        <f t="shared" si="32"/>
        <v>0.13732394366197184</v>
      </c>
    </row>
    <row r="477" spans="1:10">
      <c r="D477" t="s">
        <v>585</v>
      </c>
      <c r="E477">
        <v>83</v>
      </c>
      <c r="F477">
        <f>5</f>
        <v>5</v>
      </c>
      <c r="G477">
        <f>F477*7</f>
        <v>35</v>
      </c>
      <c r="I477">
        <f t="shared" si="33"/>
        <v>48</v>
      </c>
      <c r="J477">
        <f t="shared" si="32"/>
        <v>0.57831325301204817</v>
      </c>
    </row>
    <row r="478" spans="1:10">
      <c r="J478" t="e">
        <f t="shared" si="32"/>
        <v>#DIV/0!</v>
      </c>
    </row>
    <row r="479" spans="1:10">
      <c r="A479" s="9">
        <v>43566</v>
      </c>
      <c r="D479" t="s">
        <v>586</v>
      </c>
      <c r="E479">
        <f>335+252</f>
        <v>587</v>
      </c>
      <c r="G479">
        <f>283+202</f>
        <v>485</v>
      </c>
      <c r="I479">
        <f t="shared" ref="I479:I522" si="34">E479-G479+H479</f>
        <v>102</v>
      </c>
      <c r="J479">
        <f t="shared" si="32"/>
        <v>0.17376490630323679</v>
      </c>
    </row>
    <row r="480" spans="1:10">
      <c r="D480" t="s">
        <v>587</v>
      </c>
      <c r="E480">
        <v>760</v>
      </c>
      <c r="G480">
        <v>658</v>
      </c>
      <c r="I480">
        <f t="shared" si="34"/>
        <v>102</v>
      </c>
      <c r="J480">
        <f t="shared" si="32"/>
        <v>0.13421052631578947</v>
      </c>
    </row>
    <row r="481" spans="1:10">
      <c r="C481" t="s">
        <v>30</v>
      </c>
      <c r="D481" t="s">
        <v>588</v>
      </c>
      <c r="E481">
        <v>1160</v>
      </c>
      <c r="G481">
        <f>215*0.75*6.85</f>
        <v>1104.5625</v>
      </c>
      <c r="I481">
        <f t="shared" si="34"/>
        <v>55.4375</v>
      </c>
      <c r="J481">
        <f t="shared" si="32"/>
        <v>4.7790948275862069E-2</v>
      </c>
    </row>
    <row r="482" spans="1:10">
      <c r="D482" t="s">
        <v>589</v>
      </c>
      <c r="E482">
        <v>99</v>
      </c>
      <c r="F482">
        <v>5</v>
      </c>
      <c r="G482">
        <f>F482*7</f>
        <v>35</v>
      </c>
      <c r="I482">
        <f t="shared" si="34"/>
        <v>64</v>
      </c>
      <c r="J482">
        <f t="shared" si="32"/>
        <v>0.64646464646464652</v>
      </c>
    </row>
    <row r="483" spans="1:10">
      <c r="D483" t="s">
        <v>442</v>
      </c>
      <c r="E483">
        <v>90</v>
      </c>
      <c r="F483">
        <f>31.5/8</f>
        <v>3.9375</v>
      </c>
      <c r="G483">
        <f>F483*6.8</f>
        <v>26.774999999999999</v>
      </c>
      <c r="I483">
        <f t="shared" si="34"/>
        <v>63.225000000000001</v>
      </c>
      <c r="J483">
        <f t="shared" si="32"/>
        <v>0.70250000000000001</v>
      </c>
    </row>
    <row r="484" spans="1:10">
      <c r="I484">
        <f t="shared" si="34"/>
        <v>0</v>
      </c>
      <c r="J484" t="e">
        <f t="shared" si="32"/>
        <v>#DIV/0!</v>
      </c>
    </row>
    <row r="485" spans="1:10">
      <c r="A485" s="9">
        <v>43567</v>
      </c>
      <c r="D485" t="s">
        <v>523</v>
      </c>
      <c r="E485">
        <f>90*4</f>
        <v>360</v>
      </c>
      <c r="G485">
        <f>56*4</f>
        <v>224</v>
      </c>
      <c r="I485">
        <f t="shared" si="34"/>
        <v>136</v>
      </c>
      <c r="J485">
        <f t="shared" si="32"/>
        <v>0.37777777777777777</v>
      </c>
    </row>
    <row r="486" spans="1:10">
      <c r="B486" t="s">
        <v>39</v>
      </c>
      <c r="D486" t="s">
        <v>590</v>
      </c>
      <c r="E486">
        <v>505</v>
      </c>
      <c r="G486">
        <v>458</v>
      </c>
      <c r="I486">
        <f t="shared" si="34"/>
        <v>47</v>
      </c>
      <c r="J486">
        <f t="shared" si="32"/>
        <v>9.3069306930693069E-2</v>
      </c>
    </row>
    <row r="487" spans="1:10">
      <c r="C487" t="s">
        <v>30</v>
      </c>
      <c r="D487" t="s">
        <v>590</v>
      </c>
      <c r="E487" t="s">
        <v>591</v>
      </c>
      <c r="G487" t="s">
        <v>591</v>
      </c>
      <c r="I487">
        <v>0</v>
      </c>
      <c r="J487" t="e">
        <f t="shared" si="32"/>
        <v>#VALUE!</v>
      </c>
    </row>
    <row r="488" spans="1:10">
      <c r="A488" s="9">
        <v>43567</v>
      </c>
      <c r="D488" t="s">
        <v>592</v>
      </c>
      <c r="E488">
        <v>320</v>
      </c>
      <c r="F488">
        <f>20</f>
        <v>20</v>
      </c>
      <c r="G488">
        <f>F488*6.8</f>
        <v>136</v>
      </c>
      <c r="I488">
        <f t="shared" si="34"/>
        <v>184</v>
      </c>
      <c r="J488">
        <f t="shared" si="32"/>
        <v>0.57499999999999996</v>
      </c>
    </row>
    <row r="489" spans="1:10">
      <c r="D489" t="s">
        <v>593</v>
      </c>
      <c r="E489">
        <v>950</v>
      </c>
      <c r="F489">
        <v>85</v>
      </c>
      <c r="G489">
        <f>F489*6.7</f>
        <v>569.5</v>
      </c>
      <c r="I489">
        <f t="shared" si="34"/>
        <v>380.5</v>
      </c>
      <c r="J489">
        <f t="shared" si="32"/>
        <v>0.40052631578947367</v>
      </c>
    </row>
    <row r="490" spans="1:10">
      <c r="I490">
        <f t="shared" si="34"/>
        <v>0</v>
      </c>
      <c r="J490" t="e">
        <f t="shared" si="32"/>
        <v>#DIV/0!</v>
      </c>
    </row>
    <row r="491" spans="1:10">
      <c r="A491" s="9">
        <v>43567</v>
      </c>
      <c r="B491" t="s">
        <v>267</v>
      </c>
      <c r="C491" t="s">
        <v>37</v>
      </c>
      <c r="D491" t="s">
        <v>594</v>
      </c>
      <c r="E491">
        <f>210+535</f>
        <v>745</v>
      </c>
      <c r="G491">
        <v>668</v>
      </c>
      <c r="I491">
        <f t="shared" si="34"/>
        <v>77</v>
      </c>
      <c r="J491">
        <f t="shared" si="32"/>
        <v>0.10335570469798658</v>
      </c>
    </row>
    <row r="492" spans="1:10">
      <c r="B492" t="s">
        <v>595</v>
      </c>
      <c r="D492" t="s">
        <v>596</v>
      </c>
      <c r="E492">
        <v>890</v>
      </c>
      <c r="G492">
        <v>768</v>
      </c>
      <c r="I492">
        <f t="shared" si="34"/>
        <v>122</v>
      </c>
      <c r="J492">
        <f t="shared" si="32"/>
        <v>0.13707865168539327</v>
      </c>
    </row>
    <row r="493" spans="1:10">
      <c r="B493" t="s">
        <v>39</v>
      </c>
      <c r="C493" t="s">
        <v>30</v>
      </c>
      <c r="D493" t="s">
        <v>597</v>
      </c>
      <c r="E493">
        <v>325</v>
      </c>
      <c r="F493">
        <f>50</f>
        <v>50</v>
      </c>
      <c r="G493">
        <f>F493*0.8*6.7</f>
        <v>268</v>
      </c>
      <c r="I493">
        <f t="shared" si="34"/>
        <v>57</v>
      </c>
      <c r="J493">
        <f t="shared" si="32"/>
        <v>0.17538461538461539</v>
      </c>
    </row>
    <row r="494" spans="1:10">
      <c r="D494" t="s">
        <v>598</v>
      </c>
      <c r="E494">
        <v>260</v>
      </c>
      <c r="G494">
        <v>235</v>
      </c>
      <c r="I494">
        <f t="shared" si="34"/>
        <v>25</v>
      </c>
      <c r="J494">
        <f t="shared" si="32"/>
        <v>9.6153846153846159E-2</v>
      </c>
    </row>
    <row r="495" spans="1:10">
      <c r="I495">
        <f t="shared" si="34"/>
        <v>0</v>
      </c>
      <c r="J495" t="e">
        <f t="shared" si="32"/>
        <v>#DIV/0!</v>
      </c>
    </row>
    <row r="496" spans="1:10">
      <c r="A496" s="9">
        <v>43568</v>
      </c>
      <c r="C496" t="s">
        <v>37</v>
      </c>
      <c r="D496" t="s">
        <v>599</v>
      </c>
      <c r="E496">
        <v>274</v>
      </c>
      <c r="F496">
        <f>42</f>
        <v>42</v>
      </c>
      <c r="G496">
        <f>F496*0.8*6.7</f>
        <v>225.12</v>
      </c>
      <c r="I496">
        <f t="shared" si="34"/>
        <v>48.879999999999995</v>
      </c>
      <c r="J496">
        <f t="shared" si="32"/>
        <v>0.17839416058394159</v>
      </c>
    </row>
    <row r="497" spans="1:10">
      <c r="D497" t="s">
        <v>583</v>
      </c>
      <c r="E497">
        <v>168</v>
      </c>
      <c r="G497">
        <v>155</v>
      </c>
      <c r="I497">
        <f t="shared" si="34"/>
        <v>13</v>
      </c>
      <c r="J497">
        <f t="shared" si="32"/>
        <v>7.7380952380952384E-2</v>
      </c>
    </row>
    <row r="498" spans="1:10">
      <c r="A498" s="9">
        <v>43569</v>
      </c>
      <c r="B498" t="s">
        <v>600</v>
      </c>
      <c r="D498" t="s">
        <v>601</v>
      </c>
      <c r="E498">
        <f>95*3</f>
        <v>285</v>
      </c>
      <c r="F498">
        <v>7</v>
      </c>
      <c r="G498">
        <f>F498*3*6.8+8</f>
        <v>150.79999999999998</v>
      </c>
      <c r="I498">
        <f t="shared" si="34"/>
        <v>134.20000000000002</v>
      </c>
      <c r="J498">
        <f t="shared" si="32"/>
        <v>0.47087719298245623</v>
      </c>
    </row>
    <row r="499" spans="1:10">
      <c r="B499" t="s">
        <v>245</v>
      </c>
      <c r="D499" t="s">
        <v>583</v>
      </c>
      <c r="E499">
        <v>272</v>
      </c>
      <c r="G499">
        <v>260</v>
      </c>
      <c r="I499">
        <f t="shared" si="34"/>
        <v>12</v>
      </c>
      <c r="J499">
        <f t="shared" si="32"/>
        <v>4.4117647058823532E-2</v>
      </c>
    </row>
    <row r="500" spans="1:10">
      <c r="I500">
        <f t="shared" si="34"/>
        <v>0</v>
      </c>
      <c r="J500" t="e">
        <f t="shared" si="32"/>
        <v>#DIV/0!</v>
      </c>
    </row>
    <row r="501" spans="1:10">
      <c r="A501" s="9">
        <v>43570</v>
      </c>
      <c r="B501" t="s">
        <v>39</v>
      </c>
      <c r="C501" t="s">
        <v>30</v>
      </c>
      <c r="D501" t="s">
        <v>222</v>
      </c>
      <c r="E501">
        <f>125*2</f>
        <v>250</v>
      </c>
      <c r="F501">
        <f>18*0.75*2</f>
        <v>27</v>
      </c>
      <c r="G501">
        <f>F501*6.9</f>
        <v>186.3</v>
      </c>
      <c r="I501">
        <f>E501-G501</f>
        <v>63.699999999999989</v>
      </c>
      <c r="J501">
        <f t="shared" si="32"/>
        <v>0.25479999999999997</v>
      </c>
    </row>
    <row r="502" spans="1:10">
      <c r="I502">
        <f t="shared" si="34"/>
        <v>0</v>
      </c>
      <c r="J502" t="e">
        <f t="shared" si="32"/>
        <v>#DIV/0!</v>
      </c>
    </row>
    <row r="503" spans="1:10">
      <c r="A503" s="9">
        <v>43571</v>
      </c>
      <c r="D503" t="s">
        <v>602</v>
      </c>
      <c r="E503">
        <v>340</v>
      </c>
      <c r="G503">
        <v>228</v>
      </c>
      <c r="I503">
        <f t="shared" si="34"/>
        <v>112</v>
      </c>
      <c r="J503">
        <f t="shared" si="32"/>
        <v>0.32941176470588235</v>
      </c>
    </row>
    <row r="504" spans="1:10">
      <c r="A504" s="9">
        <v>43572</v>
      </c>
      <c r="I504">
        <f t="shared" si="34"/>
        <v>0</v>
      </c>
      <c r="J504" t="e">
        <f t="shared" si="32"/>
        <v>#DIV/0!</v>
      </c>
    </row>
    <row r="505" spans="1:10">
      <c r="A505" s="9">
        <v>43573</v>
      </c>
      <c r="I505">
        <f t="shared" si="34"/>
        <v>0</v>
      </c>
      <c r="J505" t="e">
        <f t="shared" si="32"/>
        <v>#DIV/0!</v>
      </c>
    </row>
    <row r="506" spans="1:10">
      <c r="A506" s="9">
        <v>43574</v>
      </c>
      <c r="B506" t="s">
        <v>255</v>
      </c>
      <c r="C506" t="s">
        <v>30</v>
      </c>
      <c r="D506" t="s">
        <v>603</v>
      </c>
      <c r="E506">
        <v>440</v>
      </c>
      <c r="F506">
        <v>39.6</v>
      </c>
      <c r="G506">
        <f>F506*6.7</f>
        <v>265.32</v>
      </c>
      <c r="I506">
        <f t="shared" si="34"/>
        <v>174.68</v>
      </c>
      <c r="J506">
        <f t="shared" si="32"/>
        <v>0.39700000000000002</v>
      </c>
    </row>
    <row r="507" spans="1:10">
      <c r="A507" s="9">
        <v>43575</v>
      </c>
      <c r="B507" t="s">
        <v>216</v>
      </c>
      <c r="D507" t="s">
        <v>604</v>
      </c>
      <c r="E507">
        <v>299</v>
      </c>
      <c r="G507">
        <v>0</v>
      </c>
      <c r="I507">
        <f t="shared" si="34"/>
        <v>299</v>
      </c>
      <c r="J507">
        <f t="shared" si="32"/>
        <v>1</v>
      </c>
    </row>
    <row r="508" spans="1:10">
      <c r="B508" t="s">
        <v>605</v>
      </c>
      <c r="D508" t="s">
        <v>606</v>
      </c>
      <c r="E508">
        <v>950</v>
      </c>
      <c r="G508">
        <v>672</v>
      </c>
      <c r="I508">
        <f t="shared" si="34"/>
        <v>278</v>
      </c>
      <c r="J508">
        <f t="shared" si="32"/>
        <v>0.29263157894736841</v>
      </c>
    </row>
    <row r="509" spans="1:10">
      <c r="B509" t="s">
        <v>85</v>
      </c>
      <c r="C509" t="s">
        <v>37</v>
      </c>
      <c r="D509" t="s">
        <v>607</v>
      </c>
      <c r="E509">
        <v>650</v>
      </c>
      <c r="G509">
        <v>600</v>
      </c>
      <c r="I509">
        <f t="shared" si="34"/>
        <v>50</v>
      </c>
      <c r="J509">
        <f t="shared" si="32"/>
        <v>7.6923076923076927E-2</v>
      </c>
    </row>
    <row r="510" spans="1:10">
      <c r="I510">
        <f t="shared" si="34"/>
        <v>0</v>
      </c>
      <c r="J510" t="e">
        <f t="shared" si="32"/>
        <v>#DIV/0!</v>
      </c>
    </row>
    <row r="511" spans="1:10">
      <c r="A511" s="9">
        <v>43576</v>
      </c>
      <c r="B511" t="s">
        <v>255</v>
      </c>
      <c r="C511" t="s">
        <v>30</v>
      </c>
      <c r="D511" t="s">
        <v>608</v>
      </c>
      <c r="E511">
        <v>308</v>
      </c>
      <c r="G511">
        <v>265</v>
      </c>
      <c r="I511">
        <f t="shared" si="34"/>
        <v>43</v>
      </c>
      <c r="J511">
        <f t="shared" si="32"/>
        <v>0.1396103896103896</v>
      </c>
    </row>
    <row r="512" spans="1:10">
      <c r="B512" t="s">
        <v>255</v>
      </c>
      <c r="C512" t="s">
        <v>30</v>
      </c>
      <c r="D512" t="s">
        <v>609</v>
      </c>
      <c r="E512">
        <f>135*2</f>
        <v>270</v>
      </c>
      <c r="G512">
        <f>106*2</f>
        <v>212</v>
      </c>
      <c r="I512">
        <f t="shared" si="34"/>
        <v>58</v>
      </c>
      <c r="J512">
        <f t="shared" si="32"/>
        <v>0.21481481481481482</v>
      </c>
    </row>
    <row r="513" spans="1:11">
      <c r="B513" t="s">
        <v>39</v>
      </c>
      <c r="C513" t="s">
        <v>30</v>
      </c>
      <c r="D513" t="s">
        <v>610</v>
      </c>
      <c r="E513">
        <v>65</v>
      </c>
      <c r="G513">
        <v>50</v>
      </c>
      <c r="I513">
        <f t="shared" si="34"/>
        <v>15</v>
      </c>
      <c r="J513">
        <f t="shared" si="32"/>
        <v>0.23076923076923078</v>
      </c>
    </row>
    <row r="514" spans="1:11">
      <c r="D514" t="s">
        <v>611</v>
      </c>
      <c r="G514">
        <f>560*3</f>
        <v>1680</v>
      </c>
      <c r="I514">
        <f t="shared" si="34"/>
        <v>-1680</v>
      </c>
      <c r="J514" t="e">
        <f t="shared" si="32"/>
        <v>#DIV/0!</v>
      </c>
      <c r="K514">
        <f>125*4+400</f>
        <v>900</v>
      </c>
    </row>
    <row r="515" spans="1:11">
      <c r="D515" t="s">
        <v>612</v>
      </c>
      <c r="E515">
        <v>399</v>
      </c>
      <c r="G515">
        <f>330</f>
        <v>330</v>
      </c>
      <c r="I515">
        <f t="shared" si="34"/>
        <v>69</v>
      </c>
      <c r="J515">
        <f t="shared" si="32"/>
        <v>0.17293233082706766</v>
      </c>
      <c r="K515">
        <f>12*6.72+10</f>
        <v>90.64</v>
      </c>
    </row>
    <row r="516" spans="1:11">
      <c r="D516" t="s">
        <v>613</v>
      </c>
      <c r="G516">
        <f>180*2</f>
        <v>360</v>
      </c>
      <c r="I516">
        <f t="shared" si="34"/>
        <v>-360</v>
      </c>
      <c r="J516" t="e">
        <f t="shared" si="32"/>
        <v>#DIV/0!</v>
      </c>
    </row>
    <row r="517" spans="1:11">
      <c r="D517" t="s">
        <v>614</v>
      </c>
      <c r="G517">
        <f>180*2</f>
        <v>360</v>
      </c>
      <c r="I517">
        <f t="shared" si="34"/>
        <v>-360</v>
      </c>
      <c r="J517" t="e">
        <f t="shared" si="32"/>
        <v>#DIV/0!</v>
      </c>
    </row>
    <row r="518" spans="1:11">
      <c r="D518" t="s">
        <v>615</v>
      </c>
      <c r="E518">
        <v>81</v>
      </c>
      <c r="G518">
        <v>0</v>
      </c>
      <c r="I518">
        <f t="shared" si="34"/>
        <v>81</v>
      </c>
      <c r="J518">
        <f t="shared" si="32"/>
        <v>1</v>
      </c>
    </row>
    <row r="519" spans="1:11">
      <c r="D519" t="s">
        <v>616</v>
      </c>
      <c r="E519">
        <v>710</v>
      </c>
      <c r="G519">
        <v>658</v>
      </c>
      <c r="I519">
        <f t="shared" si="34"/>
        <v>52</v>
      </c>
      <c r="J519">
        <f t="shared" si="32"/>
        <v>7.3239436619718309E-2</v>
      </c>
    </row>
    <row r="521" spans="1:11">
      <c r="B521" t="s">
        <v>568</v>
      </c>
      <c r="D521" t="s">
        <v>617</v>
      </c>
      <c r="E521">
        <v>208</v>
      </c>
      <c r="G521">
        <v>130</v>
      </c>
      <c r="I521">
        <f t="shared" si="34"/>
        <v>78</v>
      </c>
      <c r="J521">
        <f t="shared" si="32"/>
        <v>0.375</v>
      </c>
    </row>
    <row r="522" spans="1:11">
      <c r="A522" s="9">
        <v>43577</v>
      </c>
      <c r="B522" t="s">
        <v>618</v>
      </c>
      <c r="D522" t="s">
        <v>619</v>
      </c>
      <c r="E522">
        <v>1849</v>
      </c>
      <c r="G522">
        <f>575+635</f>
        <v>1210</v>
      </c>
      <c r="I522">
        <f t="shared" si="34"/>
        <v>639</v>
      </c>
      <c r="J522">
        <f t="shared" si="32"/>
        <v>0.34559221200648998</v>
      </c>
    </row>
    <row r="523" spans="1:11">
      <c r="D523" t="s">
        <v>620</v>
      </c>
      <c r="E523">
        <v>560</v>
      </c>
      <c r="F523">
        <f>74*0.8</f>
        <v>59.2</v>
      </c>
      <c r="G523">
        <f>F523*6.72</f>
        <v>397.82400000000001</v>
      </c>
      <c r="I523">
        <f>E523-G523+H523</f>
        <v>162.17599999999999</v>
      </c>
      <c r="J523">
        <f>I523/E523</f>
        <v>0.28959999999999997</v>
      </c>
    </row>
    <row r="524" spans="1:11">
      <c r="D524" t="s">
        <v>509</v>
      </c>
      <c r="E524">
        <f>770*7</f>
        <v>5390</v>
      </c>
      <c r="F524">
        <v>90</v>
      </c>
      <c r="G524">
        <f>F524*6.7*7*0.95</f>
        <v>4009.95</v>
      </c>
      <c r="I524">
        <f>E524-G524+H524</f>
        <v>1380.0500000000002</v>
      </c>
      <c r="J524">
        <f>I524/E524</f>
        <v>0.25603896103896107</v>
      </c>
    </row>
    <row r="526" spans="1:11">
      <c r="I526">
        <f t="shared" ref="I526:I535" si="35">E526-G526+H526</f>
        <v>0</v>
      </c>
      <c r="J526" t="e">
        <f t="shared" ref="J526:J558" si="36">I526/E526</f>
        <v>#DIV/0!</v>
      </c>
    </row>
    <row r="527" spans="1:11">
      <c r="A527" s="9">
        <v>43578</v>
      </c>
      <c r="B527" t="s">
        <v>317</v>
      </c>
      <c r="C527" t="s">
        <v>15</v>
      </c>
      <c r="D527" t="s">
        <v>621</v>
      </c>
      <c r="E527">
        <v>860</v>
      </c>
      <c r="G527">
        <v>650</v>
      </c>
      <c r="I527">
        <f t="shared" si="35"/>
        <v>210</v>
      </c>
      <c r="J527">
        <f t="shared" si="36"/>
        <v>0.2441860465116279</v>
      </c>
    </row>
    <row r="528" spans="1:11">
      <c r="C528" t="s">
        <v>15</v>
      </c>
      <c r="D528" t="s">
        <v>622</v>
      </c>
      <c r="E528">
        <f>420*3</f>
        <v>1260</v>
      </c>
      <c r="F528">
        <v>65</v>
      </c>
      <c r="G528">
        <f>F528*0.8*6.7*3</f>
        <v>1045.2</v>
      </c>
      <c r="I528">
        <f t="shared" si="35"/>
        <v>214.79999999999995</v>
      </c>
      <c r="J528">
        <f t="shared" si="36"/>
        <v>0.17047619047619045</v>
      </c>
    </row>
    <row r="529" spans="1:10">
      <c r="C529" t="s">
        <v>15</v>
      </c>
      <c r="D529" t="s">
        <v>623</v>
      </c>
      <c r="E529">
        <v>160</v>
      </c>
      <c r="F529">
        <v>18</v>
      </c>
      <c r="G529">
        <f>F529*0.8*6.7</f>
        <v>96.48</v>
      </c>
      <c r="I529">
        <f t="shared" si="35"/>
        <v>63.519999999999996</v>
      </c>
      <c r="J529">
        <f t="shared" si="36"/>
        <v>0.39699999999999996</v>
      </c>
    </row>
    <row r="530" spans="1:10">
      <c r="C530" t="s">
        <v>15</v>
      </c>
      <c r="D530" t="s">
        <v>525</v>
      </c>
      <c r="E530">
        <f>199*2</f>
        <v>398</v>
      </c>
      <c r="G530">
        <f>118*2</f>
        <v>236</v>
      </c>
      <c r="I530">
        <f t="shared" si="35"/>
        <v>162</v>
      </c>
      <c r="J530">
        <f t="shared" si="36"/>
        <v>0.40703517587939697</v>
      </c>
    </row>
    <row r="531" spans="1:10">
      <c r="C531" t="s">
        <v>267</v>
      </c>
      <c r="D531" t="s">
        <v>57</v>
      </c>
      <c r="E531">
        <v>245</v>
      </c>
      <c r="G531">
        <f>38*0.8*6.7</f>
        <v>203.68</v>
      </c>
      <c r="I531">
        <f t="shared" si="35"/>
        <v>41.319999999999993</v>
      </c>
      <c r="J531">
        <f t="shared" si="36"/>
        <v>0.16865306122448978</v>
      </c>
    </row>
    <row r="532" spans="1:10">
      <c r="B532" t="s">
        <v>245</v>
      </c>
      <c r="C532" t="s">
        <v>30</v>
      </c>
      <c r="D532" t="s">
        <v>433</v>
      </c>
      <c r="E532">
        <f>680*3</f>
        <v>2040</v>
      </c>
      <c r="F532">
        <f>95*3</f>
        <v>285</v>
      </c>
      <c r="G532">
        <f>F532*6.72</f>
        <v>1915.1999999999998</v>
      </c>
      <c r="I532">
        <f t="shared" si="35"/>
        <v>124.80000000000018</v>
      </c>
      <c r="J532">
        <f t="shared" si="36"/>
        <v>6.1176470588235381E-2</v>
      </c>
    </row>
    <row r="533" spans="1:10">
      <c r="C533" t="s">
        <v>15</v>
      </c>
      <c r="D533" t="s">
        <v>624</v>
      </c>
      <c r="E533">
        <f>725*2</f>
        <v>1450</v>
      </c>
      <c r="F533">
        <f>185*0.85</f>
        <v>157.25</v>
      </c>
      <c r="G533">
        <f>F533*6.72</f>
        <v>1056.72</v>
      </c>
      <c r="I533">
        <f t="shared" si="35"/>
        <v>393.28</v>
      </c>
      <c r="J533">
        <f t="shared" si="36"/>
        <v>0.27122758620689652</v>
      </c>
    </row>
    <row r="534" spans="1:10">
      <c r="C534" t="s">
        <v>15</v>
      </c>
      <c r="D534" t="s">
        <v>625</v>
      </c>
      <c r="E534">
        <v>200</v>
      </c>
      <c r="G534">
        <v>165</v>
      </c>
      <c r="I534">
        <f t="shared" si="35"/>
        <v>35</v>
      </c>
      <c r="J534">
        <f t="shared" si="36"/>
        <v>0.17499999999999999</v>
      </c>
    </row>
    <row r="535" spans="1:10">
      <c r="C535" t="s">
        <v>15</v>
      </c>
      <c r="D535" t="s">
        <v>626</v>
      </c>
      <c r="E535">
        <v>240</v>
      </c>
      <c r="G535">
        <v>169</v>
      </c>
      <c r="I535">
        <f t="shared" si="35"/>
        <v>71</v>
      </c>
      <c r="J535">
        <f t="shared" si="36"/>
        <v>0.29583333333333334</v>
      </c>
    </row>
    <row r="536" spans="1:10">
      <c r="J536" t="e">
        <f t="shared" si="36"/>
        <v>#DIV/0!</v>
      </c>
    </row>
    <row r="537" spans="1:10">
      <c r="A537" s="9">
        <v>43579</v>
      </c>
      <c r="D537" t="s">
        <v>627</v>
      </c>
      <c r="E537">
        <v>1130</v>
      </c>
      <c r="F537">
        <f>168</f>
        <v>168</v>
      </c>
      <c r="G537">
        <f>F537*0.85*6.7</f>
        <v>956.75999999999988</v>
      </c>
      <c r="I537">
        <f>E537-G537+H537</f>
        <v>173.24000000000012</v>
      </c>
      <c r="J537">
        <f t="shared" si="36"/>
        <v>0.15330973451327445</v>
      </c>
    </row>
    <row r="538" spans="1:10">
      <c r="B538" t="s">
        <v>628</v>
      </c>
      <c r="D538" t="s">
        <v>629</v>
      </c>
      <c r="E538">
        <f>250*5</f>
        <v>1250</v>
      </c>
      <c r="G538">
        <f>38*0.8*6.7*5</f>
        <v>1018.4000000000001</v>
      </c>
      <c r="I538">
        <f>E538-G538+H538</f>
        <v>231.59999999999991</v>
      </c>
      <c r="J538">
        <f t="shared" si="36"/>
        <v>0.18527999999999992</v>
      </c>
    </row>
    <row r="539" spans="1:10">
      <c r="B539" t="s">
        <v>132</v>
      </c>
      <c r="D539" t="s">
        <v>630</v>
      </c>
      <c r="E539">
        <v>300</v>
      </c>
      <c r="F539">
        <v>32</v>
      </c>
      <c r="G539">
        <f>F539*0.8*6.7</f>
        <v>171.52</v>
      </c>
      <c r="I539">
        <f>E539-G539+H539</f>
        <v>128.47999999999999</v>
      </c>
      <c r="J539">
        <f t="shared" si="36"/>
        <v>0.42826666666666663</v>
      </c>
    </row>
    <row r="540" spans="1:10">
      <c r="I540">
        <f t="shared" ref="I540:I548" si="37">E540-G540+H540</f>
        <v>0</v>
      </c>
      <c r="J540" t="e">
        <f t="shared" si="36"/>
        <v>#DIV/0!</v>
      </c>
    </row>
    <row r="541" spans="1:10">
      <c r="A541" s="9">
        <v>43580</v>
      </c>
      <c r="B541" t="s">
        <v>252</v>
      </c>
      <c r="C541" t="s">
        <v>37</v>
      </c>
      <c r="D541" t="s">
        <v>631</v>
      </c>
      <c r="E541">
        <f>179*9-10</f>
        <v>1601</v>
      </c>
      <c r="F541">
        <v>209</v>
      </c>
      <c r="G541">
        <f>F541*6.72</f>
        <v>1404.48</v>
      </c>
      <c r="I541">
        <f t="shared" si="37"/>
        <v>196.51999999999998</v>
      </c>
      <c r="J541">
        <f t="shared" si="36"/>
        <v>0.12274828232354777</v>
      </c>
    </row>
    <row r="542" spans="1:10">
      <c r="B542" t="s">
        <v>85</v>
      </c>
      <c r="C542" t="s">
        <v>37</v>
      </c>
      <c r="D542" t="s">
        <v>426</v>
      </c>
      <c r="E542">
        <f>233+10</f>
        <v>243</v>
      </c>
      <c r="G542">
        <v>210</v>
      </c>
      <c r="I542">
        <f t="shared" si="37"/>
        <v>33</v>
      </c>
      <c r="J542">
        <f t="shared" si="36"/>
        <v>0.13580246913580246</v>
      </c>
    </row>
    <row r="543" spans="1:10">
      <c r="J543" t="e">
        <f t="shared" si="36"/>
        <v>#DIV/0!</v>
      </c>
    </row>
    <row r="544" spans="1:10">
      <c r="B544" t="s">
        <v>97</v>
      </c>
      <c r="C544" t="s">
        <v>37</v>
      </c>
      <c r="D544" t="s">
        <v>632</v>
      </c>
      <c r="E544">
        <v>610</v>
      </c>
      <c r="G544">
        <f>555+10</f>
        <v>565</v>
      </c>
      <c r="I544">
        <f t="shared" si="37"/>
        <v>45</v>
      </c>
      <c r="J544">
        <f t="shared" si="36"/>
        <v>7.3770491803278687E-2</v>
      </c>
    </row>
    <row r="545" spans="1:10">
      <c r="I545">
        <f t="shared" si="37"/>
        <v>0</v>
      </c>
      <c r="J545" t="e">
        <f t="shared" si="36"/>
        <v>#DIV/0!</v>
      </c>
    </row>
    <row r="546" spans="1:10">
      <c r="A546" s="9">
        <v>43581</v>
      </c>
      <c r="D546" t="s">
        <v>633</v>
      </c>
      <c r="E546">
        <v>399</v>
      </c>
      <c r="F546">
        <v>45</v>
      </c>
      <c r="G546">
        <f>F546*6.72</f>
        <v>302.39999999999998</v>
      </c>
      <c r="I546">
        <f t="shared" si="37"/>
        <v>96.600000000000023</v>
      </c>
      <c r="J546">
        <f t="shared" si="36"/>
        <v>0.2421052631578948</v>
      </c>
    </row>
    <row r="547" spans="1:10">
      <c r="B547" t="s">
        <v>245</v>
      </c>
      <c r="C547" t="s">
        <v>30</v>
      </c>
      <c r="D547" t="s">
        <v>583</v>
      </c>
      <c r="E547">
        <f>(163+10+5)*2</f>
        <v>356</v>
      </c>
      <c r="G547">
        <f>145+8+145+8</f>
        <v>306</v>
      </c>
      <c r="I547">
        <f t="shared" si="37"/>
        <v>50</v>
      </c>
      <c r="J547">
        <f t="shared" si="36"/>
        <v>0.1404494382022472</v>
      </c>
    </row>
    <row r="548" spans="1:10">
      <c r="C548" t="s">
        <v>37</v>
      </c>
      <c r="D548" t="s">
        <v>634</v>
      </c>
      <c r="E548">
        <v>149</v>
      </c>
      <c r="F548">
        <v>10.89</v>
      </c>
      <c r="G548">
        <f>F548*6.71</f>
        <v>73.071899999999999</v>
      </c>
      <c r="I548">
        <f t="shared" si="37"/>
        <v>75.928100000000001</v>
      </c>
      <c r="J548">
        <f t="shared" si="36"/>
        <v>0.50958456375838923</v>
      </c>
    </row>
    <row r="549" spans="1:10">
      <c r="B549" t="s">
        <v>635</v>
      </c>
      <c r="C549" t="s">
        <v>30</v>
      </c>
      <c r="D549" t="s">
        <v>636</v>
      </c>
      <c r="E549">
        <v>110</v>
      </c>
      <c r="F549">
        <f>18.5</f>
        <v>18.5</v>
      </c>
      <c r="G549">
        <f>F549*0.8*6.7</f>
        <v>99.160000000000011</v>
      </c>
      <c r="H549">
        <f>F549*0.8*0.095*6.7</f>
        <v>9.4202000000000012</v>
      </c>
      <c r="I549">
        <f>E549-G549+H549</f>
        <v>20.26019999999999</v>
      </c>
      <c r="J549">
        <f t="shared" si="36"/>
        <v>0.18418363636363627</v>
      </c>
    </row>
    <row r="550" spans="1:10">
      <c r="B550" t="s">
        <v>637</v>
      </c>
      <c r="C550" t="s">
        <v>15</v>
      </c>
      <c r="D550" t="s">
        <v>638</v>
      </c>
      <c r="E550">
        <v>365</v>
      </c>
      <c r="F550">
        <f>50</f>
        <v>50</v>
      </c>
      <c r="G550">
        <f>F550*0.8*6.7+8</f>
        <v>276</v>
      </c>
      <c r="I550">
        <f>E550-G550+H550</f>
        <v>89</v>
      </c>
      <c r="J550">
        <f t="shared" si="36"/>
        <v>0.24383561643835616</v>
      </c>
    </row>
    <row r="551" spans="1:10">
      <c r="B551" t="s">
        <v>637</v>
      </c>
      <c r="C551" t="s">
        <v>15</v>
      </c>
      <c r="D551" t="s">
        <v>639</v>
      </c>
      <c r="E551">
        <v>245</v>
      </c>
      <c r="G551">
        <v>188</v>
      </c>
      <c r="I551">
        <f t="shared" ref="I551:I558" si="38">E551-G551+H551</f>
        <v>57</v>
      </c>
      <c r="J551">
        <f t="shared" si="36"/>
        <v>0.23265306122448978</v>
      </c>
    </row>
    <row r="552" spans="1:10">
      <c r="D552" t="s">
        <v>640</v>
      </c>
      <c r="E552">
        <v>355</v>
      </c>
      <c r="G552">
        <v>0</v>
      </c>
      <c r="I552">
        <f t="shared" si="38"/>
        <v>355</v>
      </c>
      <c r="J552">
        <f t="shared" si="36"/>
        <v>1</v>
      </c>
    </row>
    <row r="553" spans="1:10">
      <c r="D553" t="s">
        <v>641</v>
      </c>
      <c r="E553">
        <v>255</v>
      </c>
      <c r="G553">
        <v>200</v>
      </c>
      <c r="I553">
        <f t="shared" si="38"/>
        <v>55</v>
      </c>
      <c r="J553">
        <f t="shared" si="36"/>
        <v>0.21568627450980393</v>
      </c>
    </row>
    <row r="554" spans="1:10">
      <c r="D554" t="s">
        <v>641</v>
      </c>
      <c r="E554">
        <v>255</v>
      </c>
      <c r="G554">
        <v>200</v>
      </c>
      <c r="I554">
        <f t="shared" si="38"/>
        <v>55</v>
      </c>
      <c r="J554">
        <f t="shared" si="36"/>
        <v>0.21568627450980393</v>
      </c>
    </row>
    <row r="555" spans="1:10">
      <c r="I555">
        <f t="shared" si="38"/>
        <v>0</v>
      </c>
      <c r="J555" t="e">
        <f t="shared" si="36"/>
        <v>#DIV/0!</v>
      </c>
    </row>
    <row r="556" spans="1:10">
      <c r="A556" s="9">
        <v>43582</v>
      </c>
      <c r="B556" t="s">
        <v>142</v>
      </c>
      <c r="D556" t="s">
        <v>155</v>
      </c>
      <c r="E556">
        <v>240</v>
      </c>
      <c r="G556">
        <f>195+10</f>
        <v>205</v>
      </c>
      <c r="I556">
        <f t="shared" si="38"/>
        <v>35</v>
      </c>
      <c r="J556">
        <f t="shared" si="36"/>
        <v>0.14583333333333334</v>
      </c>
    </row>
    <row r="557" spans="1:10">
      <c r="B557" t="s">
        <v>142</v>
      </c>
      <c r="D557" t="s">
        <v>642</v>
      </c>
      <c r="E557">
        <v>350</v>
      </c>
      <c r="G557">
        <f>330+10</f>
        <v>340</v>
      </c>
      <c r="I557">
        <f t="shared" si="38"/>
        <v>10</v>
      </c>
      <c r="J557">
        <f t="shared" si="36"/>
        <v>2.8571428571428571E-2</v>
      </c>
    </row>
    <row r="558" spans="1:10">
      <c r="B558" t="s">
        <v>142</v>
      </c>
      <c r="D558" t="s">
        <v>643</v>
      </c>
      <c r="E558">
        <v>370</v>
      </c>
      <c r="F558">
        <f>52</f>
        <v>52</v>
      </c>
      <c r="G558">
        <f>F558*0.8*6.78</f>
        <v>282.048</v>
      </c>
      <c r="I558">
        <f t="shared" si="38"/>
        <v>87.951999999999998</v>
      </c>
      <c r="J558">
        <f t="shared" si="36"/>
        <v>0.23770810810810811</v>
      </c>
    </row>
    <row r="559" spans="1:10">
      <c r="D559" t="s">
        <v>515</v>
      </c>
      <c r="I559">
        <f>-1500</f>
        <v>-1500</v>
      </c>
    </row>
    <row r="561" spans="1:10">
      <c r="A561" s="9">
        <v>43584</v>
      </c>
      <c r="D561" t="s">
        <v>644</v>
      </c>
      <c r="E561">
        <v>180</v>
      </c>
      <c r="G561">
        <f>56*2</f>
        <v>112</v>
      </c>
      <c r="I561">
        <f>E561-G561+H561</f>
        <v>68</v>
      </c>
      <c r="J561">
        <f t="shared" ref="J561:J568" si="39">I561/E561</f>
        <v>0.37777777777777777</v>
      </c>
    </row>
    <row r="562" spans="1:10">
      <c r="D562" t="s">
        <v>645</v>
      </c>
      <c r="E562">
        <v>150</v>
      </c>
      <c r="F562">
        <v>27</v>
      </c>
      <c r="G562">
        <f>F562*6.7</f>
        <v>180.9</v>
      </c>
      <c r="I562">
        <f>E562-G562+H562</f>
        <v>-30.900000000000006</v>
      </c>
      <c r="J562">
        <f t="shared" si="39"/>
        <v>-0.20600000000000004</v>
      </c>
    </row>
    <row r="563" spans="1:10">
      <c r="D563" t="s">
        <v>646</v>
      </c>
      <c r="E563">
        <v>120</v>
      </c>
      <c r="G563">
        <v>85</v>
      </c>
      <c r="I563">
        <f>E563-G563+H563</f>
        <v>35</v>
      </c>
      <c r="J563">
        <f t="shared" si="39"/>
        <v>0.29166666666666669</v>
      </c>
    </row>
    <row r="564" spans="1:10">
      <c r="J564" t="e">
        <f t="shared" si="39"/>
        <v>#DIV/0!</v>
      </c>
    </row>
    <row r="565" spans="1:10">
      <c r="J565" t="e">
        <f t="shared" si="39"/>
        <v>#DIV/0!</v>
      </c>
    </row>
    <row r="566" spans="1:10">
      <c r="A566" s="9">
        <v>43585</v>
      </c>
      <c r="D566" t="s">
        <v>647</v>
      </c>
      <c r="E566">
        <f>359*2</f>
        <v>718</v>
      </c>
      <c r="G566">
        <v>0</v>
      </c>
      <c r="I566">
        <f>E566-G566+H566</f>
        <v>718</v>
      </c>
      <c r="J566">
        <f t="shared" si="39"/>
        <v>1</v>
      </c>
    </row>
    <row r="567" spans="1:10">
      <c r="D567" t="s">
        <v>648</v>
      </c>
      <c r="E567">
        <v>510</v>
      </c>
      <c r="G567">
        <v>458</v>
      </c>
      <c r="I567">
        <f>E567-G567+H567</f>
        <v>52</v>
      </c>
      <c r="J567">
        <f t="shared" si="39"/>
        <v>0.10196078431372549</v>
      </c>
    </row>
    <row r="568" spans="1:10">
      <c r="D568" t="s">
        <v>649</v>
      </c>
      <c r="E568">
        <f>1385+276+276+276</f>
        <v>2213</v>
      </c>
      <c r="G568">
        <f>250*8</f>
        <v>2000</v>
      </c>
      <c r="I568">
        <f>E568-G568+H568</f>
        <v>213</v>
      </c>
      <c r="J568">
        <f t="shared" si="39"/>
        <v>9.624943515589697E-2</v>
      </c>
    </row>
    <row r="569" spans="1:10">
      <c r="D569" t="s">
        <v>650</v>
      </c>
      <c r="E569">
        <f>388/2</f>
        <v>194</v>
      </c>
      <c r="F569">
        <v>24</v>
      </c>
      <c r="G569">
        <f>F569*6.8</f>
        <v>163.19999999999999</v>
      </c>
      <c r="I569">
        <f>E569-G569+H569</f>
        <v>30.800000000000011</v>
      </c>
      <c r="J569">
        <f>I569/E569</f>
        <v>0.15876288659793819</v>
      </c>
    </row>
    <row r="570" spans="1:10">
      <c r="D570" t="s">
        <v>651</v>
      </c>
      <c r="E570">
        <f>388/2</f>
        <v>194</v>
      </c>
      <c r="G570">
        <v>135</v>
      </c>
      <c r="I570">
        <f>E570-G570+H570</f>
        <v>59</v>
      </c>
      <c r="J570">
        <f>I570/E570</f>
        <v>0.30412371134020616</v>
      </c>
    </row>
    <row r="572" spans="1:10">
      <c r="A572" s="9">
        <v>43586</v>
      </c>
      <c r="D572" t="s">
        <v>239</v>
      </c>
      <c r="E572">
        <f>65*5+42+10</f>
        <v>377</v>
      </c>
      <c r="G572">
        <f>55*5+8</f>
        <v>283</v>
      </c>
      <c r="I572">
        <f t="shared" ref="I572:I578" si="40">E572-G572+H572</f>
        <v>94</v>
      </c>
      <c r="J572">
        <f t="shared" ref="J572:J589" si="41">I572/E572</f>
        <v>0.24933687002652519</v>
      </c>
    </row>
    <row r="573" spans="1:10">
      <c r="B573" t="s">
        <v>278</v>
      </c>
      <c r="D573" t="s">
        <v>652</v>
      </c>
      <c r="E573">
        <v>139</v>
      </c>
      <c r="F573">
        <f>18.5</f>
        <v>18.5</v>
      </c>
      <c r="G573">
        <f>F573*0.8*6.7</f>
        <v>99.160000000000011</v>
      </c>
      <c r="I573">
        <f t="shared" si="40"/>
        <v>39.839999999999989</v>
      </c>
      <c r="J573">
        <f t="shared" si="41"/>
        <v>0.28661870503597114</v>
      </c>
    </row>
    <row r="574" spans="1:10">
      <c r="B574" t="s">
        <v>653</v>
      </c>
      <c r="D574" t="s">
        <v>654</v>
      </c>
      <c r="E574">
        <v>139</v>
      </c>
      <c r="F574">
        <f>18.5</f>
        <v>18.5</v>
      </c>
      <c r="G574">
        <f>F574*0.8*6.7</f>
        <v>99.160000000000011</v>
      </c>
      <c r="I574">
        <f t="shared" si="40"/>
        <v>39.839999999999989</v>
      </c>
      <c r="J574">
        <f t="shared" si="41"/>
        <v>0.28661870503597114</v>
      </c>
    </row>
    <row r="575" spans="1:10">
      <c r="B575" t="s">
        <v>278</v>
      </c>
      <c r="D575" t="s">
        <v>655</v>
      </c>
      <c r="E575">
        <v>295</v>
      </c>
      <c r="F575">
        <v>38</v>
      </c>
      <c r="G575">
        <f>0.8*6.7*F575+8</f>
        <v>211.68</v>
      </c>
      <c r="I575">
        <f t="shared" si="40"/>
        <v>83.32</v>
      </c>
      <c r="J575">
        <f t="shared" si="41"/>
        <v>0.28244067796610167</v>
      </c>
    </row>
    <row r="576" spans="1:10">
      <c r="B576" t="s">
        <v>278</v>
      </c>
      <c r="D576" t="s">
        <v>549</v>
      </c>
      <c r="E576">
        <f>369-8</f>
        <v>361</v>
      </c>
      <c r="G576">
        <f>14*0.85*6.9*0.985*2</f>
        <v>161.75670000000002</v>
      </c>
      <c r="I576">
        <f t="shared" si="40"/>
        <v>199.24329999999998</v>
      </c>
      <c r="J576">
        <f t="shared" si="41"/>
        <v>0.5519204986149584</v>
      </c>
    </row>
    <row r="577" spans="1:10">
      <c r="B577" t="s">
        <v>656</v>
      </c>
      <c r="C577" t="s">
        <v>657</v>
      </c>
      <c r="D577" t="s">
        <v>549</v>
      </c>
      <c r="E577">
        <f>348-8-10</f>
        <v>330</v>
      </c>
      <c r="G577">
        <f>14*0.85*6.9*0.985*2</f>
        <v>161.75670000000002</v>
      </c>
      <c r="I577">
        <f t="shared" si="40"/>
        <v>168.24329999999998</v>
      </c>
      <c r="J577">
        <f t="shared" si="41"/>
        <v>0.50982818181818179</v>
      </c>
    </row>
    <row r="578" spans="1:10">
      <c r="B578" t="s">
        <v>245</v>
      </c>
      <c r="C578" t="s">
        <v>30</v>
      </c>
      <c r="D578" t="s">
        <v>658</v>
      </c>
      <c r="E578">
        <f>170*7+15+172+172</f>
        <v>1549</v>
      </c>
      <c r="G578">
        <f>155*9+15</f>
        <v>1410</v>
      </c>
      <c r="I578">
        <f t="shared" si="40"/>
        <v>139</v>
      </c>
      <c r="J578">
        <f t="shared" si="41"/>
        <v>8.9735313105229184E-2</v>
      </c>
    </row>
    <row r="579" spans="1:10">
      <c r="J579" t="e">
        <f t="shared" si="41"/>
        <v>#DIV/0!</v>
      </c>
    </row>
    <row r="580" spans="1:10">
      <c r="A580" s="9">
        <v>43587</v>
      </c>
      <c r="D580" t="s">
        <v>659</v>
      </c>
      <c r="E580">
        <f>50*12</f>
        <v>600</v>
      </c>
      <c r="G580">
        <f>45*12</f>
        <v>540</v>
      </c>
      <c r="I580">
        <f>E580-G580+H580</f>
        <v>60</v>
      </c>
      <c r="J580">
        <f t="shared" si="41"/>
        <v>0.1</v>
      </c>
    </row>
    <row r="581" spans="1:10">
      <c r="D581" t="s">
        <v>660</v>
      </c>
      <c r="E581">
        <v>899</v>
      </c>
      <c r="G581">
        <v>675</v>
      </c>
      <c r="I581">
        <f>E581-G581+H581</f>
        <v>224</v>
      </c>
      <c r="J581">
        <f t="shared" si="41"/>
        <v>0.24916573971078976</v>
      </c>
    </row>
    <row r="582" spans="1:10">
      <c r="J582" t="e">
        <f t="shared" si="41"/>
        <v>#DIV/0!</v>
      </c>
    </row>
    <row r="583" spans="1:10">
      <c r="A583" s="9">
        <v>43588</v>
      </c>
      <c r="B583" t="s">
        <v>245</v>
      </c>
      <c r="C583" t="s">
        <v>30</v>
      </c>
      <c r="D583" t="s">
        <v>324</v>
      </c>
      <c r="E583">
        <f>255+255+255</f>
        <v>765</v>
      </c>
      <c r="G583">
        <f>225+225+14+215</f>
        <v>679</v>
      </c>
      <c r="I583">
        <f t="shared" ref="I583:I591" si="42">E583-G583+H583</f>
        <v>86</v>
      </c>
      <c r="J583">
        <f t="shared" si="41"/>
        <v>0.11241830065359477</v>
      </c>
    </row>
    <row r="584" spans="1:10">
      <c r="I584">
        <f t="shared" si="42"/>
        <v>0</v>
      </c>
      <c r="J584" t="e">
        <f t="shared" si="41"/>
        <v>#DIV/0!</v>
      </c>
    </row>
    <row r="585" spans="1:10">
      <c r="A585" s="15">
        <v>43590</v>
      </c>
      <c r="B585" t="s">
        <v>661</v>
      </c>
      <c r="C585" t="s">
        <v>15</v>
      </c>
      <c r="D585" t="s">
        <v>593</v>
      </c>
      <c r="E585">
        <v>950</v>
      </c>
      <c r="F585">
        <v>85</v>
      </c>
      <c r="G585">
        <f>F585*6.82</f>
        <v>579.70000000000005</v>
      </c>
      <c r="I585">
        <f t="shared" si="42"/>
        <v>370.29999999999995</v>
      </c>
      <c r="J585">
        <f t="shared" si="41"/>
        <v>0.38978947368421046</v>
      </c>
    </row>
    <row r="586" spans="1:10">
      <c r="B586" t="s">
        <v>662</v>
      </c>
      <c r="D586" t="s">
        <v>663</v>
      </c>
      <c r="E586">
        <v>1200</v>
      </c>
      <c r="G586">
        <v>1110</v>
      </c>
      <c r="I586">
        <f t="shared" si="42"/>
        <v>90</v>
      </c>
      <c r="J586">
        <f t="shared" si="41"/>
        <v>7.4999999999999997E-2</v>
      </c>
    </row>
    <row r="587" spans="1:10">
      <c r="B587" t="s">
        <v>322</v>
      </c>
      <c r="D587" t="s">
        <v>664</v>
      </c>
      <c r="E587">
        <v>1800</v>
      </c>
      <c r="G587">
        <v>1450</v>
      </c>
      <c r="I587">
        <f t="shared" si="42"/>
        <v>350</v>
      </c>
      <c r="J587">
        <f t="shared" si="41"/>
        <v>0.19444444444444445</v>
      </c>
    </row>
    <row r="588" spans="1:10">
      <c r="D588" t="s">
        <v>509</v>
      </c>
      <c r="E588">
        <v>810</v>
      </c>
      <c r="G588">
        <f>770+8</f>
        <v>778</v>
      </c>
      <c r="I588">
        <f t="shared" si="42"/>
        <v>32</v>
      </c>
      <c r="J588">
        <f t="shared" si="41"/>
        <v>3.9506172839506172E-2</v>
      </c>
    </row>
    <row r="589" spans="1:10">
      <c r="B589" t="s">
        <v>255</v>
      </c>
      <c r="C589" t="s">
        <v>30</v>
      </c>
      <c r="D589" t="s">
        <v>665</v>
      </c>
      <c r="E589">
        <v>285</v>
      </c>
      <c r="G589">
        <v>255</v>
      </c>
      <c r="I589">
        <f t="shared" si="42"/>
        <v>30</v>
      </c>
      <c r="J589">
        <f t="shared" si="41"/>
        <v>0.10526315789473684</v>
      </c>
    </row>
    <row r="590" spans="1:10">
      <c r="D590" t="s">
        <v>666</v>
      </c>
      <c r="F590">
        <v>120</v>
      </c>
      <c r="G590">
        <f>F590*6.8</f>
        <v>816</v>
      </c>
      <c r="I590">
        <f t="shared" si="42"/>
        <v>-816</v>
      </c>
    </row>
    <row r="591" spans="1:10">
      <c r="D591" t="s">
        <v>667</v>
      </c>
      <c r="F591">
        <f>50</f>
        <v>50</v>
      </c>
      <c r="G591">
        <f>F591*6.8+70</f>
        <v>410</v>
      </c>
      <c r="I591">
        <f t="shared" si="42"/>
        <v>-410</v>
      </c>
      <c r="J591" t="e">
        <f t="shared" ref="J591:J601" si="43">I591/E591</f>
        <v>#DIV/0!</v>
      </c>
    </row>
    <row r="592" spans="1:10">
      <c r="J592" t="e">
        <f t="shared" si="43"/>
        <v>#DIV/0!</v>
      </c>
    </row>
    <row r="593" spans="1:10">
      <c r="J593" t="e">
        <f t="shared" si="43"/>
        <v>#DIV/0!</v>
      </c>
    </row>
    <row r="594" spans="1:10">
      <c r="A594" s="15">
        <v>43591</v>
      </c>
      <c r="B594" t="s">
        <v>30</v>
      </c>
      <c r="D594" t="s">
        <v>410</v>
      </c>
      <c r="E594">
        <v>320</v>
      </c>
      <c r="F594">
        <f>27.99*1.09+1</f>
        <v>31.5091</v>
      </c>
      <c r="G594">
        <f>F594*6.75</f>
        <v>212.68642500000001</v>
      </c>
      <c r="I594">
        <f>E594-G594</f>
        <v>107.31357499999999</v>
      </c>
      <c r="J594">
        <f t="shared" si="43"/>
        <v>0.33535492187499993</v>
      </c>
    </row>
    <row r="595" spans="1:10">
      <c r="B595" t="s">
        <v>668</v>
      </c>
      <c r="C595" t="s">
        <v>15</v>
      </c>
      <c r="D595" t="s">
        <v>669</v>
      </c>
      <c r="E595">
        <v>300</v>
      </c>
      <c r="G595">
        <v>180</v>
      </c>
      <c r="I595">
        <f>E595-G595+H595</f>
        <v>120</v>
      </c>
      <c r="J595">
        <f t="shared" si="43"/>
        <v>0.4</v>
      </c>
    </row>
    <row r="596" spans="1:10">
      <c r="D596" t="s">
        <v>670</v>
      </c>
      <c r="E596">
        <f>200*0.95</f>
        <v>190</v>
      </c>
      <c r="G596">
        <f>200*0.955</f>
        <v>191</v>
      </c>
      <c r="H596">
        <f>E596*0.03</f>
        <v>5.7</v>
      </c>
      <c r="I596">
        <f>(E596-G596+H596)*6.7</f>
        <v>31.490000000000002</v>
      </c>
      <c r="J596">
        <f t="shared" si="43"/>
        <v>0.16573684210526315</v>
      </c>
    </row>
    <row r="597" spans="1:10">
      <c r="I597">
        <f>(E597-G597+H597)*6.7</f>
        <v>0</v>
      </c>
      <c r="J597" t="e">
        <f t="shared" si="43"/>
        <v>#DIV/0!</v>
      </c>
    </row>
    <row r="598" spans="1:10">
      <c r="A598" s="15">
        <v>43592</v>
      </c>
      <c r="B598" t="s">
        <v>461</v>
      </c>
      <c r="D598" t="s">
        <v>462</v>
      </c>
      <c r="E598">
        <v>398</v>
      </c>
      <c r="G598">
        <v>231</v>
      </c>
      <c r="I598">
        <f>(E598-G598+H598)*6.7</f>
        <v>1118.9000000000001</v>
      </c>
      <c r="J598">
        <f t="shared" si="43"/>
        <v>2.8113065326633166</v>
      </c>
    </row>
    <row r="599" spans="1:10">
      <c r="B599" t="s">
        <v>232</v>
      </c>
      <c r="D599" s="2" t="s">
        <v>395</v>
      </c>
      <c r="E599" s="2">
        <v>435</v>
      </c>
      <c r="F599" s="2"/>
      <c r="G599" s="2">
        <v>265</v>
      </c>
      <c r="H599" s="2"/>
      <c r="I599" s="2">
        <f>E599-G599</f>
        <v>170</v>
      </c>
      <c r="J599">
        <f t="shared" si="43"/>
        <v>0.39080459770114945</v>
      </c>
    </row>
    <row r="600" spans="1:10">
      <c r="B600" t="s">
        <v>671</v>
      </c>
      <c r="D600" t="s">
        <v>672</v>
      </c>
      <c r="E600">
        <v>230</v>
      </c>
      <c r="G600">
        <v>190</v>
      </c>
      <c r="I600" s="2">
        <f>E600-G600</f>
        <v>40</v>
      </c>
      <c r="J600">
        <f t="shared" si="43"/>
        <v>0.17391304347826086</v>
      </c>
    </row>
    <row r="601" spans="1:10">
      <c r="B601" t="s">
        <v>671</v>
      </c>
      <c r="D601" t="s">
        <v>673</v>
      </c>
      <c r="E601">
        <v>135</v>
      </c>
      <c r="G601">
        <f>90+8</f>
        <v>98</v>
      </c>
      <c r="I601" s="2">
        <f>E601-G601</f>
        <v>37</v>
      </c>
      <c r="J601">
        <f t="shared" si="43"/>
        <v>0.27407407407407408</v>
      </c>
    </row>
    <row r="603" spans="1:10">
      <c r="A603" s="15">
        <v>43593</v>
      </c>
      <c r="B603" t="s">
        <v>554</v>
      </c>
      <c r="D603" t="s">
        <v>507</v>
      </c>
      <c r="E603">
        <v>299</v>
      </c>
      <c r="G603">
        <v>175</v>
      </c>
      <c r="I603" s="2">
        <f>E603-G603</f>
        <v>124</v>
      </c>
      <c r="J603">
        <f>I603/E603</f>
        <v>0.41471571906354515</v>
      </c>
    </row>
    <row r="604" spans="1:10">
      <c r="B604" t="s">
        <v>107</v>
      </c>
      <c r="D604" t="s">
        <v>674</v>
      </c>
      <c r="E604">
        <f>891*7</f>
        <v>6237</v>
      </c>
      <c r="F604">
        <f>111.75+174.3+238.8+398</f>
        <v>922.85</v>
      </c>
      <c r="G604">
        <f>F604*6.8</f>
        <v>6275.38</v>
      </c>
      <c r="H604">
        <f>(G604*0.0125+59.7+35.82+16.76+26.15)*6.8</f>
        <v>1474.7312999999999</v>
      </c>
      <c r="I604" s="2">
        <f>E604-G604+H604</f>
        <v>1436.3512999999998</v>
      </c>
      <c r="J604">
        <f>I604/E604</f>
        <v>0.23029522206188871</v>
      </c>
    </row>
    <row r="605" spans="1:10">
      <c r="B605" t="s">
        <v>107</v>
      </c>
      <c r="D605" t="s">
        <v>675</v>
      </c>
      <c r="E605">
        <v>1000</v>
      </c>
      <c r="I605" s="2">
        <f>E605-G605+H605</f>
        <v>1000</v>
      </c>
      <c r="J605">
        <f>I605/E605</f>
        <v>1</v>
      </c>
    </row>
    <row r="606" spans="1:10">
      <c r="B606" t="s">
        <v>278</v>
      </c>
      <c r="D606" t="s">
        <v>523</v>
      </c>
      <c r="E606">
        <f>90*2</f>
        <v>180</v>
      </c>
      <c r="G606">
        <f>55*2+8</f>
        <v>118</v>
      </c>
      <c r="I606" s="2">
        <f>E606-G606+H606</f>
        <v>62</v>
      </c>
      <c r="J606">
        <f>I606/E606</f>
        <v>0.34444444444444444</v>
      </c>
    </row>
    <row r="607" spans="1:10">
      <c r="D607" t="s">
        <v>676</v>
      </c>
      <c r="E607">
        <v>330</v>
      </c>
      <c r="G607">
        <v>290</v>
      </c>
      <c r="I607" s="2">
        <f>E607-G607+H607</f>
        <v>40</v>
      </c>
      <c r="J607">
        <f>I607/E607</f>
        <v>0.12121212121212122</v>
      </c>
    </row>
    <row r="608" spans="1:10">
      <c r="A608" s="15">
        <v>43594</v>
      </c>
      <c r="B608" t="s">
        <v>89</v>
      </c>
      <c r="D608" t="s">
        <v>677</v>
      </c>
      <c r="E608">
        <v>1050</v>
      </c>
      <c r="G608">
        <v>800</v>
      </c>
      <c r="I608" s="2">
        <f t="shared" ref="I608:I616" si="44">E608-G608</f>
        <v>250</v>
      </c>
      <c r="J608">
        <f t="shared" ref="J608:J616" si="45">I608/E608</f>
        <v>0.23809523809523808</v>
      </c>
    </row>
    <row r="609" spans="1:11">
      <c r="B609" t="s">
        <v>89</v>
      </c>
      <c r="D609" t="s">
        <v>678</v>
      </c>
      <c r="E609">
        <v>899</v>
      </c>
      <c r="F609">
        <f>150</f>
        <v>150</v>
      </c>
      <c r="G609">
        <f>F609*0.8*6.8</f>
        <v>816</v>
      </c>
      <c r="I609" s="2">
        <f t="shared" si="44"/>
        <v>83</v>
      </c>
      <c r="J609">
        <f t="shared" si="45"/>
        <v>9.2324805339265847E-2</v>
      </c>
    </row>
    <row r="610" spans="1:11">
      <c r="B610" t="s">
        <v>679</v>
      </c>
      <c r="C610" t="s">
        <v>15</v>
      </c>
      <c r="D610" t="s">
        <v>168</v>
      </c>
      <c r="E610">
        <f>279*2</f>
        <v>558</v>
      </c>
      <c r="G610">
        <f>155*2</f>
        <v>310</v>
      </c>
      <c r="I610" s="2">
        <f t="shared" si="44"/>
        <v>248</v>
      </c>
      <c r="J610">
        <f t="shared" si="45"/>
        <v>0.44444444444444442</v>
      </c>
    </row>
    <row r="611" spans="1:11">
      <c r="B611" t="s">
        <v>680</v>
      </c>
      <c r="D611" t="s">
        <v>681</v>
      </c>
      <c r="E611">
        <v>226</v>
      </c>
      <c r="F611">
        <f>22</f>
        <v>22</v>
      </c>
      <c r="G611">
        <f>F611*6.8</f>
        <v>149.6</v>
      </c>
      <c r="I611" s="2">
        <f t="shared" si="44"/>
        <v>76.400000000000006</v>
      </c>
      <c r="J611">
        <f t="shared" si="45"/>
        <v>0.33805309734513278</v>
      </c>
    </row>
    <row r="612" spans="1:11">
      <c r="D612" t="s">
        <v>682</v>
      </c>
      <c r="E612">
        <v>810</v>
      </c>
      <c r="G612">
        <f>775+8</f>
        <v>783</v>
      </c>
      <c r="I612" s="2">
        <f t="shared" si="44"/>
        <v>27</v>
      </c>
      <c r="J612">
        <f t="shared" si="45"/>
        <v>3.3333333333333333E-2</v>
      </c>
    </row>
    <row r="613" spans="1:11">
      <c r="A613" s="15">
        <v>43595</v>
      </c>
      <c r="B613" t="s">
        <v>683</v>
      </c>
      <c r="D613" t="s">
        <v>684</v>
      </c>
      <c r="E613">
        <v>360</v>
      </c>
      <c r="G613">
        <f>109*2+10</f>
        <v>228</v>
      </c>
      <c r="I613" s="2">
        <f t="shared" si="44"/>
        <v>132</v>
      </c>
      <c r="J613">
        <f t="shared" si="45"/>
        <v>0.36666666666666664</v>
      </c>
    </row>
    <row r="614" spans="1:11">
      <c r="A614" s="15">
        <v>43596</v>
      </c>
      <c r="B614" t="s">
        <v>68</v>
      </c>
      <c r="C614" t="s">
        <v>37</v>
      </c>
      <c r="D614" t="s">
        <v>685</v>
      </c>
      <c r="E614">
        <v>329</v>
      </c>
      <c r="G614">
        <v>0</v>
      </c>
      <c r="I614" s="2">
        <f t="shared" si="44"/>
        <v>329</v>
      </c>
      <c r="J614">
        <f t="shared" si="45"/>
        <v>1</v>
      </c>
    </row>
    <row r="615" spans="1:11">
      <c r="D615" t="s">
        <v>686</v>
      </c>
      <c r="E615">
        <v>70</v>
      </c>
      <c r="G615">
        <v>10</v>
      </c>
      <c r="I615" s="2">
        <f t="shared" si="44"/>
        <v>60</v>
      </c>
      <c r="J615">
        <f t="shared" si="45"/>
        <v>0.8571428571428571</v>
      </c>
    </row>
    <row r="616" spans="1:11">
      <c r="A616" s="15">
        <v>43597</v>
      </c>
      <c r="B616" t="s">
        <v>71</v>
      </c>
      <c r="D616" t="s">
        <v>687</v>
      </c>
      <c r="E616">
        <v>675</v>
      </c>
      <c r="G616">
        <f>385+42+70</f>
        <v>497</v>
      </c>
      <c r="I616" s="2">
        <f t="shared" si="44"/>
        <v>178</v>
      </c>
      <c r="J616">
        <f t="shared" si="45"/>
        <v>0.26370370370370372</v>
      </c>
    </row>
    <row r="617" spans="1:11">
      <c r="I617" s="2">
        <f>E617-G617</f>
        <v>0</v>
      </c>
      <c r="J617" t="e">
        <f>I617/E617</f>
        <v>#DIV/0!</v>
      </c>
    </row>
    <row r="618" spans="1:11">
      <c r="A618" s="15">
        <v>43598</v>
      </c>
      <c r="C618" t="s">
        <v>15</v>
      </c>
      <c r="D618" t="s">
        <v>688</v>
      </c>
      <c r="I618" s="2">
        <f>E618-G618</f>
        <v>0</v>
      </c>
      <c r="J618" t="e">
        <f>I618/E618</f>
        <v>#DIV/0!</v>
      </c>
    </row>
    <row r="619" spans="1:11">
      <c r="C619" t="s">
        <v>689</v>
      </c>
      <c r="D619" t="s">
        <v>688</v>
      </c>
      <c r="I619" s="2">
        <f>E619-G619</f>
        <v>0</v>
      </c>
      <c r="J619" t="e">
        <f>I619/E619</f>
        <v>#DIV/0!</v>
      </c>
    </row>
    <row r="620" spans="1:11">
      <c r="D620" t="s">
        <v>690</v>
      </c>
      <c r="E620">
        <f>395+10</f>
        <v>405</v>
      </c>
      <c r="G620">
        <v>373</v>
      </c>
      <c r="I620" s="2">
        <f>E620-G620</f>
        <v>32</v>
      </c>
      <c r="J620">
        <f>I620/E620</f>
        <v>7.9012345679012344E-2</v>
      </c>
    </row>
    <row r="622" spans="1:11">
      <c r="A622" s="15">
        <v>43599</v>
      </c>
      <c r="B622" s="2" t="s">
        <v>691</v>
      </c>
      <c r="C622" s="2" t="s">
        <v>30</v>
      </c>
      <c r="D622" s="2" t="s">
        <v>692</v>
      </c>
      <c r="E622" s="2">
        <v>2240</v>
      </c>
      <c r="F622" s="2">
        <f>270*(2000/2450)</f>
        <v>220.40816326530611</v>
      </c>
      <c r="G622" s="2">
        <f>F622*6.8</f>
        <v>1498.7755102040815</v>
      </c>
      <c r="H622" s="2"/>
      <c r="I622" s="2">
        <f>E622-G622</f>
        <v>741.22448979591854</v>
      </c>
      <c r="J622" s="2">
        <f>I622/E622</f>
        <v>0.33090379008746362</v>
      </c>
    </row>
    <row r="623" spans="1:11">
      <c r="B623" s="2" t="s">
        <v>399</v>
      </c>
      <c r="C623" s="2" t="s">
        <v>30</v>
      </c>
      <c r="D623" s="2" t="s">
        <v>693</v>
      </c>
      <c r="E623" s="2">
        <f>183-8</f>
        <v>175</v>
      </c>
      <c r="F623" s="2"/>
      <c r="G623" s="2">
        <v>0</v>
      </c>
      <c r="H623" s="2"/>
      <c r="I623" s="2">
        <f>E623-G623</f>
        <v>175</v>
      </c>
      <c r="J623" s="2">
        <f>I623/E623</f>
        <v>1</v>
      </c>
    </row>
    <row r="624" spans="1:11">
      <c r="B624" s="2" t="s">
        <v>694</v>
      </c>
      <c r="C624" s="2" t="s">
        <v>267</v>
      </c>
      <c r="D624" s="2" t="s">
        <v>695</v>
      </c>
      <c r="E624" s="2">
        <v>510</v>
      </c>
      <c r="F624" s="2"/>
      <c r="G624" s="2">
        <f>344.96+15</f>
        <v>359.96</v>
      </c>
      <c r="H624" s="2"/>
      <c r="I624" s="2">
        <f>E624-G624+H624</f>
        <v>150.04000000000002</v>
      </c>
      <c r="J624" s="2">
        <f>I624/E624</f>
        <v>0.29419607843137258</v>
      </c>
      <c r="K624">
        <f>SUM(I622:I626)</f>
        <v>1145.0644897959185</v>
      </c>
    </row>
    <row r="625" spans="1:11">
      <c r="B625" s="2" t="s">
        <v>107</v>
      </c>
      <c r="C625" s="2"/>
      <c r="D625" s="2" t="s">
        <v>696</v>
      </c>
      <c r="E625" s="2">
        <f>10*6.88</f>
        <v>68.8</v>
      </c>
      <c r="F625" s="2"/>
      <c r="G625" s="2"/>
      <c r="H625" s="2"/>
      <c r="I625" s="2">
        <f>E625-G625+H625</f>
        <v>68.8</v>
      </c>
      <c r="J625" s="2">
        <f>I625/E625</f>
        <v>1</v>
      </c>
    </row>
    <row r="626" spans="1:11">
      <c r="B626" s="2"/>
      <c r="C626" s="2" t="s">
        <v>30</v>
      </c>
      <c r="D626" s="2" t="s">
        <v>356</v>
      </c>
      <c r="E626" s="2">
        <v>410</v>
      </c>
      <c r="F626" s="2"/>
      <c r="G626" s="2">
        <f>195*2+10</f>
        <v>400</v>
      </c>
      <c r="H626" s="2"/>
      <c r="I626" s="2">
        <f>E626-G626+H626</f>
        <v>10</v>
      </c>
      <c r="J626" s="2">
        <f>I626/E626</f>
        <v>2.4390243902439025E-2</v>
      </c>
    </row>
    <row r="627" spans="1:11">
      <c r="B627" s="2"/>
      <c r="C627" s="2"/>
      <c r="D627" s="2"/>
      <c r="E627" s="2"/>
      <c r="F627" s="2"/>
      <c r="G627" s="2"/>
      <c r="H627" s="2"/>
      <c r="I627" s="2"/>
      <c r="J627" s="2"/>
    </row>
    <row r="628" spans="1:11">
      <c r="A628" s="15">
        <v>43600</v>
      </c>
      <c r="B628" s="2" t="s">
        <v>322</v>
      </c>
      <c r="C628" s="2"/>
      <c r="D628" s="2" t="s">
        <v>697</v>
      </c>
      <c r="E628" s="2">
        <v>2059</v>
      </c>
      <c r="F628" s="2">
        <v>206.1</v>
      </c>
      <c r="G628" s="2">
        <f>F628*6.88</f>
        <v>1417.9679999999998</v>
      </c>
      <c r="H628" s="2">
        <f>F628*0.1025*6.88</f>
        <v>145.34171999999998</v>
      </c>
      <c r="I628" s="2">
        <f t="shared" ref="I628:I649" si="46">E628-G628+H628</f>
        <v>786.37372000000016</v>
      </c>
      <c r="J628" s="2">
        <f t="shared" ref="J628:J649" si="47">I628/E628</f>
        <v>0.38192021369596901</v>
      </c>
    </row>
    <row r="629" spans="1:11">
      <c r="B629" s="2" t="s">
        <v>698</v>
      </c>
      <c r="C629" s="2" t="s">
        <v>30</v>
      </c>
      <c r="D629" s="2" t="s">
        <v>699</v>
      </c>
      <c r="E629" s="2">
        <v>240</v>
      </c>
      <c r="F629" s="2"/>
      <c r="G629" s="2">
        <v>175</v>
      </c>
      <c r="H629" s="2"/>
      <c r="I629" s="2">
        <f t="shared" si="46"/>
        <v>65</v>
      </c>
      <c r="J629" s="2">
        <f t="shared" si="47"/>
        <v>0.27083333333333331</v>
      </c>
    </row>
    <row r="630" spans="1:11">
      <c r="B630" s="2" t="s">
        <v>39</v>
      </c>
      <c r="C630" s="2" t="s">
        <v>30</v>
      </c>
      <c r="D630" s="2" t="s">
        <v>700</v>
      </c>
      <c r="E630" s="2">
        <v>2290</v>
      </c>
      <c r="F630" s="2"/>
      <c r="G630" s="2">
        <v>2000</v>
      </c>
      <c r="H630" s="2"/>
      <c r="I630" s="2">
        <f>E630-G630+H630</f>
        <v>290</v>
      </c>
      <c r="J630" s="2">
        <f t="shared" si="47"/>
        <v>0.12663755458515283</v>
      </c>
    </row>
    <row r="631" spans="1:11">
      <c r="B631" s="2" t="s">
        <v>39</v>
      </c>
      <c r="C631" s="2" t="s">
        <v>30</v>
      </c>
      <c r="D631" s="2" t="s">
        <v>701</v>
      </c>
      <c r="E631" s="2">
        <v>745</v>
      </c>
      <c r="F631" s="2"/>
      <c r="G631" s="2">
        <v>679</v>
      </c>
      <c r="H631" s="2"/>
      <c r="I631" s="2">
        <f t="shared" si="46"/>
        <v>66</v>
      </c>
      <c r="J631" s="2">
        <f t="shared" si="47"/>
        <v>8.859060402684564E-2</v>
      </c>
    </row>
    <row r="632" spans="1:11">
      <c r="B632" s="2" t="s">
        <v>111</v>
      </c>
      <c r="C632" s="2" t="s">
        <v>30</v>
      </c>
      <c r="D632" s="2" t="s">
        <v>702</v>
      </c>
      <c r="E632" s="2">
        <v>155</v>
      </c>
      <c r="F632" s="2"/>
      <c r="G632" s="2">
        <v>0</v>
      </c>
      <c r="H632" s="2"/>
      <c r="I632" s="2">
        <v>155</v>
      </c>
      <c r="J632" s="2">
        <f t="shared" si="47"/>
        <v>1</v>
      </c>
    </row>
    <row r="633" spans="1:11">
      <c r="B633" s="2" t="s">
        <v>111</v>
      </c>
      <c r="C633" s="2" t="s">
        <v>30</v>
      </c>
      <c r="D633" s="2" t="s">
        <v>703</v>
      </c>
      <c r="E633" s="2">
        <v>118</v>
      </c>
      <c r="F633" s="2"/>
      <c r="G633" s="2">
        <v>99</v>
      </c>
      <c r="H633" s="2"/>
      <c r="I633" s="2">
        <f t="shared" si="46"/>
        <v>19</v>
      </c>
      <c r="J633" s="2">
        <f t="shared" si="47"/>
        <v>0.16101694915254236</v>
      </c>
      <c r="K633">
        <f>SUM(I628:I638)</f>
        <v>1742.7337199999999</v>
      </c>
    </row>
    <row r="634" spans="1:11">
      <c r="B634" s="2" t="s">
        <v>255</v>
      </c>
      <c r="C634" s="2" t="s">
        <v>30</v>
      </c>
      <c r="D634" s="2" t="s">
        <v>704</v>
      </c>
      <c r="E634" s="2">
        <v>115</v>
      </c>
      <c r="F634" s="2"/>
      <c r="G634" s="2">
        <v>99</v>
      </c>
      <c r="H634" s="2"/>
      <c r="I634" s="2">
        <f t="shared" si="46"/>
        <v>16</v>
      </c>
      <c r="J634" s="2">
        <f t="shared" si="47"/>
        <v>0.1391304347826087</v>
      </c>
    </row>
    <row r="635" spans="1:11">
      <c r="B635" s="2" t="s">
        <v>255</v>
      </c>
      <c r="C635" s="2" t="s">
        <v>30</v>
      </c>
      <c r="D635" s="2" t="s">
        <v>705</v>
      </c>
      <c r="E635" s="2">
        <v>442</v>
      </c>
      <c r="F635" s="2">
        <v>19</v>
      </c>
      <c r="G635" s="2">
        <f>F635*2*6.88</f>
        <v>261.44</v>
      </c>
      <c r="H635" s="2"/>
      <c r="I635" s="2">
        <f t="shared" si="46"/>
        <v>180.56</v>
      </c>
      <c r="J635" s="2">
        <f t="shared" si="47"/>
        <v>0.40850678733031676</v>
      </c>
    </row>
    <row r="636" spans="1:11">
      <c r="B636" s="2" t="s">
        <v>439</v>
      </c>
      <c r="C636" s="2"/>
      <c r="D636" s="2" t="s">
        <v>288</v>
      </c>
      <c r="E636" s="2">
        <v>385</v>
      </c>
      <c r="F636" s="2">
        <v>60</v>
      </c>
      <c r="G636" s="2">
        <f>F636*0.8*6.88</f>
        <v>330.24</v>
      </c>
      <c r="H636" s="2"/>
      <c r="I636" s="2">
        <f t="shared" si="46"/>
        <v>54.759999999999991</v>
      </c>
      <c r="J636" s="2">
        <f t="shared" si="47"/>
        <v>0.14223376623376621</v>
      </c>
    </row>
    <row r="637" spans="1:11">
      <c r="B637" s="2" t="s">
        <v>706</v>
      </c>
      <c r="C637" s="2"/>
      <c r="D637" s="2" t="s">
        <v>707</v>
      </c>
      <c r="E637" s="2">
        <v>265</v>
      </c>
      <c r="F637" s="2"/>
      <c r="G637" s="2">
        <v>210</v>
      </c>
      <c r="H637" s="2"/>
      <c r="I637" s="2">
        <f t="shared" si="46"/>
        <v>55</v>
      </c>
      <c r="J637" s="2">
        <f t="shared" si="47"/>
        <v>0.20754716981132076</v>
      </c>
    </row>
    <row r="638" spans="1:11">
      <c r="B638" s="2" t="s">
        <v>255</v>
      </c>
      <c r="C638" s="2" t="s">
        <v>30</v>
      </c>
      <c r="D638" s="2" t="s">
        <v>708</v>
      </c>
      <c r="E638" s="2">
        <v>410</v>
      </c>
      <c r="F638" s="2"/>
      <c r="G638" s="2">
        <f>344.96+10</f>
        <v>354.96</v>
      </c>
      <c r="H638" s="2"/>
      <c r="I638" s="2">
        <f t="shared" si="46"/>
        <v>55.04000000000002</v>
      </c>
      <c r="J638" s="2">
        <f t="shared" si="47"/>
        <v>0.13424390243902445</v>
      </c>
    </row>
    <row r="639" spans="1:11">
      <c r="B639" s="2" t="s">
        <v>267</v>
      </c>
      <c r="C639" s="2" t="s">
        <v>37</v>
      </c>
      <c r="D639" s="2" t="s">
        <v>166</v>
      </c>
      <c r="E639" s="2">
        <v>300</v>
      </c>
      <c r="F639" s="2">
        <v>26</v>
      </c>
      <c r="G639" s="2">
        <f>F639*6.88</f>
        <v>178.88</v>
      </c>
      <c r="H639" s="2"/>
      <c r="I639" s="2">
        <f t="shared" si="46"/>
        <v>121.12</v>
      </c>
      <c r="J639" s="2">
        <f t="shared" si="47"/>
        <v>0.40373333333333333</v>
      </c>
    </row>
    <row r="640" spans="1:11">
      <c r="B640" s="2" t="s">
        <v>85</v>
      </c>
      <c r="C640" s="2" t="s">
        <v>37</v>
      </c>
      <c r="D640" s="2" t="s">
        <v>709</v>
      </c>
      <c r="E640" s="2">
        <v>137</v>
      </c>
      <c r="F640" s="2"/>
      <c r="G640" s="2">
        <f>95+8</f>
        <v>103</v>
      </c>
      <c r="H640" s="2"/>
      <c r="I640" s="2">
        <f t="shared" si="46"/>
        <v>34</v>
      </c>
      <c r="J640" s="2">
        <f t="shared" si="47"/>
        <v>0.24817518248175183</v>
      </c>
    </row>
    <row r="641" spans="1:11">
      <c r="B641" s="2" t="s">
        <v>255</v>
      </c>
      <c r="C641" s="2" t="s">
        <v>30</v>
      </c>
      <c r="D641" s="2" t="s">
        <v>710</v>
      </c>
      <c r="E641" s="2">
        <f>255*2</f>
        <v>510</v>
      </c>
      <c r="F641" s="2">
        <v>29</v>
      </c>
      <c r="G641" s="2">
        <f>(F641*0.8*6.8+10)*2</f>
        <v>335.52000000000004</v>
      </c>
      <c r="H641" s="2"/>
      <c r="I641" s="2">
        <f t="shared" si="46"/>
        <v>174.47999999999996</v>
      </c>
      <c r="J641" s="2">
        <f t="shared" si="47"/>
        <v>0.34211764705882347</v>
      </c>
    </row>
    <row r="642" spans="1:11">
      <c r="B642" s="2"/>
      <c r="C642" s="2"/>
      <c r="D642" s="2"/>
      <c r="E642" s="2"/>
      <c r="F642" s="2"/>
      <c r="G642" s="2"/>
      <c r="H642" s="2"/>
      <c r="I642" s="2">
        <f t="shared" si="46"/>
        <v>0</v>
      </c>
      <c r="J642" s="2" t="e">
        <f t="shared" si="47"/>
        <v>#DIV/0!</v>
      </c>
    </row>
    <row r="643" spans="1:11">
      <c r="A643" s="15">
        <v>43601</v>
      </c>
      <c r="B643" s="2" t="s">
        <v>267</v>
      </c>
      <c r="C643" s="2" t="s">
        <v>37</v>
      </c>
      <c r="D643" s="2" t="s">
        <v>155</v>
      </c>
      <c r="E643" s="2">
        <v>230</v>
      </c>
      <c r="F643" s="2"/>
      <c r="G643" s="2">
        <v>200</v>
      </c>
      <c r="H643" s="2"/>
      <c r="I643" s="2">
        <f t="shared" si="46"/>
        <v>30</v>
      </c>
      <c r="J643" s="2">
        <f t="shared" si="47"/>
        <v>0.13043478260869565</v>
      </c>
    </row>
    <row r="644" spans="1:11">
      <c r="B644" s="2" t="s">
        <v>711</v>
      </c>
      <c r="C644" s="2" t="s">
        <v>15</v>
      </c>
      <c r="D644" s="2" t="s">
        <v>572</v>
      </c>
      <c r="E644" s="2">
        <f>199*2</f>
        <v>398</v>
      </c>
      <c r="F644" s="2"/>
      <c r="G644" s="2">
        <f>118*2</f>
        <v>236</v>
      </c>
      <c r="H644" s="2"/>
      <c r="I644" s="2">
        <f t="shared" si="46"/>
        <v>162</v>
      </c>
      <c r="J644" s="2">
        <f t="shared" si="47"/>
        <v>0.40703517587939697</v>
      </c>
    </row>
    <row r="645" spans="1:11">
      <c r="B645" s="2" t="s">
        <v>711</v>
      </c>
      <c r="C645" s="2" t="s">
        <v>15</v>
      </c>
      <c r="D645" s="2" t="s">
        <v>625</v>
      </c>
      <c r="E645" s="2">
        <f>195*4</f>
        <v>780</v>
      </c>
      <c r="F645" s="2"/>
      <c r="G645" s="2">
        <f>159*4</f>
        <v>636</v>
      </c>
      <c r="H645" s="2"/>
      <c r="I645" s="2">
        <f t="shared" si="46"/>
        <v>144</v>
      </c>
      <c r="J645" s="2">
        <f t="shared" si="47"/>
        <v>0.18461538461538463</v>
      </c>
    </row>
    <row r="646" spans="1:11">
      <c r="B646" s="2" t="s">
        <v>711</v>
      </c>
      <c r="C646" s="2" t="s">
        <v>15</v>
      </c>
      <c r="D646" s="2" t="s">
        <v>626</v>
      </c>
      <c r="E646" s="2">
        <f>235*4</f>
        <v>940</v>
      </c>
      <c r="F646" s="2"/>
      <c r="G646" s="2">
        <f>169*4</f>
        <v>676</v>
      </c>
      <c r="H646" s="2"/>
      <c r="I646" s="2">
        <f t="shared" si="46"/>
        <v>264</v>
      </c>
      <c r="J646" s="2">
        <f t="shared" si="47"/>
        <v>0.28085106382978725</v>
      </c>
      <c r="K646">
        <f>SUM(I643:I649)</f>
        <v>849</v>
      </c>
    </row>
    <row r="647" spans="1:11">
      <c r="B647" s="2" t="s">
        <v>255</v>
      </c>
      <c r="C647" s="2" t="s">
        <v>30</v>
      </c>
      <c r="D647" s="2" t="s">
        <v>712</v>
      </c>
      <c r="E647" s="2">
        <v>480</v>
      </c>
      <c r="F647" s="2"/>
      <c r="G647" s="2">
        <v>445</v>
      </c>
      <c r="H647" s="2"/>
      <c r="I647" s="2">
        <f t="shared" si="46"/>
        <v>35</v>
      </c>
      <c r="J647" s="2">
        <f t="shared" si="47"/>
        <v>7.2916666666666671E-2</v>
      </c>
    </row>
    <row r="648" spans="1:11">
      <c r="B648" s="2" t="s">
        <v>713</v>
      </c>
      <c r="C648" s="2"/>
      <c r="D648" s="2" t="s">
        <v>333</v>
      </c>
      <c r="E648" s="2">
        <v>188</v>
      </c>
      <c r="F648" s="2"/>
      <c r="G648" s="2">
        <f>55*2+8</f>
        <v>118</v>
      </c>
      <c r="H648" s="2"/>
      <c r="I648" s="2">
        <f t="shared" si="46"/>
        <v>70</v>
      </c>
      <c r="J648" s="2">
        <f t="shared" si="47"/>
        <v>0.37234042553191488</v>
      </c>
    </row>
    <row r="649" spans="1:11">
      <c r="B649" s="2" t="s">
        <v>89</v>
      </c>
      <c r="C649" s="2"/>
      <c r="D649" s="2" t="s">
        <v>714</v>
      </c>
      <c r="E649" s="2">
        <v>289</v>
      </c>
      <c r="F649" s="2"/>
      <c r="G649" s="2">
        <v>145</v>
      </c>
      <c r="H649" s="2"/>
      <c r="I649" s="2">
        <f t="shared" si="46"/>
        <v>144</v>
      </c>
      <c r="J649" s="2">
        <f t="shared" si="47"/>
        <v>0.4982698961937716</v>
      </c>
    </row>
    <row r="650" spans="1:11">
      <c r="B650" s="2"/>
      <c r="C650" s="2"/>
      <c r="D650" s="2"/>
      <c r="E650" s="2"/>
      <c r="F650" s="2"/>
      <c r="G650" s="2"/>
      <c r="H650" s="2"/>
      <c r="I650" s="2"/>
      <c r="J650" s="2"/>
    </row>
    <row r="651" spans="1:11">
      <c r="A651" s="15">
        <v>43602</v>
      </c>
      <c r="B651" s="2" t="s">
        <v>68</v>
      </c>
      <c r="C651" s="2" t="s">
        <v>37</v>
      </c>
      <c r="D651" s="2" t="s">
        <v>715</v>
      </c>
      <c r="E651" s="2">
        <v>350</v>
      </c>
      <c r="F651" s="2"/>
      <c r="G651" s="2">
        <v>248</v>
      </c>
      <c r="H651" s="2"/>
      <c r="I651" s="2">
        <f t="shared" ref="I651:I669" si="48">E651-G651+H651</f>
        <v>102</v>
      </c>
      <c r="J651" s="2">
        <f t="shared" ref="J651:J669" si="49">I651/E651</f>
        <v>0.29142857142857143</v>
      </c>
    </row>
    <row r="652" spans="1:11">
      <c r="B652" s="2" t="s">
        <v>68</v>
      </c>
      <c r="C652" s="2" t="s">
        <v>37</v>
      </c>
      <c r="D652" s="2" t="s">
        <v>716</v>
      </c>
      <c r="E652" s="2">
        <v>239</v>
      </c>
      <c r="F652" s="2">
        <f>25</f>
        <v>25</v>
      </c>
      <c r="G652" s="2">
        <f>F652*6.88</f>
        <v>172</v>
      </c>
      <c r="H652" s="2"/>
      <c r="I652" s="2">
        <f t="shared" si="48"/>
        <v>67</v>
      </c>
      <c r="J652" s="2">
        <f t="shared" si="49"/>
        <v>0.28033472803347281</v>
      </c>
    </row>
    <row r="653" spans="1:11">
      <c r="B653" s="2"/>
      <c r="C653" s="2"/>
      <c r="D653" s="2"/>
      <c r="E653" s="2"/>
      <c r="F653" s="2"/>
      <c r="G653" s="2"/>
      <c r="H653" s="2"/>
      <c r="I653" s="2"/>
      <c r="J653" s="2"/>
    </row>
    <row r="654" spans="1:11">
      <c r="B654" s="2" t="s">
        <v>85</v>
      </c>
      <c r="C654" s="2" t="s">
        <v>37</v>
      </c>
      <c r="D654" s="2" t="s">
        <v>182</v>
      </c>
      <c r="E654" s="2">
        <v>179</v>
      </c>
      <c r="F654" s="2"/>
      <c r="G654" s="2">
        <v>148</v>
      </c>
      <c r="H654" s="2"/>
      <c r="I654" s="2">
        <f t="shared" si="48"/>
        <v>31</v>
      </c>
      <c r="J654" s="2">
        <f t="shared" si="49"/>
        <v>0.17318435754189945</v>
      </c>
      <c r="K654">
        <f>SUM(I651:I656)</f>
        <v>532.85</v>
      </c>
    </row>
    <row r="655" spans="1:11">
      <c r="B655" s="2" t="s">
        <v>717</v>
      </c>
      <c r="C655" s="2"/>
      <c r="D655" s="2" t="s">
        <v>718</v>
      </c>
      <c r="E655" s="2">
        <v>899</v>
      </c>
      <c r="F655" s="2"/>
      <c r="G655" s="2">
        <v>598</v>
      </c>
      <c r="H655" s="2"/>
      <c r="I655" s="2">
        <f t="shared" si="48"/>
        <v>301</v>
      </c>
      <c r="J655" s="2">
        <f t="shared" si="49"/>
        <v>0.33481646273637372</v>
      </c>
    </row>
    <row r="656" spans="1:11">
      <c r="B656" s="2" t="s">
        <v>39</v>
      </c>
      <c r="C656" s="2" t="s">
        <v>30</v>
      </c>
      <c r="D656" s="2" t="s">
        <v>719</v>
      </c>
      <c r="E656" s="2">
        <v>125</v>
      </c>
      <c r="F656" s="2">
        <f>18*0.75</f>
        <v>13.5</v>
      </c>
      <c r="G656" s="2">
        <f>F656*6.9</f>
        <v>93.15</v>
      </c>
      <c r="H656" s="2"/>
      <c r="I656" s="2">
        <f t="shared" si="48"/>
        <v>31.849999999999994</v>
      </c>
      <c r="J656" s="2">
        <f t="shared" si="49"/>
        <v>0.25479999999999997</v>
      </c>
    </row>
    <row r="657" spans="1:11">
      <c r="B657" s="2"/>
      <c r="C657" s="2"/>
      <c r="D657" s="2" t="s">
        <v>720</v>
      </c>
      <c r="E657" s="2"/>
      <c r="F657" s="2"/>
      <c r="G657" s="2"/>
      <c r="H657" s="2"/>
      <c r="I657" s="2">
        <f t="shared" si="48"/>
        <v>0</v>
      </c>
      <c r="J657" s="2" t="e">
        <f t="shared" si="49"/>
        <v>#DIV/0!</v>
      </c>
    </row>
    <row r="658" spans="1:11">
      <c r="B658" s="2"/>
      <c r="C658" s="2"/>
      <c r="D658" s="2"/>
      <c r="E658" s="2"/>
      <c r="F658" s="2"/>
      <c r="G658" s="2"/>
      <c r="H658" s="2"/>
      <c r="I658" s="2">
        <f t="shared" si="48"/>
        <v>0</v>
      </c>
      <c r="J658" s="2" t="e">
        <f t="shared" si="49"/>
        <v>#DIV/0!</v>
      </c>
    </row>
    <row r="659" spans="1:11">
      <c r="A659" s="15">
        <v>43603</v>
      </c>
      <c r="B659" s="2" t="s">
        <v>255</v>
      </c>
      <c r="C659" s="2" t="s">
        <v>30</v>
      </c>
      <c r="D659" s="2" t="s">
        <v>721</v>
      </c>
      <c r="E659" s="2">
        <v>210</v>
      </c>
      <c r="F659" s="2"/>
      <c r="G659" s="2">
        <v>179</v>
      </c>
      <c r="H659" s="2"/>
      <c r="I659" s="2">
        <f t="shared" si="48"/>
        <v>31</v>
      </c>
      <c r="J659" s="2">
        <f t="shared" si="49"/>
        <v>0.14761904761904762</v>
      </c>
    </row>
    <row r="660" spans="1:11">
      <c r="B660" s="2" t="s">
        <v>255</v>
      </c>
      <c r="C660" s="2" t="s">
        <v>30</v>
      </c>
      <c r="D660" s="2" t="s">
        <v>722</v>
      </c>
      <c r="E660" s="2">
        <v>590</v>
      </c>
      <c r="F660" s="2">
        <f>157.25</f>
        <v>157.25</v>
      </c>
      <c r="G660" s="2">
        <f>F660/2*6.8</f>
        <v>534.65</v>
      </c>
      <c r="H660" s="2"/>
      <c r="I660" s="2">
        <f t="shared" si="48"/>
        <v>55.350000000000023</v>
      </c>
      <c r="J660" s="2">
        <f t="shared" si="49"/>
        <v>9.3813559322033932E-2</v>
      </c>
    </row>
    <row r="661" spans="1:11">
      <c r="B661" s="2" t="s">
        <v>723</v>
      </c>
      <c r="C661" s="2"/>
      <c r="D661" s="2" t="s">
        <v>724</v>
      </c>
      <c r="E661" s="2">
        <v>220</v>
      </c>
      <c r="F661" s="2"/>
      <c r="G661" s="2">
        <v>125</v>
      </c>
      <c r="H661" s="2"/>
      <c r="I661" s="2">
        <f t="shared" si="48"/>
        <v>95</v>
      </c>
      <c r="J661" s="2">
        <f>I661/E661</f>
        <v>0.43181818181818182</v>
      </c>
      <c r="K661">
        <f>SUM(I659:I664)</f>
        <v>1264.4328166243902</v>
      </c>
    </row>
    <row r="662" spans="1:11">
      <c r="B662" s="2" t="s">
        <v>725</v>
      </c>
      <c r="C662" s="2" t="s">
        <v>30</v>
      </c>
      <c r="D662" s="2" t="s">
        <v>726</v>
      </c>
      <c r="E662" s="2">
        <f>780*3+12</f>
        <v>2352</v>
      </c>
      <c r="F662" s="2">
        <f>90*(540/615)</f>
        <v>79.024390243902445</v>
      </c>
      <c r="G662" s="2">
        <f>F662*6.8*3+10</f>
        <v>1622.0975609756097</v>
      </c>
      <c r="H662" s="2">
        <f>43.2/2*6.8</f>
        <v>146.88</v>
      </c>
      <c r="I662" s="2">
        <f t="shared" si="48"/>
        <v>876.78243902439033</v>
      </c>
      <c r="J662" s="2">
        <f t="shared" si="49"/>
        <v>0.37278164924506391</v>
      </c>
    </row>
    <row r="663" spans="1:11">
      <c r="B663" s="2" t="s">
        <v>727</v>
      </c>
      <c r="C663" s="2" t="s">
        <v>30</v>
      </c>
      <c r="D663" s="2" t="s">
        <v>728</v>
      </c>
      <c r="E663">
        <v>1011</v>
      </c>
      <c r="F663">
        <v>146.08000000000001</v>
      </c>
      <c r="G663">
        <f>F663*6.92</f>
        <v>1010.8736000000001</v>
      </c>
      <c r="H663">
        <f>F663*0.016*6.92</f>
        <v>16.173977600000001</v>
      </c>
      <c r="I663" s="2">
        <f t="shared" si="48"/>
        <v>16.300377599999877</v>
      </c>
      <c r="J663" s="2">
        <f t="shared" si="49"/>
        <v>1.6123024332344093E-2</v>
      </c>
    </row>
    <row r="664" spans="1:11">
      <c r="B664" s="2" t="s">
        <v>711</v>
      </c>
      <c r="C664" s="2" t="s">
        <v>15</v>
      </c>
      <c r="D664" s="2" t="s">
        <v>724</v>
      </c>
      <c r="E664">
        <f>220*2</f>
        <v>440</v>
      </c>
      <c r="G664">
        <f>250</f>
        <v>250</v>
      </c>
      <c r="I664" s="2">
        <f t="shared" si="48"/>
        <v>190</v>
      </c>
      <c r="J664" s="2">
        <f t="shared" si="49"/>
        <v>0.43181818181818182</v>
      </c>
    </row>
    <row r="665" spans="1:11">
      <c r="B665" s="2" t="s">
        <v>39</v>
      </c>
      <c r="C665" s="2" t="s">
        <v>30</v>
      </c>
      <c r="D665" s="2" t="s">
        <v>57</v>
      </c>
      <c r="E665">
        <v>245</v>
      </c>
      <c r="F665">
        <f>38</f>
        <v>38</v>
      </c>
      <c r="G665">
        <f>F665*0.8*6.8</f>
        <v>206.72</v>
      </c>
      <c r="I665" s="2">
        <f t="shared" si="48"/>
        <v>38.28</v>
      </c>
      <c r="J665" s="2">
        <f t="shared" si="49"/>
        <v>0.15624489795918367</v>
      </c>
    </row>
    <row r="666" spans="1:11">
      <c r="I666" s="2">
        <f t="shared" si="48"/>
        <v>0</v>
      </c>
      <c r="J666" s="2" t="e">
        <f t="shared" si="49"/>
        <v>#DIV/0!</v>
      </c>
    </row>
    <row r="667" spans="1:11">
      <c r="I667" s="2">
        <f t="shared" si="48"/>
        <v>0</v>
      </c>
      <c r="J667" s="2" t="e">
        <f t="shared" si="49"/>
        <v>#DIV/0!</v>
      </c>
    </row>
    <row r="668" spans="1:11">
      <c r="A668" s="15">
        <v>43604</v>
      </c>
      <c r="B668" s="2"/>
      <c r="C668" s="2"/>
      <c r="D668" s="2"/>
      <c r="E668" s="2"/>
      <c r="F668" s="2"/>
      <c r="G668" s="2"/>
      <c r="H668" s="2"/>
      <c r="I668" s="2"/>
      <c r="J668" s="2"/>
      <c r="K668">
        <f>SUM(I668:I669)</f>
        <v>615</v>
      </c>
    </row>
    <row r="669" spans="1:11">
      <c r="D669" t="s">
        <v>729</v>
      </c>
      <c r="E669">
        <v>625</v>
      </c>
      <c r="G669">
        <v>10</v>
      </c>
      <c r="I669" s="2">
        <f t="shared" si="48"/>
        <v>615</v>
      </c>
      <c r="J669" s="2">
        <f t="shared" si="49"/>
        <v>0.98399999999999999</v>
      </c>
    </row>
    <row r="671" spans="1:11">
      <c r="A671" s="15">
        <v>43605</v>
      </c>
      <c r="C671" t="s">
        <v>107</v>
      </c>
      <c r="D671" s="2" t="s">
        <v>730</v>
      </c>
      <c r="E671" s="2">
        <f>299*2</f>
        <v>598</v>
      </c>
      <c r="F671" s="2">
        <v>19</v>
      </c>
      <c r="G671" s="2">
        <f>F671*2*6.88+10</f>
        <v>271.44</v>
      </c>
      <c r="H671" s="2"/>
      <c r="I671" s="2">
        <f t="shared" ref="I671:I682" si="50">E671-G671+H671</f>
        <v>326.56</v>
      </c>
      <c r="J671" s="2">
        <f t="shared" ref="J671:J682" si="51">I671/E671</f>
        <v>0.54608695652173911</v>
      </c>
    </row>
    <row r="672" spans="1:11">
      <c r="B672" t="s">
        <v>731</v>
      </c>
      <c r="D672" t="s">
        <v>732</v>
      </c>
      <c r="E672">
        <v>599</v>
      </c>
      <c r="G672">
        <f>398+10</f>
        <v>408</v>
      </c>
      <c r="I672" s="2">
        <f t="shared" si="50"/>
        <v>191</v>
      </c>
      <c r="J672" s="2">
        <f t="shared" si="51"/>
        <v>0.31886477462437396</v>
      </c>
    </row>
    <row r="673" spans="1:11">
      <c r="B673" t="s">
        <v>731</v>
      </c>
      <c r="C673" s="2"/>
      <c r="D673" s="2" t="s">
        <v>733</v>
      </c>
      <c r="E673" s="2">
        <v>650</v>
      </c>
      <c r="F673" s="2"/>
      <c r="G673" s="2">
        <v>460</v>
      </c>
      <c r="H673" s="2"/>
      <c r="I673" s="2">
        <f t="shared" si="50"/>
        <v>190</v>
      </c>
      <c r="J673" s="2">
        <f t="shared" si="51"/>
        <v>0.29230769230769232</v>
      </c>
      <c r="K673" s="2">
        <f>SUM(I671:I676)</f>
        <v>849.87999999999988</v>
      </c>
    </row>
    <row r="674" spans="1:11">
      <c r="B674" t="s">
        <v>245</v>
      </c>
      <c r="D674" t="s">
        <v>734</v>
      </c>
      <c r="E674">
        <f>190*5+10</f>
        <v>960</v>
      </c>
      <c r="G674">
        <f>175*5+8</f>
        <v>883</v>
      </c>
      <c r="I674" s="2">
        <f t="shared" si="50"/>
        <v>77</v>
      </c>
      <c r="J674" s="2">
        <f t="shared" si="51"/>
        <v>8.020833333333334E-2</v>
      </c>
    </row>
    <row r="675" spans="1:11">
      <c r="B675" t="s">
        <v>735</v>
      </c>
      <c r="C675" t="s">
        <v>30</v>
      </c>
      <c r="D675" t="s">
        <v>736</v>
      </c>
      <c r="E675">
        <v>315</v>
      </c>
      <c r="G675">
        <v>290</v>
      </c>
      <c r="I675" s="2">
        <f t="shared" si="50"/>
        <v>25</v>
      </c>
      <c r="J675" s="2">
        <f t="shared" si="51"/>
        <v>7.9365079365079361E-2</v>
      </c>
    </row>
    <row r="676" spans="1:11">
      <c r="B676" t="s">
        <v>16</v>
      </c>
      <c r="D676" t="s">
        <v>737</v>
      </c>
      <c r="E676">
        <v>160</v>
      </c>
      <c r="F676">
        <f>22</f>
        <v>22</v>
      </c>
      <c r="G676">
        <f>F676*0.8*6.8</f>
        <v>119.68</v>
      </c>
      <c r="I676" s="2">
        <f t="shared" si="50"/>
        <v>40.319999999999993</v>
      </c>
      <c r="J676" s="2">
        <f t="shared" si="51"/>
        <v>0.25199999999999995</v>
      </c>
    </row>
    <row r="677" spans="1:11">
      <c r="B677" t="s">
        <v>738</v>
      </c>
      <c r="D677" t="s">
        <v>739</v>
      </c>
      <c r="E677">
        <v>199</v>
      </c>
      <c r="G677">
        <v>159</v>
      </c>
      <c r="I677" s="2">
        <f t="shared" si="50"/>
        <v>40</v>
      </c>
      <c r="J677" s="2">
        <f t="shared" si="51"/>
        <v>0.20100502512562815</v>
      </c>
    </row>
    <row r="678" spans="1:11">
      <c r="I678" s="2"/>
      <c r="J678" s="2"/>
    </row>
    <row r="679" spans="1:11">
      <c r="A679" s="15">
        <v>43606</v>
      </c>
      <c r="B679" t="s">
        <v>683</v>
      </c>
      <c r="D679" t="s">
        <v>740</v>
      </c>
      <c r="E679">
        <v>165</v>
      </c>
      <c r="G679">
        <v>118</v>
      </c>
      <c r="I679" s="2">
        <f t="shared" si="50"/>
        <v>47</v>
      </c>
      <c r="J679" s="2">
        <f t="shared" si="51"/>
        <v>0.28484848484848485</v>
      </c>
    </row>
    <row r="680" spans="1:11">
      <c r="B680" t="s">
        <v>39</v>
      </c>
      <c r="C680" t="s">
        <v>30</v>
      </c>
      <c r="D680" t="s">
        <v>741</v>
      </c>
      <c r="E680">
        <v>170</v>
      </c>
      <c r="G680">
        <v>115</v>
      </c>
      <c r="I680" s="2">
        <f t="shared" si="50"/>
        <v>55</v>
      </c>
      <c r="J680" s="2">
        <f t="shared" si="51"/>
        <v>0.3235294117647059</v>
      </c>
    </row>
    <row r="681" spans="1:11">
      <c r="B681" t="s">
        <v>322</v>
      </c>
      <c r="D681" t="s">
        <v>742</v>
      </c>
      <c r="E681">
        <v>299</v>
      </c>
      <c r="F681">
        <v>19</v>
      </c>
      <c r="G681">
        <f>F681*6.9</f>
        <v>131.1</v>
      </c>
      <c r="I681" s="2">
        <f t="shared" si="50"/>
        <v>167.9</v>
      </c>
      <c r="J681" s="2">
        <f t="shared" si="51"/>
        <v>0.56153846153846154</v>
      </c>
      <c r="K681">
        <f>SUM(I679:I682)</f>
        <v>428.9</v>
      </c>
    </row>
    <row r="682" spans="1:11">
      <c r="B682" t="s">
        <v>743</v>
      </c>
      <c r="D682" t="s">
        <v>744</v>
      </c>
      <c r="E682">
        <v>159</v>
      </c>
      <c r="I682" s="2">
        <f t="shared" si="50"/>
        <v>159</v>
      </c>
      <c r="J682" s="2">
        <f t="shared" si="51"/>
        <v>1</v>
      </c>
    </row>
    <row r="683" spans="1:11">
      <c r="I683" s="2"/>
      <c r="J683" s="2"/>
    </row>
    <row r="684" spans="1:11">
      <c r="A684" s="15">
        <v>43606</v>
      </c>
      <c r="B684" t="s">
        <v>738</v>
      </c>
      <c r="D684" t="s">
        <v>745</v>
      </c>
      <c r="E684">
        <v>199</v>
      </c>
      <c r="F684">
        <f>24</f>
        <v>24</v>
      </c>
      <c r="G684">
        <f>F684*0.8*6.9</f>
        <v>132.48000000000002</v>
      </c>
      <c r="I684" s="2">
        <f>E684-G684+H684</f>
        <v>66.519999999999982</v>
      </c>
      <c r="J684" s="2">
        <f>I684/E684</f>
        <v>0.3342713567839195</v>
      </c>
    </row>
    <row r="685" spans="1:11">
      <c r="B685" t="s">
        <v>746</v>
      </c>
      <c r="C685" t="s">
        <v>30</v>
      </c>
      <c r="D685" t="s">
        <v>747</v>
      </c>
      <c r="E685">
        <v>500</v>
      </c>
      <c r="G685">
        <v>397</v>
      </c>
      <c r="I685" s="2">
        <f>E685-G685+H685</f>
        <v>103</v>
      </c>
      <c r="J685" s="2">
        <f>I685/E685</f>
        <v>0.20599999999999999</v>
      </c>
      <c r="K685">
        <f>SUM(I684:I685)</f>
        <v>169.51999999999998</v>
      </c>
    </row>
    <row r="686" spans="1:11">
      <c r="I686" s="2">
        <f t="shared" ref="I686:I735" si="52">E686-G686+H686</f>
        <v>0</v>
      </c>
      <c r="J686" s="2"/>
    </row>
    <row r="687" spans="1:11">
      <c r="A687" s="15">
        <v>43606</v>
      </c>
      <c r="B687" t="s">
        <v>748</v>
      </c>
      <c r="C687" t="s">
        <v>30</v>
      </c>
      <c r="D687" t="s">
        <v>749</v>
      </c>
      <c r="E687">
        <v>500</v>
      </c>
      <c r="G687">
        <f>2325/5+10</f>
        <v>475</v>
      </c>
      <c r="I687" s="2">
        <f t="shared" si="52"/>
        <v>25</v>
      </c>
      <c r="J687" s="2">
        <f t="shared" ref="J687:J725" si="53">I687/E687</f>
        <v>0.05</v>
      </c>
    </row>
    <row r="688" spans="1:11">
      <c r="I688" s="2">
        <f t="shared" si="52"/>
        <v>0</v>
      </c>
      <c r="J688" s="2" t="e">
        <f t="shared" si="53"/>
        <v>#DIV/0!</v>
      </c>
    </row>
    <row r="689" spans="1:11">
      <c r="A689" s="15">
        <v>43607</v>
      </c>
      <c r="B689" t="s">
        <v>252</v>
      </c>
      <c r="C689" t="s">
        <v>30</v>
      </c>
      <c r="D689" t="s">
        <v>750</v>
      </c>
      <c r="E689">
        <v>700</v>
      </c>
      <c r="G689">
        <v>598</v>
      </c>
      <c r="I689" s="2">
        <f t="shared" si="52"/>
        <v>102</v>
      </c>
      <c r="J689" s="2">
        <f t="shared" si="53"/>
        <v>0.14571428571428571</v>
      </c>
    </row>
    <row r="690" spans="1:11">
      <c r="B690" t="s">
        <v>751</v>
      </c>
      <c r="D690" t="s">
        <v>752</v>
      </c>
      <c r="E690">
        <v>820</v>
      </c>
      <c r="G690">
        <v>598</v>
      </c>
      <c r="I690" s="2">
        <f t="shared" si="52"/>
        <v>222</v>
      </c>
      <c r="J690" s="2">
        <f t="shared" si="53"/>
        <v>0.27073170731707319</v>
      </c>
    </row>
    <row r="691" spans="1:11">
      <c r="B691" t="s">
        <v>753</v>
      </c>
      <c r="C691" t="s">
        <v>30</v>
      </c>
      <c r="D691" t="s">
        <v>754</v>
      </c>
      <c r="E691">
        <v>660</v>
      </c>
      <c r="G691">
        <v>620</v>
      </c>
      <c r="I691" s="2">
        <f t="shared" si="52"/>
        <v>40</v>
      </c>
      <c r="J691" s="2">
        <f t="shared" si="53"/>
        <v>6.0606060606060608E-2</v>
      </c>
      <c r="K691">
        <f>SUM(I689:I696)</f>
        <v>1359.8765899999999</v>
      </c>
    </row>
    <row r="692" spans="1:11">
      <c r="B692" t="s">
        <v>755</v>
      </c>
      <c r="D692" t="s">
        <v>756</v>
      </c>
      <c r="E692">
        <v>530</v>
      </c>
      <c r="F692">
        <f>45</f>
        <v>45</v>
      </c>
      <c r="G692">
        <f>F692*1.1*6.93</f>
        <v>343.03500000000003</v>
      </c>
      <c r="I692" s="2">
        <f t="shared" si="52"/>
        <v>186.96499999999997</v>
      </c>
      <c r="J692" s="2">
        <f t="shared" si="53"/>
        <v>0.35276415094339619</v>
      </c>
    </row>
    <row r="693" spans="1:11">
      <c r="B693" s="2" t="s">
        <v>39</v>
      </c>
      <c r="C693" s="2"/>
      <c r="D693" s="2" t="s">
        <v>757</v>
      </c>
      <c r="E693" s="2">
        <f>1100*2</f>
        <v>2200</v>
      </c>
      <c r="F693" s="2">
        <f>168*0.8*0.95</f>
        <v>127.67999999999999</v>
      </c>
      <c r="G693" s="2">
        <f>F693*6.82*2</f>
        <v>1741.5552</v>
      </c>
      <c r="H693" s="2"/>
      <c r="I693" s="2">
        <f t="shared" si="52"/>
        <v>458.44479999999999</v>
      </c>
      <c r="J693" s="2">
        <f t="shared" si="53"/>
        <v>0.20838399999999999</v>
      </c>
    </row>
    <row r="694" spans="1:11">
      <c r="A694" t="s">
        <v>758</v>
      </c>
      <c r="B694" s="2" t="s">
        <v>39</v>
      </c>
      <c r="C694" s="2"/>
      <c r="D694" s="2" t="s">
        <v>759</v>
      </c>
      <c r="E694" s="2">
        <f>360*3</f>
        <v>1080</v>
      </c>
      <c r="F694" s="2">
        <f>62*3</f>
        <v>186</v>
      </c>
      <c r="G694" s="2">
        <f>F694*0.75*6.72</f>
        <v>937.43999999999994</v>
      </c>
      <c r="H694" s="2"/>
      <c r="I694" s="2">
        <f t="shared" si="52"/>
        <v>142.56000000000006</v>
      </c>
      <c r="J694" s="2">
        <f t="shared" si="53"/>
        <v>0.13200000000000006</v>
      </c>
    </row>
    <row r="695" spans="1:11">
      <c r="B695" t="s">
        <v>760</v>
      </c>
      <c r="C695" t="s">
        <v>30</v>
      </c>
      <c r="D695" t="s">
        <v>761</v>
      </c>
      <c r="E695">
        <v>505</v>
      </c>
      <c r="F695">
        <f>50.3</f>
        <v>50.3</v>
      </c>
      <c r="G695">
        <f>F695*6.93*0.99</f>
        <v>345.09320999999994</v>
      </c>
      <c r="I695" s="2">
        <f t="shared" si="52"/>
        <v>159.90679000000006</v>
      </c>
      <c r="J695" s="2">
        <f t="shared" si="53"/>
        <v>0.31664710891089121</v>
      </c>
    </row>
    <row r="696" spans="1:11">
      <c r="B696" t="s">
        <v>16</v>
      </c>
      <c r="D696" t="s">
        <v>762</v>
      </c>
      <c r="E696">
        <v>248</v>
      </c>
      <c r="G696">
        <v>200</v>
      </c>
      <c r="I696" s="2">
        <f t="shared" si="52"/>
        <v>48</v>
      </c>
      <c r="J696" s="2">
        <f t="shared" si="53"/>
        <v>0.19354838709677419</v>
      </c>
    </row>
    <row r="697" spans="1:11">
      <c r="I697" s="2">
        <f t="shared" si="52"/>
        <v>0</v>
      </c>
      <c r="J697" s="2" t="e">
        <f t="shared" si="53"/>
        <v>#DIV/0!</v>
      </c>
    </row>
    <row r="698" spans="1:11">
      <c r="A698" s="15">
        <v>43608</v>
      </c>
      <c r="B698" t="s">
        <v>245</v>
      </c>
      <c r="C698" t="s">
        <v>30</v>
      </c>
      <c r="D698" s="16" t="s">
        <v>763</v>
      </c>
      <c r="E698" s="16">
        <f>195*3+20+195+10+195+10</f>
        <v>1015</v>
      </c>
      <c r="F698" s="16"/>
      <c r="G698" s="16">
        <f>175*5+24</f>
        <v>899</v>
      </c>
      <c r="H698" s="16"/>
      <c r="I698" s="17">
        <f t="shared" si="52"/>
        <v>116</v>
      </c>
      <c r="J698" s="17">
        <f t="shared" si="53"/>
        <v>0.11428571428571428</v>
      </c>
    </row>
    <row r="699" spans="1:11">
      <c r="B699" s="18"/>
      <c r="C699" s="18"/>
      <c r="D699" s="18" t="s">
        <v>764</v>
      </c>
      <c r="E699" s="18">
        <v>0</v>
      </c>
      <c r="F699" s="18"/>
      <c r="G699" s="18">
        <v>0</v>
      </c>
      <c r="H699" s="18"/>
      <c r="I699" s="18">
        <f t="shared" si="52"/>
        <v>0</v>
      </c>
      <c r="J699" s="18" t="e">
        <f t="shared" si="53"/>
        <v>#DIV/0!</v>
      </c>
    </row>
    <row r="700" spans="1:11">
      <c r="C700" t="s">
        <v>30</v>
      </c>
      <c r="D700" t="s">
        <v>765</v>
      </c>
      <c r="E700">
        <f>238*20</f>
        <v>4760</v>
      </c>
      <c r="F700">
        <f>38*20</f>
        <v>760</v>
      </c>
      <c r="G700">
        <f>F700*0.8*6.8</f>
        <v>4134.3999999999996</v>
      </c>
      <c r="I700" s="2">
        <f t="shared" si="52"/>
        <v>625.60000000000036</v>
      </c>
      <c r="J700" s="2">
        <f t="shared" si="53"/>
        <v>0.13142857142857151</v>
      </c>
      <c r="K700">
        <f>SUM(I698:I700)</f>
        <v>741.60000000000036</v>
      </c>
    </row>
    <row r="701" spans="1:11">
      <c r="D701" t="s">
        <v>515</v>
      </c>
      <c r="I701" s="2">
        <v>-2000</v>
      </c>
      <c r="J701" s="2" t="e">
        <f>I701/E701</f>
        <v>#DIV/0!</v>
      </c>
    </row>
    <row r="702" spans="1:11">
      <c r="B702" t="s">
        <v>252</v>
      </c>
      <c r="D702" t="s">
        <v>766</v>
      </c>
      <c r="E702">
        <v>700</v>
      </c>
      <c r="G702">
        <v>549</v>
      </c>
      <c r="I702" s="2">
        <f>E702-G702+H702</f>
        <v>151</v>
      </c>
      <c r="J702" s="2">
        <f>I702/E702</f>
        <v>0.21571428571428572</v>
      </c>
    </row>
    <row r="703" spans="1:11">
      <c r="B703" t="s">
        <v>97</v>
      </c>
      <c r="D703" t="s">
        <v>767</v>
      </c>
      <c r="E703">
        <v>158</v>
      </c>
      <c r="G703">
        <v>120</v>
      </c>
      <c r="I703" s="2">
        <f>E703-G703+H703</f>
        <v>38</v>
      </c>
      <c r="J703" s="2">
        <f>I703/E703</f>
        <v>0.24050632911392406</v>
      </c>
    </row>
    <row r="705" spans="1:11">
      <c r="I705" s="2"/>
      <c r="J705" s="2"/>
    </row>
    <row r="706" spans="1:11">
      <c r="I706" s="2"/>
      <c r="J706" s="2"/>
    </row>
    <row r="707" spans="1:11">
      <c r="A707" s="15">
        <v>43609</v>
      </c>
      <c r="C707" t="s">
        <v>30</v>
      </c>
      <c r="D707" t="s">
        <v>768</v>
      </c>
      <c r="E707">
        <f>1662+225*4+60</f>
        <v>2622</v>
      </c>
      <c r="F707">
        <v>39</v>
      </c>
      <c r="G707">
        <f>F707*0.8*6.8*10</f>
        <v>2121.6000000000004</v>
      </c>
      <c r="I707" s="2">
        <f t="shared" si="52"/>
        <v>500.39999999999964</v>
      </c>
      <c r="J707" s="2">
        <f t="shared" si="53"/>
        <v>0.19084668192219667</v>
      </c>
    </row>
    <row r="708" spans="1:11">
      <c r="B708" t="s">
        <v>439</v>
      </c>
      <c r="D708" t="s">
        <v>769</v>
      </c>
      <c r="E708">
        <f>139*2</f>
        <v>278</v>
      </c>
      <c r="F708">
        <f>45/6</f>
        <v>7.5</v>
      </c>
      <c r="G708">
        <f>F708*6.85*2</f>
        <v>102.75</v>
      </c>
      <c r="I708" s="2">
        <f t="shared" si="52"/>
        <v>175.25</v>
      </c>
      <c r="J708" s="2">
        <f t="shared" si="53"/>
        <v>0.63039568345323738</v>
      </c>
    </row>
    <row r="709" spans="1:11">
      <c r="B709" t="s">
        <v>770</v>
      </c>
      <c r="D709" t="s">
        <v>769</v>
      </c>
      <c r="E709">
        <f>139*2</f>
        <v>278</v>
      </c>
      <c r="F709">
        <f>45/6</f>
        <v>7.5</v>
      </c>
      <c r="G709">
        <f>F709*6.85*2</f>
        <v>102.75</v>
      </c>
      <c r="I709" s="2">
        <f t="shared" si="52"/>
        <v>175.25</v>
      </c>
      <c r="J709" s="2">
        <f t="shared" si="53"/>
        <v>0.63039568345323738</v>
      </c>
      <c r="K709">
        <f>SUM(I707:I710)</f>
        <v>910.89999999999964</v>
      </c>
    </row>
    <row r="710" spans="1:11">
      <c r="B710" t="s">
        <v>39</v>
      </c>
      <c r="C710" t="s">
        <v>30</v>
      </c>
      <c r="D710" t="s">
        <v>162</v>
      </c>
      <c r="E710">
        <v>580</v>
      </c>
      <c r="G710">
        <v>520</v>
      </c>
      <c r="I710" s="2">
        <f t="shared" si="52"/>
        <v>60</v>
      </c>
      <c r="J710" s="2">
        <f t="shared" si="53"/>
        <v>0.10344827586206896</v>
      </c>
    </row>
    <row r="711" spans="1:11">
      <c r="I711" s="2"/>
      <c r="J711" s="2"/>
    </row>
    <row r="712" spans="1:11">
      <c r="A712" s="15">
        <v>43610</v>
      </c>
      <c r="B712" t="s">
        <v>71</v>
      </c>
      <c r="D712" t="s">
        <v>771</v>
      </c>
      <c r="E712">
        <v>1799</v>
      </c>
      <c r="F712">
        <f>165.1</f>
        <v>165.1</v>
      </c>
      <c r="G712">
        <f>F712*6.92</f>
        <v>1142.492</v>
      </c>
      <c r="H712">
        <f>F712*0.016*6.9</f>
        <v>18.227040000000002</v>
      </c>
      <c r="I712" s="2">
        <f t="shared" si="52"/>
        <v>674.73504000000003</v>
      </c>
      <c r="J712" s="2">
        <f t="shared" si="53"/>
        <v>0.37506116731517514</v>
      </c>
    </row>
    <row r="713" spans="1:11">
      <c r="B713" t="s">
        <v>85</v>
      </c>
      <c r="C713" t="s">
        <v>30</v>
      </c>
      <c r="D713" t="s">
        <v>772</v>
      </c>
      <c r="E713">
        <v>438</v>
      </c>
      <c r="G713">
        <v>360</v>
      </c>
      <c r="I713" s="2">
        <f t="shared" si="52"/>
        <v>78</v>
      </c>
      <c r="J713" s="2">
        <f t="shared" si="53"/>
        <v>0.17808219178082191</v>
      </c>
    </row>
    <row r="714" spans="1:11">
      <c r="B714" t="s">
        <v>58</v>
      </c>
      <c r="C714" t="s">
        <v>30</v>
      </c>
      <c r="D714" t="s">
        <v>54</v>
      </c>
      <c r="E714">
        <v>500</v>
      </c>
      <c r="F714">
        <f>74*0.7</f>
        <v>51.8</v>
      </c>
      <c r="G714">
        <f>F714*6.8</f>
        <v>352.23999999999995</v>
      </c>
      <c r="I714" s="2">
        <f t="shared" si="52"/>
        <v>147.76000000000005</v>
      </c>
      <c r="J714" s="2">
        <f t="shared" si="53"/>
        <v>0.29552000000000012</v>
      </c>
      <c r="K714">
        <f>SUM(I712:I715)</f>
        <v>1256.9350400000001</v>
      </c>
    </row>
    <row r="715" spans="1:11">
      <c r="B715" t="s">
        <v>738</v>
      </c>
      <c r="D715" t="s">
        <v>773</v>
      </c>
      <c r="E715">
        <v>1299</v>
      </c>
      <c r="F715">
        <v>172</v>
      </c>
      <c r="G715">
        <f>F715*0.8*6.85</f>
        <v>942.56</v>
      </c>
      <c r="I715" s="2">
        <f t="shared" si="52"/>
        <v>356.44000000000005</v>
      </c>
      <c r="J715" s="2">
        <f t="shared" si="53"/>
        <v>0.27439568899153199</v>
      </c>
    </row>
    <row r="716" spans="1:11">
      <c r="I716" s="2"/>
      <c r="J716" s="2"/>
    </row>
    <row r="717" spans="1:11">
      <c r="A717" s="15">
        <v>43611</v>
      </c>
      <c r="C717" t="s">
        <v>30</v>
      </c>
      <c r="D717" t="s">
        <v>774</v>
      </c>
      <c r="E717">
        <v>428</v>
      </c>
      <c r="G717">
        <v>350</v>
      </c>
      <c r="I717" s="2">
        <f t="shared" si="52"/>
        <v>78</v>
      </c>
      <c r="J717" s="2">
        <f t="shared" si="53"/>
        <v>0.1822429906542056</v>
      </c>
    </row>
    <row r="718" spans="1:11">
      <c r="B718" t="s">
        <v>554</v>
      </c>
      <c r="D718" t="s">
        <v>775</v>
      </c>
      <c r="E718">
        <v>950</v>
      </c>
      <c r="G718">
        <v>700</v>
      </c>
      <c r="I718" s="2">
        <f t="shared" si="52"/>
        <v>250</v>
      </c>
      <c r="J718" s="2">
        <f t="shared" si="53"/>
        <v>0.26315789473684209</v>
      </c>
    </row>
    <row r="719" spans="1:11">
      <c r="B719" t="s">
        <v>600</v>
      </c>
      <c r="C719" t="s">
        <v>30</v>
      </c>
      <c r="D719" t="s">
        <v>776</v>
      </c>
      <c r="E719">
        <f>95*5</f>
        <v>475</v>
      </c>
      <c r="F719">
        <f>50.89/12</f>
        <v>4.2408333333333337</v>
      </c>
      <c r="G719">
        <f>F719*10*6.85</f>
        <v>290.49708333333336</v>
      </c>
      <c r="I719" s="2">
        <f t="shared" si="52"/>
        <v>184.50291666666664</v>
      </c>
      <c r="J719" s="2">
        <f t="shared" si="53"/>
        <v>0.38842719298245609</v>
      </c>
    </row>
    <row r="720" spans="1:11">
      <c r="B720" t="s">
        <v>600</v>
      </c>
      <c r="C720" t="s">
        <v>30</v>
      </c>
      <c r="D720" t="s">
        <v>777</v>
      </c>
      <c r="E720">
        <f>188</f>
        <v>188</v>
      </c>
      <c r="G720">
        <v>119</v>
      </c>
      <c r="I720" s="2">
        <f t="shared" si="52"/>
        <v>69</v>
      </c>
      <c r="J720" s="2">
        <f t="shared" si="53"/>
        <v>0.36702127659574468</v>
      </c>
      <c r="K720">
        <f>SUM(I717:I730)</f>
        <v>108.11171666666678</v>
      </c>
    </row>
    <row r="721" spans="2:10">
      <c r="B721" t="s">
        <v>600</v>
      </c>
      <c r="C721" t="s">
        <v>30</v>
      </c>
      <c r="D721" t="s">
        <v>778</v>
      </c>
      <c r="E721">
        <f>140*4</f>
        <v>560</v>
      </c>
      <c r="G721">
        <v>400</v>
      </c>
      <c r="I721" s="2">
        <f t="shared" si="52"/>
        <v>160</v>
      </c>
      <c r="J721" s="2">
        <f t="shared" si="53"/>
        <v>0.2857142857142857</v>
      </c>
    </row>
    <row r="722" spans="2:10">
      <c r="B722" t="s">
        <v>600</v>
      </c>
      <c r="C722" t="s">
        <v>30</v>
      </c>
      <c r="D722" t="s">
        <v>779</v>
      </c>
      <c r="E722">
        <v>150</v>
      </c>
      <c r="G722">
        <v>120</v>
      </c>
      <c r="I722" s="2">
        <f t="shared" si="52"/>
        <v>30</v>
      </c>
      <c r="J722" s="2">
        <f t="shared" si="53"/>
        <v>0.2</v>
      </c>
    </row>
    <row r="723" spans="2:10">
      <c r="C723" t="s">
        <v>30</v>
      </c>
      <c r="D723" t="s">
        <v>775</v>
      </c>
      <c r="E723">
        <v>660</v>
      </c>
      <c r="F723">
        <f>350</f>
        <v>350</v>
      </c>
      <c r="G723">
        <f>F723*0.24*1.085*6.8</f>
        <v>619.75199999999995</v>
      </c>
      <c r="H723">
        <f>F723*0.24*1.08*0.015</f>
        <v>1.3608</v>
      </c>
      <c r="I723" s="2">
        <f t="shared" si="52"/>
        <v>41.608800000000045</v>
      </c>
      <c r="J723" s="2">
        <f t="shared" si="53"/>
        <v>6.3043636363636427E-2</v>
      </c>
    </row>
    <row r="724" spans="2:10">
      <c r="C724" t="s">
        <v>238</v>
      </c>
      <c r="D724" t="s">
        <v>780</v>
      </c>
      <c r="E724">
        <f>6.9*790</f>
        <v>5451</v>
      </c>
      <c r="G724">
        <v>5372</v>
      </c>
      <c r="I724" s="2">
        <f t="shared" si="52"/>
        <v>79</v>
      </c>
      <c r="J724" s="2">
        <f t="shared" si="53"/>
        <v>1.4492753623188406E-2</v>
      </c>
    </row>
    <row r="725" spans="2:10">
      <c r="B725" t="s">
        <v>39</v>
      </c>
      <c r="C725" t="s">
        <v>30</v>
      </c>
      <c r="D725" t="s">
        <v>781</v>
      </c>
      <c r="E725">
        <v>80</v>
      </c>
      <c r="G725">
        <v>0</v>
      </c>
      <c r="I725" s="2">
        <f t="shared" si="52"/>
        <v>80</v>
      </c>
      <c r="J725" s="2">
        <f t="shared" si="53"/>
        <v>1</v>
      </c>
    </row>
    <row r="726" spans="2:10">
      <c r="B726" t="s">
        <v>782</v>
      </c>
      <c r="C726" t="s">
        <v>30</v>
      </c>
      <c r="D726" t="s">
        <v>783</v>
      </c>
      <c r="E726">
        <f>255+10</f>
        <v>265</v>
      </c>
      <c r="G726">
        <v>230</v>
      </c>
      <c r="I726" s="2">
        <f t="shared" si="52"/>
        <v>35</v>
      </c>
      <c r="J726" s="2">
        <f>I726/E726</f>
        <v>0.13207547169811321</v>
      </c>
    </row>
    <row r="727" spans="2:10">
      <c r="B727" t="s">
        <v>255</v>
      </c>
      <c r="C727" t="s">
        <v>30</v>
      </c>
      <c r="D727" t="s">
        <v>783</v>
      </c>
      <c r="E727">
        <f>255+255+10-5</f>
        <v>515</v>
      </c>
      <c r="G727">
        <f>230+230-6</f>
        <v>454</v>
      </c>
      <c r="I727" s="2">
        <f t="shared" si="52"/>
        <v>61</v>
      </c>
      <c r="J727" s="2">
        <f>I727/E727</f>
        <v>0.11844660194174757</v>
      </c>
    </row>
    <row r="728" spans="2:10">
      <c r="C728" t="s">
        <v>238</v>
      </c>
      <c r="D728" t="s">
        <v>784</v>
      </c>
      <c r="F728">
        <v>200</v>
      </c>
      <c r="G728">
        <f>F728*6.9</f>
        <v>1380</v>
      </c>
      <c r="I728" s="2">
        <f t="shared" si="52"/>
        <v>-1380</v>
      </c>
      <c r="J728" s="2">
        <f>I728/G728</f>
        <v>-1</v>
      </c>
    </row>
    <row r="729" spans="2:10">
      <c r="B729" t="s">
        <v>16</v>
      </c>
      <c r="D729" t="s">
        <v>785</v>
      </c>
      <c r="E729">
        <v>1375</v>
      </c>
      <c r="G729">
        <v>975</v>
      </c>
      <c r="I729" s="2">
        <f t="shared" si="52"/>
        <v>400</v>
      </c>
      <c r="J729" s="2">
        <f>I729/E729</f>
        <v>0.29090909090909089</v>
      </c>
    </row>
    <row r="730" spans="2:10">
      <c r="B730" s="2" t="s">
        <v>39</v>
      </c>
      <c r="C730" s="2" t="s">
        <v>30</v>
      </c>
      <c r="D730" s="2" t="s">
        <v>786</v>
      </c>
      <c r="E730" s="2">
        <v>230</v>
      </c>
      <c r="F730" s="2"/>
      <c r="G730" s="2">
        <v>210</v>
      </c>
      <c r="H730" s="2"/>
      <c r="I730" s="2">
        <f t="shared" si="52"/>
        <v>20</v>
      </c>
      <c r="J730" s="2">
        <f t="shared" ref="J730:J735" si="54">I730/E730</f>
        <v>8.6956521739130432E-2</v>
      </c>
    </row>
    <row r="731" spans="2:10">
      <c r="B731" t="s">
        <v>39</v>
      </c>
      <c r="C731" t="s">
        <v>30</v>
      </c>
      <c r="D731" t="s">
        <v>57</v>
      </c>
      <c r="E731">
        <v>245</v>
      </c>
      <c r="F731">
        <f>38</f>
        <v>38</v>
      </c>
      <c r="G731">
        <f>F731*0.8*6.8</f>
        <v>206.72</v>
      </c>
      <c r="I731" s="2">
        <f t="shared" si="52"/>
        <v>38.28</v>
      </c>
      <c r="J731" s="2">
        <f t="shared" si="54"/>
        <v>0.15624489795918367</v>
      </c>
    </row>
    <row r="732" spans="2:10">
      <c r="B732" t="s">
        <v>787</v>
      </c>
      <c r="D732" t="s">
        <v>788</v>
      </c>
      <c r="E732">
        <v>49</v>
      </c>
      <c r="F732">
        <f>2.5</f>
        <v>2.5</v>
      </c>
      <c r="G732">
        <f>F732*6.8</f>
        <v>17</v>
      </c>
      <c r="I732" s="2">
        <f t="shared" si="52"/>
        <v>32</v>
      </c>
      <c r="J732" s="2">
        <f t="shared" si="54"/>
        <v>0.65306122448979587</v>
      </c>
    </row>
    <row r="733" spans="2:10">
      <c r="B733" t="s">
        <v>787</v>
      </c>
      <c r="D733" t="s">
        <v>789</v>
      </c>
      <c r="E733">
        <v>205</v>
      </c>
      <c r="F733">
        <f>24</f>
        <v>24</v>
      </c>
      <c r="G733">
        <f>F733*6.8*0.89*0.92*0.99</f>
        <v>132.2918784</v>
      </c>
      <c r="I733" s="2">
        <f t="shared" si="52"/>
        <v>72.708121599999998</v>
      </c>
      <c r="J733" s="2">
        <f t="shared" si="54"/>
        <v>0.35467376390243904</v>
      </c>
    </row>
    <row r="734" spans="2:10">
      <c r="B734" t="s">
        <v>790</v>
      </c>
      <c r="D734" t="s">
        <v>791</v>
      </c>
      <c r="E734">
        <v>599</v>
      </c>
      <c r="G734">
        <f>15+300</f>
        <v>315</v>
      </c>
      <c r="I734" s="2">
        <f t="shared" si="52"/>
        <v>284</v>
      </c>
      <c r="J734" s="2">
        <f t="shared" si="54"/>
        <v>0.47412353923205341</v>
      </c>
    </row>
    <row r="735" spans="2:10">
      <c r="B735" t="s">
        <v>792</v>
      </c>
      <c r="C735" t="s">
        <v>30</v>
      </c>
      <c r="D735" t="s">
        <v>793</v>
      </c>
      <c r="E735">
        <v>250</v>
      </c>
      <c r="F735">
        <v>32</v>
      </c>
      <c r="G735">
        <f>F735*0.8*6.91</f>
        <v>176.89600000000002</v>
      </c>
      <c r="I735" s="2">
        <f t="shared" si="52"/>
        <v>73.103999999999985</v>
      </c>
      <c r="J735" s="2">
        <f t="shared" si="54"/>
        <v>0.29241599999999995</v>
      </c>
    </row>
    <row r="738" spans="1:10">
      <c r="A738" s="15">
        <v>43612</v>
      </c>
      <c r="B738" t="s">
        <v>267</v>
      </c>
      <c r="C738" t="s">
        <v>37</v>
      </c>
      <c r="D738" t="s">
        <v>794</v>
      </c>
      <c r="E738">
        <f>247+245</f>
        <v>492</v>
      </c>
      <c r="F738">
        <f>38*2</f>
        <v>76</v>
      </c>
      <c r="G738">
        <f>F738*0.8*6.8</f>
        <v>413.44</v>
      </c>
      <c r="I738" s="2">
        <f t="shared" ref="I738:I747" si="55">E738-G738+H738</f>
        <v>78.56</v>
      </c>
      <c r="J738" s="2">
        <f>I738/E738</f>
        <v>0.15967479674796747</v>
      </c>
    </row>
    <row r="739" spans="1:10">
      <c r="B739" t="s">
        <v>39</v>
      </c>
      <c r="C739" t="s">
        <v>30</v>
      </c>
      <c r="D739" t="s">
        <v>23</v>
      </c>
      <c r="E739">
        <v>239</v>
      </c>
      <c r="F739">
        <f>31.5</f>
        <v>31.5</v>
      </c>
      <c r="G739">
        <f>F739*6.8*0.89*0.92*0.99</f>
        <v>173.63309040000001</v>
      </c>
      <c r="I739" s="2">
        <f t="shared" si="55"/>
        <v>65.366909599999985</v>
      </c>
      <c r="J739" s="2">
        <f>I739/E739</f>
        <v>0.2735017138075313</v>
      </c>
    </row>
    <row r="740" spans="1:10">
      <c r="I740" s="2"/>
      <c r="J740" s="2"/>
    </row>
    <row r="741" spans="1:10">
      <c r="B741" t="s">
        <v>16</v>
      </c>
      <c r="D741" s="13" t="s">
        <v>795</v>
      </c>
      <c r="E741" s="13">
        <v>550</v>
      </c>
      <c r="F741" s="13"/>
      <c r="G741" s="13">
        <v>296.82</v>
      </c>
      <c r="H741" s="13"/>
      <c r="I741" s="19">
        <f t="shared" si="55"/>
        <v>253.18</v>
      </c>
      <c r="J741" s="19">
        <f t="shared" ref="J741:J785" si="56">I741/E741</f>
        <v>0.46032727272727275</v>
      </c>
    </row>
    <row r="742" spans="1:10">
      <c r="B742" t="s">
        <v>39</v>
      </c>
      <c r="C742" t="s">
        <v>30</v>
      </c>
      <c r="D742" t="s">
        <v>507</v>
      </c>
      <c r="E742">
        <f>175+10</f>
        <v>185</v>
      </c>
      <c r="G742">
        <v>125</v>
      </c>
      <c r="I742" s="2">
        <f t="shared" si="55"/>
        <v>60</v>
      </c>
      <c r="J742" s="2">
        <f t="shared" si="56"/>
        <v>0.32432432432432434</v>
      </c>
    </row>
    <row r="743" spans="1:10">
      <c r="B743" t="s">
        <v>39</v>
      </c>
      <c r="C743" t="s">
        <v>30</v>
      </c>
      <c r="D743" t="s">
        <v>796</v>
      </c>
      <c r="E743">
        <v>325</v>
      </c>
      <c r="F743">
        <v>52</v>
      </c>
      <c r="G743">
        <f>F743*0.75*6.9</f>
        <v>269.10000000000002</v>
      </c>
      <c r="I743" s="2">
        <f t="shared" si="55"/>
        <v>55.899999999999977</v>
      </c>
      <c r="J743" s="2">
        <f t="shared" si="56"/>
        <v>0.17199999999999993</v>
      </c>
    </row>
    <row r="744" spans="1:10">
      <c r="B744" t="s">
        <v>39</v>
      </c>
      <c r="C744" t="s">
        <v>30</v>
      </c>
      <c r="D744" t="s">
        <v>797</v>
      </c>
      <c r="E744">
        <v>653</v>
      </c>
      <c r="G744">
        <v>598</v>
      </c>
      <c r="I744" s="2">
        <f t="shared" si="55"/>
        <v>55</v>
      </c>
      <c r="J744" s="2">
        <f t="shared" si="56"/>
        <v>8.4226646248085763E-2</v>
      </c>
    </row>
    <row r="745" spans="1:10">
      <c r="B745" t="s">
        <v>790</v>
      </c>
      <c r="D745" t="s">
        <v>798</v>
      </c>
      <c r="E745">
        <v>445</v>
      </c>
      <c r="G745">
        <v>0</v>
      </c>
      <c r="I745" s="2">
        <f t="shared" si="55"/>
        <v>445</v>
      </c>
      <c r="J745" s="2">
        <f t="shared" si="56"/>
        <v>1</v>
      </c>
    </row>
    <row r="746" spans="1:10">
      <c r="B746" t="s">
        <v>790</v>
      </c>
      <c r="D746" t="s">
        <v>799</v>
      </c>
      <c r="E746">
        <v>80</v>
      </c>
      <c r="G746">
        <v>0</v>
      </c>
      <c r="I746" s="2">
        <f t="shared" si="55"/>
        <v>80</v>
      </c>
      <c r="J746" s="2">
        <f t="shared" si="56"/>
        <v>1</v>
      </c>
    </row>
    <row r="747" spans="1:10">
      <c r="B747" t="s">
        <v>68</v>
      </c>
      <c r="C747" t="s">
        <v>37</v>
      </c>
      <c r="D747" t="s">
        <v>800</v>
      </c>
      <c r="E747">
        <v>395</v>
      </c>
      <c r="F747">
        <v>62</v>
      </c>
      <c r="G747">
        <f>F747*0.75*6.72</f>
        <v>312.47999999999996</v>
      </c>
      <c r="I747" s="2">
        <f t="shared" si="55"/>
        <v>82.520000000000039</v>
      </c>
      <c r="J747" s="2">
        <f t="shared" si="56"/>
        <v>0.2089113924050634</v>
      </c>
    </row>
    <row r="748" spans="1:10">
      <c r="B748" t="s">
        <v>267</v>
      </c>
      <c r="C748" t="s">
        <v>37</v>
      </c>
      <c r="D748" t="s">
        <v>23</v>
      </c>
      <c r="E748">
        <f>239+5</f>
        <v>244</v>
      </c>
      <c r="F748">
        <f>31.5</f>
        <v>31.5</v>
      </c>
      <c r="G748">
        <f>F748*6.8*0.89*0.92*0.99</f>
        <v>173.63309040000001</v>
      </c>
      <c r="I748" s="2">
        <f>E748-G748+H748</f>
        <v>70.366909599999985</v>
      </c>
      <c r="J748" s="2">
        <f t="shared" si="56"/>
        <v>0.28838897377049172</v>
      </c>
    </row>
    <row r="749" spans="1:10">
      <c r="B749" t="s">
        <v>801</v>
      </c>
      <c r="C749" t="s">
        <v>30</v>
      </c>
      <c r="D749" t="s">
        <v>802</v>
      </c>
      <c r="E749">
        <v>980</v>
      </c>
      <c r="G749">
        <f>485+435+8</f>
        <v>928</v>
      </c>
      <c r="I749" s="2">
        <f>E749-G749+H749</f>
        <v>52</v>
      </c>
      <c r="J749" s="2">
        <f t="shared" si="56"/>
        <v>5.3061224489795916E-2</v>
      </c>
    </row>
    <row r="750" spans="1:10">
      <c r="B750" t="s">
        <v>803</v>
      </c>
      <c r="C750" t="s">
        <v>30</v>
      </c>
      <c r="D750" t="s">
        <v>804</v>
      </c>
      <c r="E750">
        <v>900</v>
      </c>
      <c r="F750">
        <f>94+11</f>
        <v>105</v>
      </c>
      <c r="G750">
        <f>F750*7</f>
        <v>735</v>
      </c>
      <c r="I750" s="2">
        <f>E750-G750+H750</f>
        <v>165</v>
      </c>
      <c r="J750" s="2">
        <f t="shared" si="56"/>
        <v>0.18333333333333332</v>
      </c>
    </row>
    <row r="751" spans="1:10">
      <c r="B751" t="s">
        <v>803</v>
      </c>
      <c r="C751" t="s">
        <v>30</v>
      </c>
      <c r="D751" t="s">
        <v>700</v>
      </c>
      <c r="E751">
        <f>2220+12*6.91</f>
        <v>2302.92</v>
      </c>
      <c r="F751">
        <v>330</v>
      </c>
      <c r="G751">
        <f>(330*1.065*0.985*(1-0.128))*6.92</f>
        <v>2088.9226432800001</v>
      </c>
      <c r="I751" s="2">
        <f>E751-G751+H751</f>
        <v>213.99735671999997</v>
      </c>
      <c r="J751" s="2">
        <f t="shared" si="56"/>
        <v>9.2924355479130832E-2</v>
      </c>
    </row>
    <row r="752" spans="1:10">
      <c r="I752" s="2">
        <f t="shared" ref="I752:I761" si="57">E752-G752+H752</f>
        <v>0</v>
      </c>
      <c r="J752" s="2" t="e">
        <f t="shared" si="56"/>
        <v>#DIV/0!</v>
      </c>
    </row>
    <row r="753" spans="1:10">
      <c r="A753" s="15">
        <v>43613</v>
      </c>
      <c r="B753" t="s">
        <v>245</v>
      </c>
      <c r="C753" t="s">
        <v>30</v>
      </c>
      <c r="D753" t="s">
        <v>805</v>
      </c>
      <c r="E753">
        <v>205</v>
      </c>
      <c r="G753">
        <v>185</v>
      </c>
      <c r="I753" s="2">
        <f t="shared" si="57"/>
        <v>20</v>
      </c>
      <c r="J753" s="2">
        <f t="shared" si="56"/>
        <v>9.7560975609756101E-2</v>
      </c>
    </row>
    <row r="754" spans="1:10">
      <c r="I754" s="2"/>
      <c r="J754" s="2" t="e">
        <f t="shared" si="56"/>
        <v>#DIV/0!</v>
      </c>
    </row>
    <row r="755" spans="1:10">
      <c r="B755" t="s">
        <v>39</v>
      </c>
      <c r="C755" t="s">
        <v>30</v>
      </c>
      <c r="D755" t="s">
        <v>57</v>
      </c>
      <c r="E755">
        <v>245</v>
      </c>
      <c r="F755">
        <f>38</f>
        <v>38</v>
      </c>
      <c r="G755">
        <f>F755*0.8*6.8</f>
        <v>206.72</v>
      </c>
      <c r="I755" s="2">
        <f t="shared" si="57"/>
        <v>38.28</v>
      </c>
      <c r="J755" s="2">
        <f t="shared" si="56"/>
        <v>0.15624489795918367</v>
      </c>
    </row>
    <row r="756" spans="1:10" ht="15.4">
      <c r="B756" s="20" t="s">
        <v>39</v>
      </c>
      <c r="C756" t="s">
        <v>30</v>
      </c>
      <c r="D756" t="s">
        <v>566</v>
      </c>
      <c r="E756">
        <v>325</v>
      </c>
      <c r="I756" s="2">
        <f t="shared" si="57"/>
        <v>325</v>
      </c>
      <c r="J756" s="2">
        <f t="shared" si="56"/>
        <v>1</v>
      </c>
    </row>
    <row r="757" spans="1:10">
      <c r="I757" s="2">
        <f t="shared" si="57"/>
        <v>0</v>
      </c>
      <c r="J757" s="2" t="e">
        <f t="shared" si="56"/>
        <v>#DIV/0!</v>
      </c>
    </row>
    <row r="758" spans="1:10">
      <c r="A758" s="15">
        <v>43614</v>
      </c>
      <c r="B758" t="s">
        <v>170</v>
      </c>
      <c r="D758" t="s">
        <v>806</v>
      </c>
      <c r="E758">
        <v>2100</v>
      </c>
      <c r="F758">
        <f>229</f>
        <v>229</v>
      </c>
      <c r="G758">
        <f>F758*6.91</f>
        <v>1582.39</v>
      </c>
      <c r="H758">
        <f>13.74*6.91</f>
        <v>94.943399999999997</v>
      </c>
      <c r="I758" s="2">
        <f t="shared" si="57"/>
        <v>612.5533999999999</v>
      </c>
      <c r="J758" s="2">
        <f t="shared" si="56"/>
        <v>0.29169209523809519</v>
      </c>
    </row>
    <row r="759" spans="1:10">
      <c r="A759" s="15">
        <v>43615</v>
      </c>
      <c r="B759" t="s">
        <v>74</v>
      </c>
      <c r="C759" t="s">
        <v>30</v>
      </c>
      <c r="D759" t="s">
        <v>807</v>
      </c>
      <c r="I759" s="2">
        <f t="shared" si="57"/>
        <v>0</v>
      </c>
      <c r="J759" s="2" t="e">
        <f t="shared" si="56"/>
        <v>#DIV/0!</v>
      </c>
    </row>
    <row r="760" spans="1:10">
      <c r="B760" t="s">
        <v>74</v>
      </c>
      <c r="C760" t="s">
        <v>30</v>
      </c>
      <c r="D760" t="s">
        <v>808</v>
      </c>
      <c r="E760">
        <v>218</v>
      </c>
      <c r="G760">
        <v>178</v>
      </c>
      <c r="I760" s="2">
        <f t="shared" si="57"/>
        <v>40</v>
      </c>
      <c r="J760" s="2">
        <f t="shared" si="56"/>
        <v>0.1834862385321101</v>
      </c>
    </row>
    <row r="761" spans="1:10">
      <c r="B761" t="s">
        <v>74</v>
      </c>
      <c r="C761" t="s">
        <v>30</v>
      </c>
      <c r="D761" t="s">
        <v>809</v>
      </c>
      <c r="E761">
        <f>165*3</f>
        <v>495</v>
      </c>
      <c r="F761">
        <f>11.99*0.82*0.85</f>
        <v>8.35703</v>
      </c>
      <c r="G761">
        <f>F761*6.9*3</f>
        <v>172.990521</v>
      </c>
      <c r="I761" s="2">
        <f t="shared" si="57"/>
        <v>322.009479</v>
      </c>
      <c r="J761" s="2">
        <f t="shared" si="56"/>
        <v>0.6505242</v>
      </c>
    </row>
    <row r="762" spans="1:10">
      <c r="J762" s="2" t="e">
        <f t="shared" si="56"/>
        <v>#DIV/0!</v>
      </c>
    </row>
    <row r="763" spans="1:10">
      <c r="B763" t="s">
        <v>68</v>
      </c>
      <c r="C763" t="s">
        <v>37</v>
      </c>
      <c r="D763" t="s">
        <v>810</v>
      </c>
      <c r="J763" s="2" t="e">
        <f t="shared" si="56"/>
        <v>#DIV/0!</v>
      </c>
    </row>
    <row r="764" spans="1:10">
      <c r="J764" s="2" t="e">
        <f t="shared" si="56"/>
        <v>#DIV/0!</v>
      </c>
    </row>
    <row r="765" spans="1:10">
      <c r="A765" s="15">
        <v>43616</v>
      </c>
      <c r="B765" t="s">
        <v>106</v>
      </c>
      <c r="D765" t="s">
        <v>811</v>
      </c>
      <c r="E765">
        <v>1450</v>
      </c>
      <c r="F765">
        <f>144.99</f>
        <v>144.99</v>
      </c>
      <c r="G765">
        <f>F765*6.92*0.99</f>
        <v>993.29749200000003</v>
      </c>
      <c r="I765" s="2">
        <f t="shared" ref="I765:I785" si="58">E765-G765+H765</f>
        <v>456.70250799999997</v>
      </c>
      <c r="J765" s="2">
        <f t="shared" si="56"/>
        <v>0.3149672468965517</v>
      </c>
    </row>
    <row r="766" spans="1:10">
      <c r="B766" t="s">
        <v>255</v>
      </c>
      <c r="C766" t="s">
        <v>30</v>
      </c>
      <c r="D766" t="s">
        <v>812</v>
      </c>
      <c r="E766">
        <f>195*7</f>
        <v>1365</v>
      </c>
      <c r="F766">
        <v>165</v>
      </c>
      <c r="G766">
        <f>F766*6.91</f>
        <v>1140.1500000000001</v>
      </c>
      <c r="I766" s="2">
        <f t="shared" si="58"/>
        <v>224.84999999999991</v>
      </c>
      <c r="J766" s="2">
        <f t="shared" si="56"/>
        <v>0.16472527472527465</v>
      </c>
    </row>
    <row r="767" spans="1:10">
      <c r="C767" t="s">
        <v>30</v>
      </c>
      <c r="D767" t="s">
        <v>813</v>
      </c>
      <c r="E767">
        <v>1240</v>
      </c>
      <c r="F767">
        <f>189</f>
        <v>189</v>
      </c>
      <c r="G767">
        <f>F767*0.8*6.85*0.94</f>
        <v>973.57679999999993</v>
      </c>
      <c r="I767" s="2">
        <f t="shared" si="58"/>
        <v>266.42320000000007</v>
      </c>
      <c r="J767" s="2">
        <f t="shared" si="56"/>
        <v>0.21485741935483876</v>
      </c>
    </row>
    <row r="768" spans="1:10">
      <c r="C768" t="s">
        <v>30</v>
      </c>
      <c r="D768" s="2" t="s">
        <v>747</v>
      </c>
      <c r="E768" s="2">
        <f>480*4</f>
        <v>1920</v>
      </c>
      <c r="F768" s="2"/>
      <c r="G768" s="2">
        <f>465*4</f>
        <v>1860</v>
      </c>
      <c r="H768" s="2"/>
      <c r="I768" s="2">
        <f t="shared" si="58"/>
        <v>60</v>
      </c>
      <c r="J768" s="2">
        <f t="shared" si="56"/>
        <v>3.125E-2</v>
      </c>
    </row>
    <row r="769" spans="1:10">
      <c r="B769" t="s">
        <v>260</v>
      </c>
      <c r="C769" t="s">
        <v>30</v>
      </c>
      <c r="D769" t="s">
        <v>190</v>
      </c>
      <c r="E769">
        <v>300</v>
      </c>
      <c r="G769">
        <f>245+10</f>
        <v>255</v>
      </c>
      <c r="I769" s="2">
        <f t="shared" si="58"/>
        <v>45</v>
      </c>
      <c r="J769" s="2">
        <f t="shared" si="56"/>
        <v>0.15</v>
      </c>
    </row>
    <row r="770" spans="1:10">
      <c r="I770" s="2">
        <f t="shared" si="58"/>
        <v>0</v>
      </c>
      <c r="J770" s="2" t="e">
        <f t="shared" si="56"/>
        <v>#DIV/0!</v>
      </c>
    </row>
    <row r="771" spans="1:10">
      <c r="A771" s="15">
        <v>43617</v>
      </c>
      <c r="B771" t="s">
        <v>317</v>
      </c>
      <c r="C771" t="s">
        <v>15</v>
      </c>
      <c r="D771" t="s">
        <v>814</v>
      </c>
      <c r="E771">
        <v>1299</v>
      </c>
      <c r="F771">
        <v>215</v>
      </c>
      <c r="G771">
        <f>F771*0.8*6.8</f>
        <v>1169.5999999999999</v>
      </c>
      <c r="I771" s="2">
        <f t="shared" si="58"/>
        <v>129.40000000000009</v>
      </c>
      <c r="J771" s="2">
        <f t="shared" si="56"/>
        <v>9.9615088529638254E-2</v>
      </c>
    </row>
    <row r="772" spans="1:10">
      <c r="B772" t="s">
        <v>815</v>
      </c>
      <c r="C772" t="s">
        <v>15</v>
      </c>
      <c r="D772" t="s">
        <v>572</v>
      </c>
      <c r="E772">
        <v>199</v>
      </c>
      <c r="G772">
        <v>118</v>
      </c>
      <c r="I772" s="2">
        <f t="shared" si="58"/>
        <v>81</v>
      </c>
      <c r="J772" s="2">
        <f t="shared" si="56"/>
        <v>0.40703517587939697</v>
      </c>
    </row>
    <row r="773" spans="1:10">
      <c r="B773" t="s">
        <v>15</v>
      </c>
      <c r="C773" t="s">
        <v>15</v>
      </c>
      <c r="D773" t="s">
        <v>816</v>
      </c>
      <c r="E773">
        <f>150*7</f>
        <v>1050</v>
      </c>
      <c r="G773">
        <f>118*7</f>
        <v>826</v>
      </c>
      <c r="I773" s="2">
        <f t="shared" si="58"/>
        <v>224</v>
      </c>
      <c r="J773" s="2">
        <f t="shared" si="56"/>
        <v>0.21333333333333335</v>
      </c>
    </row>
    <row r="774" spans="1:10">
      <c r="I774" s="2">
        <f t="shared" si="58"/>
        <v>0</v>
      </c>
      <c r="J774" s="2" t="e">
        <f t="shared" si="56"/>
        <v>#DIV/0!</v>
      </c>
    </row>
    <row r="775" spans="1:10">
      <c r="A775" s="15">
        <v>43618</v>
      </c>
      <c r="B775" t="s">
        <v>817</v>
      </c>
      <c r="D775" t="s">
        <v>818</v>
      </c>
      <c r="E775">
        <v>175</v>
      </c>
      <c r="G775">
        <v>125</v>
      </c>
      <c r="I775" s="2">
        <f t="shared" si="58"/>
        <v>50</v>
      </c>
      <c r="J775" s="2">
        <f t="shared" si="56"/>
        <v>0.2857142857142857</v>
      </c>
    </row>
    <row r="776" spans="1:10">
      <c r="B776" t="s">
        <v>817</v>
      </c>
      <c r="D776" t="s">
        <v>819</v>
      </c>
      <c r="E776">
        <v>350</v>
      </c>
      <c r="F776">
        <v>50</v>
      </c>
      <c r="G776">
        <f>F776*0.8*6.8+8</f>
        <v>280</v>
      </c>
      <c r="I776" s="2">
        <f t="shared" si="58"/>
        <v>70</v>
      </c>
      <c r="J776" s="2">
        <f t="shared" si="56"/>
        <v>0.2</v>
      </c>
    </row>
    <row r="777" spans="1:10">
      <c r="B777" t="s">
        <v>317</v>
      </c>
      <c r="C777" t="s">
        <v>15</v>
      </c>
      <c r="D777" t="s">
        <v>820</v>
      </c>
      <c r="E777">
        <v>1980</v>
      </c>
      <c r="G777">
        <v>1700</v>
      </c>
      <c r="I777" s="2">
        <f t="shared" si="58"/>
        <v>280</v>
      </c>
      <c r="J777" s="2">
        <f t="shared" si="56"/>
        <v>0.14141414141414141</v>
      </c>
    </row>
    <row r="778" spans="1:10">
      <c r="B778" t="s">
        <v>30</v>
      </c>
      <c r="D778" t="s">
        <v>821</v>
      </c>
      <c r="E778">
        <v>550</v>
      </c>
      <c r="G778">
        <v>488</v>
      </c>
      <c r="I778" s="2">
        <f t="shared" si="58"/>
        <v>62</v>
      </c>
      <c r="J778" s="2">
        <f t="shared" si="56"/>
        <v>0.11272727272727273</v>
      </c>
    </row>
    <row r="779" spans="1:10">
      <c r="B779" t="s">
        <v>822</v>
      </c>
      <c r="D779" t="s">
        <v>823</v>
      </c>
      <c r="E779">
        <v>365</v>
      </c>
      <c r="F779">
        <v>45</v>
      </c>
      <c r="G779">
        <f>F779*6.8*0.92</f>
        <v>281.52000000000004</v>
      </c>
      <c r="I779" s="2">
        <f t="shared" si="58"/>
        <v>83.479999999999961</v>
      </c>
      <c r="J779" s="2">
        <f t="shared" si="56"/>
        <v>0.22871232876712319</v>
      </c>
    </row>
    <row r="780" spans="1:10">
      <c r="B780" t="s">
        <v>85</v>
      </c>
      <c r="C780" t="s">
        <v>37</v>
      </c>
      <c r="D780" t="s">
        <v>823</v>
      </c>
      <c r="E780">
        <v>335</v>
      </c>
      <c r="F780">
        <v>45</v>
      </c>
      <c r="G780">
        <f>F780*6.8*0.92</f>
        <v>281.52000000000004</v>
      </c>
      <c r="I780" s="2">
        <f t="shared" si="58"/>
        <v>53.479999999999961</v>
      </c>
      <c r="J780" s="2">
        <f t="shared" si="56"/>
        <v>0.15964179104477599</v>
      </c>
    </row>
    <row r="781" spans="1:10">
      <c r="B781" t="s">
        <v>68</v>
      </c>
      <c r="C781" t="s">
        <v>37</v>
      </c>
      <c r="D781" t="s">
        <v>333</v>
      </c>
      <c r="E781">
        <f>75*2</f>
        <v>150</v>
      </c>
      <c r="F781">
        <f>1550/30</f>
        <v>51.666666666666664</v>
      </c>
      <c r="G781">
        <f>F781*2</f>
        <v>103.33333333333333</v>
      </c>
      <c r="I781" s="2">
        <f t="shared" si="58"/>
        <v>46.666666666666671</v>
      </c>
      <c r="J781" s="2">
        <f t="shared" si="56"/>
        <v>0.31111111111111112</v>
      </c>
    </row>
    <row r="782" spans="1:10">
      <c r="B782" t="s">
        <v>85</v>
      </c>
      <c r="C782" t="s">
        <v>37</v>
      </c>
      <c r="D782" t="s">
        <v>824</v>
      </c>
      <c r="E782">
        <v>580</v>
      </c>
      <c r="G782">
        <v>499</v>
      </c>
      <c r="I782" s="2">
        <f t="shared" si="58"/>
        <v>81</v>
      </c>
      <c r="J782" s="2">
        <f t="shared" si="56"/>
        <v>0.1396551724137931</v>
      </c>
    </row>
    <row r="783" spans="1:10">
      <c r="B783" t="s">
        <v>39</v>
      </c>
      <c r="C783" t="s">
        <v>37</v>
      </c>
      <c r="D783" t="s">
        <v>221</v>
      </c>
      <c r="E783">
        <v>188</v>
      </c>
      <c r="F783">
        <f>32</f>
        <v>32</v>
      </c>
      <c r="G783">
        <f>F783*0.8*6.8</f>
        <v>174.08</v>
      </c>
      <c r="I783" s="2">
        <f t="shared" si="58"/>
        <v>13.919999999999987</v>
      </c>
      <c r="J783" s="2">
        <f t="shared" si="56"/>
        <v>7.4042553191489294E-2</v>
      </c>
    </row>
    <row r="784" spans="1:10">
      <c r="I784" s="2">
        <f t="shared" si="58"/>
        <v>0</v>
      </c>
      <c r="J784" s="2" t="e">
        <f t="shared" si="56"/>
        <v>#DIV/0!</v>
      </c>
    </row>
    <row r="785" spans="1:11">
      <c r="A785" s="15">
        <v>43619</v>
      </c>
      <c r="B785" t="s">
        <v>97</v>
      </c>
      <c r="C785" t="s">
        <v>37</v>
      </c>
      <c r="D785" t="s">
        <v>825</v>
      </c>
      <c r="E785">
        <v>858</v>
      </c>
      <c r="G785">
        <f>790+8-6.66</f>
        <v>791.34</v>
      </c>
      <c r="I785" s="2">
        <f t="shared" si="58"/>
        <v>66.659999999999968</v>
      </c>
      <c r="J785" s="2">
        <f t="shared" si="56"/>
        <v>7.7692307692307658E-2</v>
      </c>
    </row>
    <row r="787" spans="1:11">
      <c r="B787" t="s">
        <v>16</v>
      </c>
      <c r="D787" t="s">
        <v>827</v>
      </c>
      <c r="E787">
        <v>3050</v>
      </c>
      <c r="G787">
        <v>2764.8</v>
      </c>
      <c r="I787" s="2">
        <f t="shared" ref="I787:I801" si="59">E787-G787+H787</f>
        <v>285.19999999999982</v>
      </c>
      <c r="J787" s="2">
        <f t="shared" ref="J787:J804" si="60">I787/E787</f>
        <v>9.3508196721311415E-2</v>
      </c>
    </row>
    <row r="788" spans="1:11">
      <c r="B788" t="s">
        <v>255</v>
      </c>
      <c r="C788" t="s">
        <v>30</v>
      </c>
      <c r="D788" t="s">
        <v>828</v>
      </c>
      <c r="E788">
        <f>190*7*2</f>
        <v>2660</v>
      </c>
      <c r="F788">
        <v>330</v>
      </c>
      <c r="G788">
        <f>F788*0.99*0.985*6.91</f>
        <v>2223.6345449999999</v>
      </c>
      <c r="I788" s="2">
        <f t="shared" si="59"/>
        <v>436.36545500000011</v>
      </c>
      <c r="J788" s="2">
        <f t="shared" si="60"/>
        <v>0.16404716353383464</v>
      </c>
    </row>
    <row r="789" spans="1:11">
      <c r="B789" t="s">
        <v>39</v>
      </c>
      <c r="C789" t="s">
        <v>30</v>
      </c>
      <c r="D789" t="s">
        <v>829</v>
      </c>
      <c r="E789">
        <v>232</v>
      </c>
      <c r="G789">
        <v>208</v>
      </c>
      <c r="I789" s="2">
        <f t="shared" si="59"/>
        <v>24</v>
      </c>
      <c r="J789" s="2">
        <f t="shared" si="60"/>
        <v>0.10344827586206896</v>
      </c>
    </row>
    <row r="790" spans="1:11">
      <c r="I790" s="2">
        <f t="shared" si="59"/>
        <v>0</v>
      </c>
      <c r="J790" s="2" t="e">
        <f t="shared" si="60"/>
        <v>#DIV/0!</v>
      </c>
    </row>
    <row r="791" spans="1:11">
      <c r="A791" s="15">
        <v>43620</v>
      </c>
      <c r="B791" t="s">
        <v>16</v>
      </c>
      <c r="D791" t="s">
        <v>830</v>
      </c>
      <c r="E791">
        <f>320*2</f>
        <v>640</v>
      </c>
      <c r="G791">
        <f>290+260+8</f>
        <v>558</v>
      </c>
      <c r="I791" s="2">
        <f t="shared" si="59"/>
        <v>82</v>
      </c>
      <c r="J791" s="2">
        <f t="shared" si="60"/>
        <v>0.12812499999999999</v>
      </c>
    </row>
    <row r="792" spans="1:11">
      <c r="B792" t="s">
        <v>16</v>
      </c>
      <c r="D792" t="s">
        <v>831</v>
      </c>
      <c r="E792">
        <f>340*2</f>
        <v>680</v>
      </c>
      <c r="G792">
        <f>250*2+10</f>
        <v>510</v>
      </c>
      <c r="I792" s="2">
        <f t="shared" si="59"/>
        <v>170</v>
      </c>
      <c r="J792" s="2">
        <f t="shared" si="60"/>
        <v>0.25</v>
      </c>
    </row>
    <row r="793" spans="1:11">
      <c r="B793" t="s">
        <v>822</v>
      </c>
      <c r="D793" t="s">
        <v>832</v>
      </c>
      <c r="E793">
        <v>138</v>
      </c>
      <c r="G793">
        <v>0</v>
      </c>
      <c r="I793" s="2">
        <f t="shared" si="59"/>
        <v>138</v>
      </c>
      <c r="J793" s="2">
        <f t="shared" si="60"/>
        <v>1</v>
      </c>
    </row>
    <row r="794" spans="1:11">
      <c r="A794" s="3"/>
      <c r="B794" s="16" t="s">
        <v>39</v>
      </c>
      <c r="C794" s="16"/>
      <c r="D794" s="16" t="s">
        <v>833</v>
      </c>
      <c r="E794" s="16">
        <v>362</v>
      </c>
      <c r="F794" s="16"/>
      <c r="G794" s="16">
        <f>1475/5+1.1</f>
        <v>296.10000000000002</v>
      </c>
      <c r="H794" s="16"/>
      <c r="I794" s="17">
        <f t="shared" si="59"/>
        <v>65.899999999999977</v>
      </c>
      <c r="J794" s="2">
        <f t="shared" si="60"/>
        <v>0.18204419889502757</v>
      </c>
    </row>
    <row r="795" spans="1:11">
      <c r="A795" s="3"/>
      <c r="B795" s="16" t="s">
        <v>68</v>
      </c>
      <c r="C795" s="16" t="s">
        <v>37</v>
      </c>
      <c r="D795" s="16" t="s">
        <v>834</v>
      </c>
      <c r="E795" s="16">
        <v>125</v>
      </c>
      <c r="F795" s="16">
        <v>8</v>
      </c>
      <c r="G795" s="16">
        <f>F795*6.8</f>
        <v>54.4</v>
      </c>
      <c r="H795" s="16"/>
      <c r="I795" s="2">
        <f t="shared" si="59"/>
        <v>70.599999999999994</v>
      </c>
      <c r="J795" s="2">
        <f t="shared" si="60"/>
        <v>0.56479999999999997</v>
      </c>
    </row>
    <row r="796" spans="1:11">
      <c r="B796" t="s">
        <v>132</v>
      </c>
      <c r="C796" t="s">
        <v>37</v>
      </c>
      <c r="D796" s="16" t="s">
        <v>739</v>
      </c>
      <c r="E796" s="16">
        <v>185</v>
      </c>
      <c r="F796" s="16"/>
      <c r="G796" s="16"/>
      <c r="H796" s="16"/>
      <c r="I796" s="2">
        <f t="shared" si="59"/>
        <v>185</v>
      </c>
      <c r="J796" s="2">
        <f t="shared" si="60"/>
        <v>1</v>
      </c>
    </row>
    <row r="797" spans="1:11">
      <c r="C797" t="s">
        <v>30</v>
      </c>
      <c r="D797" s="16" t="s">
        <v>835</v>
      </c>
      <c r="E797" s="16">
        <v>160</v>
      </c>
      <c r="G797">
        <v>139</v>
      </c>
      <c r="I797" s="2">
        <f t="shared" si="59"/>
        <v>21</v>
      </c>
      <c r="J797" s="2">
        <f t="shared" si="60"/>
        <v>0.13125000000000001</v>
      </c>
      <c r="K797">
        <f>SUM(I791:I804)+1200</f>
        <v>2381.6999999999998</v>
      </c>
    </row>
    <row r="798" spans="1:11">
      <c r="B798" t="s">
        <v>836</v>
      </c>
      <c r="C798" t="s">
        <v>30</v>
      </c>
      <c r="D798" s="16" t="s">
        <v>837</v>
      </c>
      <c r="E798" s="16">
        <v>258</v>
      </c>
      <c r="F798">
        <v>32</v>
      </c>
      <c r="G798">
        <f>F798*6.9</f>
        <v>220.8</v>
      </c>
      <c r="I798" s="2">
        <f t="shared" si="59"/>
        <v>37.199999999999989</v>
      </c>
      <c r="J798" s="2">
        <f t="shared" si="60"/>
        <v>0.14418604651162786</v>
      </c>
    </row>
    <row r="799" spans="1:11">
      <c r="B799" s="16" t="s">
        <v>245</v>
      </c>
      <c r="C799" s="16" t="s">
        <v>30</v>
      </c>
      <c r="D799" s="16" t="s">
        <v>838</v>
      </c>
      <c r="E799" s="16">
        <f>425*5+10</f>
        <v>2135</v>
      </c>
      <c r="F799" s="16"/>
      <c r="G799" s="16">
        <f>400*5+10</f>
        <v>2010</v>
      </c>
      <c r="H799" s="16"/>
      <c r="I799" s="17">
        <f t="shared" si="59"/>
        <v>125</v>
      </c>
      <c r="J799" s="2">
        <f t="shared" si="60"/>
        <v>5.8548009367681501E-2</v>
      </c>
    </row>
    <row r="800" spans="1:11">
      <c r="B800" s="21"/>
      <c r="C800" s="21"/>
      <c r="D800" s="21" t="s">
        <v>839</v>
      </c>
      <c r="E800" s="21">
        <v>425</v>
      </c>
      <c r="F800" s="21"/>
      <c r="G800" s="21">
        <f>400*1</f>
        <v>400</v>
      </c>
      <c r="H800" s="21"/>
      <c r="I800" s="22">
        <f t="shared" si="59"/>
        <v>25</v>
      </c>
      <c r="J800" s="2">
        <f t="shared" si="60"/>
        <v>5.8823529411764705E-2</v>
      </c>
    </row>
    <row r="801" spans="1:11">
      <c r="C801" t="s">
        <v>15</v>
      </c>
      <c r="D801" s="16" t="s">
        <v>572</v>
      </c>
      <c r="E801" s="16">
        <v>199</v>
      </c>
      <c r="G801">
        <v>118</v>
      </c>
      <c r="I801" s="2">
        <f t="shared" si="59"/>
        <v>81</v>
      </c>
      <c r="J801" s="2">
        <f t="shared" si="60"/>
        <v>0.40703517587939697</v>
      </c>
    </row>
    <row r="802" spans="1:11">
      <c r="B802" t="s">
        <v>840</v>
      </c>
      <c r="C802" t="s">
        <v>15</v>
      </c>
      <c r="D802" s="16" t="s">
        <v>833</v>
      </c>
      <c r="E802" s="16">
        <v>399</v>
      </c>
      <c r="G802">
        <f>295+10</f>
        <v>305</v>
      </c>
      <c r="J802" s="2">
        <f t="shared" si="60"/>
        <v>0</v>
      </c>
    </row>
    <row r="803" spans="1:11">
      <c r="A803" s="15">
        <v>43621</v>
      </c>
      <c r="B803" t="s">
        <v>841</v>
      </c>
      <c r="D803" s="16" t="s">
        <v>842</v>
      </c>
      <c r="E803" s="16">
        <v>225</v>
      </c>
      <c r="G803">
        <v>147</v>
      </c>
      <c r="I803" s="2">
        <f t="shared" ref="I803:I812" si="61">E803-G803+H803</f>
        <v>78</v>
      </c>
      <c r="J803" s="2">
        <f t="shared" si="60"/>
        <v>0.34666666666666668</v>
      </c>
    </row>
    <row r="804" spans="1:11">
      <c r="B804" t="s">
        <v>841</v>
      </c>
      <c r="D804" s="16" t="s">
        <v>498</v>
      </c>
      <c r="E804" s="16">
        <v>375</v>
      </c>
      <c r="F804">
        <v>50</v>
      </c>
      <c r="G804">
        <f>F804*0.8*6.8</f>
        <v>272</v>
      </c>
      <c r="I804" s="2">
        <f t="shared" si="61"/>
        <v>103</v>
      </c>
      <c r="J804" s="2">
        <f t="shared" si="60"/>
        <v>0.27466666666666667</v>
      </c>
    </row>
    <row r="805" spans="1:11">
      <c r="C805" t="s">
        <v>30</v>
      </c>
      <c r="D805" s="16" t="s">
        <v>489</v>
      </c>
      <c r="E805">
        <f>160+10</f>
        <v>170</v>
      </c>
      <c r="I805" s="2">
        <f t="shared" si="61"/>
        <v>170</v>
      </c>
      <c r="J805" s="2">
        <f t="shared" ref="J805:J812" si="62">I805/E805</f>
        <v>1</v>
      </c>
    </row>
    <row r="806" spans="1:11">
      <c r="B806" t="s">
        <v>97</v>
      </c>
      <c r="C806" t="s">
        <v>37</v>
      </c>
      <c r="D806" s="16" t="s">
        <v>843</v>
      </c>
      <c r="E806" s="16">
        <v>70</v>
      </c>
      <c r="I806" s="2">
        <f t="shared" si="61"/>
        <v>70</v>
      </c>
      <c r="J806" s="2">
        <f t="shared" si="62"/>
        <v>1</v>
      </c>
      <c r="K806">
        <f>SUM(I803:I809)</f>
        <v>1059.74378</v>
      </c>
    </row>
    <row r="807" spans="1:11">
      <c r="B807" t="s">
        <v>844</v>
      </c>
      <c r="D807" s="16" t="s">
        <v>845</v>
      </c>
      <c r="E807" s="16">
        <v>590</v>
      </c>
      <c r="F807">
        <v>17.77</v>
      </c>
      <c r="G807">
        <f>F807*6.9*0.94</f>
        <v>115.25622</v>
      </c>
      <c r="I807" s="2">
        <f t="shared" si="61"/>
        <v>474.74378000000002</v>
      </c>
      <c r="J807" s="2">
        <f t="shared" si="62"/>
        <v>0.80465047457627126</v>
      </c>
    </row>
    <row r="808" spans="1:11">
      <c r="B808" t="s">
        <v>846</v>
      </c>
      <c r="D808" s="16" t="s">
        <v>847</v>
      </c>
      <c r="E808" s="16">
        <v>1150</v>
      </c>
      <c r="G808">
        <v>1018</v>
      </c>
      <c r="I808" s="2">
        <f t="shared" si="61"/>
        <v>132</v>
      </c>
      <c r="J808" s="2">
        <f t="shared" si="62"/>
        <v>0.11478260869565217</v>
      </c>
    </row>
    <row r="809" spans="1:11">
      <c r="B809" t="s">
        <v>846</v>
      </c>
      <c r="D809" s="16" t="s">
        <v>848</v>
      </c>
      <c r="E809" s="16">
        <v>210</v>
      </c>
      <c r="G809">
        <f>178</f>
        <v>178</v>
      </c>
      <c r="I809" s="2">
        <f t="shared" si="61"/>
        <v>32</v>
      </c>
      <c r="J809" s="2">
        <f t="shared" si="62"/>
        <v>0.15238095238095239</v>
      </c>
    </row>
    <row r="810" spans="1:11">
      <c r="B810" t="s">
        <v>139</v>
      </c>
      <c r="D810" s="16" t="s">
        <v>583</v>
      </c>
      <c r="E810">
        <f>199+10</f>
        <v>209</v>
      </c>
      <c r="G810">
        <f>145+8</f>
        <v>153</v>
      </c>
      <c r="I810" s="2">
        <f t="shared" si="61"/>
        <v>56</v>
      </c>
      <c r="J810" s="2">
        <f t="shared" si="62"/>
        <v>0.26794258373205743</v>
      </c>
    </row>
    <row r="811" spans="1:11">
      <c r="B811" t="s">
        <v>849</v>
      </c>
      <c r="D811" s="16" t="s">
        <v>850</v>
      </c>
      <c r="E811" s="16">
        <v>220</v>
      </c>
      <c r="G811">
        <v>180</v>
      </c>
      <c r="I811" s="2">
        <f t="shared" si="61"/>
        <v>40</v>
      </c>
      <c r="J811" s="2">
        <f t="shared" si="62"/>
        <v>0.18181818181818182</v>
      </c>
    </row>
    <row r="812" spans="1:11">
      <c r="B812" t="s">
        <v>849</v>
      </c>
      <c r="C812" t="s">
        <v>303</v>
      </c>
      <c r="D812" s="16" t="s">
        <v>155</v>
      </c>
      <c r="E812" s="16">
        <v>239</v>
      </c>
      <c r="G812">
        <v>195</v>
      </c>
      <c r="I812" s="2">
        <f t="shared" si="61"/>
        <v>44</v>
      </c>
      <c r="J812" s="2">
        <f t="shared" si="62"/>
        <v>0.18410041841004185</v>
      </c>
    </row>
    <row r="814" spans="1:11">
      <c r="A814" s="15">
        <v>43622</v>
      </c>
      <c r="C814" t="s">
        <v>30</v>
      </c>
      <c r="D814" s="16" t="s">
        <v>851</v>
      </c>
      <c r="E814" s="16">
        <v>680</v>
      </c>
      <c r="G814">
        <v>674</v>
      </c>
      <c r="I814" s="2">
        <f>E814-G814+H814</f>
        <v>6</v>
      </c>
      <c r="J814" s="2">
        <f>I814/E814</f>
        <v>8.8235294117647058E-3</v>
      </c>
    </row>
    <row r="815" spans="1:11">
      <c r="B815" t="s">
        <v>852</v>
      </c>
      <c r="D815" s="16" t="s">
        <v>853</v>
      </c>
      <c r="E815" s="16">
        <v>399</v>
      </c>
      <c r="G815">
        <v>0</v>
      </c>
      <c r="I815" s="2">
        <f>E815-G815+H815</f>
        <v>399</v>
      </c>
      <c r="J815" s="2">
        <f>I815/E815</f>
        <v>1</v>
      </c>
    </row>
    <row r="816" spans="1:11">
      <c r="B816" s="16" t="s">
        <v>39</v>
      </c>
      <c r="C816" s="16"/>
      <c r="D816" s="23" t="s">
        <v>219</v>
      </c>
      <c r="E816" s="16">
        <v>440</v>
      </c>
      <c r="F816" s="16"/>
      <c r="G816" s="16">
        <v>400</v>
      </c>
      <c r="H816" s="16"/>
      <c r="I816" s="17">
        <f>E816-G816+H816</f>
        <v>40</v>
      </c>
      <c r="J816" s="17">
        <f>I816/E816</f>
        <v>9.0909090909090912E-2</v>
      </c>
    </row>
    <row r="819" spans="1:10">
      <c r="A819" s="15">
        <v>43623</v>
      </c>
      <c r="C819" t="s">
        <v>15</v>
      </c>
      <c r="D819" t="s">
        <v>582</v>
      </c>
      <c r="E819" s="16">
        <v>650</v>
      </c>
      <c r="G819">
        <v>540</v>
      </c>
      <c r="I819" s="2">
        <f>E819-G819+H819</f>
        <v>110</v>
      </c>
      <c r="J819" s="2">
        <f t="shared" ref="J819:J857" si="63">I819/E819</f>
        <v>0.16923076923076924</v>
      </c>
    </row>
    <row r="820" spans="1:10">
      <c r="B820" t="s">
        <v>854</v>
      </c>
      <c r="D820" t="s">
        <v>855</v>
      </c>
      <c r="E820">
        <f>185+10</f>
        <v>195</v>
      </c>
      <c r="G820">
        <f>155+8</f>
        <v>163</v>
      </c>
      <c r="I820" s="2">
        <f>E820-G820+H820</f>
        <v>32</v>
      </c>
      <c r="J820" s="2">
        <f t="shared" si="63"/>
        <v>0.1641025641025641</v>
      </c>
    </row>
    <row r="821" spans="1:10">
      <c r="C821" t="s">
        <v>30</v>
      </c>
      <c r="D821" s="16" t="s">
        <v>105</v>
      </c>
      <c r="E821" s="16">
        <v>1280</v>
      </c>
      <c r="F821">
        <f>159.98</f>
        <v>159.97999999999999</v>
      </c>
      <c r="G821">
        <f>F821*6.91*0.92*0.99*0.97</f>
        <v>976.64896921680008</v>
      </c>
      <c r="I821" s="2">
        <f>E821-G821+H821</f>
        <v>303.35103078319992</v>
      </c>
      <c r="J821" s="2">
        <f t="shared" si="63"/>
        <v>0.23699299279937494</v>
      </c>
    </row>
    <row r="822" spans="1:10">
      <c r="B822" t="s">
        <v>746</v>
      </c>
      <c r="C822" t="s">
        <v>30</v>
      </c>
      <c r="D822" t="s">
        <v>856</v>
      </c>
      <c r="E822" s="16">
        <v>500</v>
      </c>
      <c r="G822">
        <v>450</v>
      </c>
      <c r="I822" s="2">
        <f t="shared" ref="I822:I857" si="64">E822-G822+H822</f>
        <v>50</v>
      </c>
      <c r="J822" s="2">
        <f t="shared" si="63"/>
        <v>0.1</v>
      </c>
    </row>
    <row r="823" spans="1:10">
      <c r="B823" t="s">
        <v>857</v>
      </c>
      <c r="C823" t="s">
        <v>15</v>
      </c>
      <c r="D823" s="16" t="s">
        <v>858</v>
      </c>
      <c r="E823" s="16">
        <v>570</v>
      </c>
      <c r="F823">
        <f>92</f>
        <v>92</v>
      </c>
      <c r="G823">
        <f>F823*0.8*0.92*0.985*6.91</f>
        <v>460.87157120000012</v>
      </c>
      <c r="I823" s="2">
        <f t="shared" si="64"/>
        <v>109.12842879999988</v>
      </c>
      <c r="J823" s="2">
        <f t="shared" si="63"/>
        <v>0.19145338385964891</v>
      </c>
    </row>
    <row r="824" spans="1:10">
      <c r="B824" t="s">
        <v>857</v>
      </c>
      <c r="C824" t="s">
        <v>15</v>
      </c>
      <c r="D824" s="16" t="s">
        <v>858</v>
      </c>
      <c r="E824" s="16">
        <v>630</v>
      </c>
      <c r="F824">
        <f>100</f>
        <v>100</v>
      </c>
      <c r="G824">
        <f>F824*0.8*0.92*0.985*6.91</f>
        <v>500.94736000000006</v>
      </c>
      <c r="I824" s="2">
        <f t="shared" si="64"/>
        <v>129.05263999999994</v>
      </c>
      <c r="J824" s="2">
        <f t="shared" si="63"/>
        <v>0.20484546031746023</v>
      </c>
    </row>
    <row r="825" spans="1:10">
      <c r="B825" s="3" t="s">
        <v>39</v>
      </c>
      <c r="C825" s="3"/>
      <c r="D825" s="3" t="s">
        <v>859</v>
      </c>
      <c r="E825" s="3">
        <v>370</v>
      </c>
      <c r="F825" s="3"/>
      <c r="G825" s="3">
        <v>320</v>
      </c>
      <c r="H825" s="3"/>
      <c r="I825" s="12">
        <f t="shared" si="64"/>
        <v>50</v>
      </c>
      <c r="J825" s="12">
        <f t="shared" si="63"/>
        <v>0.13513513513513514</v>
      </c>
    </row>
    <row r="826" spans="1:10">
      <c r="B826" t="s">
        <v>860</v>
      </c>
      <c r="C826" t="s">
        <v>30</v>
      </c>
      <c r="D826" s="16" t="s">
        <v>861</v>
      </c>
      <c r="E826" s="16">
        <v>1010</v>
      </c>
      <c r="G826">
        <v>950</v>
      </c>
      <c r="I826" s="2">
        <f t="shared" si="64"/>
        <v>60</v>
      </c>
      <c r="J826" s="2">
        <f t="shared" si="63"/>
        <v>5.9405940594059403E-2</v>
      </c>
    </row>
    <row r="827" spans="1:10">
      <c r="B827" t="s">
        <v>39</v>
      </c>
      <c r="C827" t="s">
        <v>30</v>
      </c>
      <c r="D827" s="16" t="s">
        <v>862</v>
      </c>
      <c r="E827" s="16">
        <v>835</v>
      </c>
      <c r="G827">
        <v>670</v>
      </c>
      <c r="I827" s="2">
        <f t="shared" si="64"/>
        <v>165</v>
      </c>
      <c r="J827" s="2">
        <f t="shared" si="63"/>
        <v>0.19760479041916168</v>
      </c>
    </row>
    <row r="828" spans="1:10">
      <c r="D828" s="16" t="s">
        <v>421</v>
      </c>
      <c r="F828">
        <f>150</f>
        <v>150</v>
      </c>
      <c r="G828">
        <f>F828*6.91</f>
        <v>1036.5</v>
      </c>
      <c r="I828" s="2">
        <f t="shared" si="64"/>
        <v>-1036.5</v>
      </c>
      <c r="J828" s="2"/>
    </row>
    <row r="829" spans="1:10">
      <c r="I829" s="2">
        <f t="shared" si="64"/>
        <v>0</v>
      </c>
      <c r="J829" s="2"/>
    </row>
    <row r="830" spans="1:10">
      <c r="I830" s="2">
        <f t="shared" si="64"/>
        <v>0</v>
      </c>
      <c r="J830" s="2"/>
    </row>
    <row r="831" spans="1:10">
      <c r="A831" s="15">
        <v>43624</v>
      </c>
      <c r="B831" t="s">
        <v>840</v>
      </c>
      <c r="D831" s="16" t="s">
        <v>57</v>
      </c>
      <c r="E831">
        <f>269*2</f>
        <v>538</v>
      </c>
      <c r="F831">
        <f>38</f>
        <v>38</v>
      </c>
      <c r="G831">
        <f>F831*0.8*6.8*2+18</f>
        <v>431.44</v>
      </c>
      <c r="I831" s="2">
        <f t="shared" si="64"/>
        <v>106.56</v>
      </c>
      <c r="J831" s="2">
        <f t="shared" si="63"/>
        <v>0.19806691449814126</v>
      </c>
    </row>
    <row r="832" spans="1:10">
      <c r="B832" t="s">
        <v>863</v>
      </c>
      <c r="C832" t="s">
        <v>30</v>
      </c>
      <c r="D832" s="16" t="s">
        <v>864</v>
      </c>
      <c r="E832">
        <v>320</v>
      </c>
      <c r="F832">
        <f>50</f>
        <v>50</v>
      </c>
      <c r="G832">
        <f>F832*0.75*6.8</f>
        <v>255</v>
      </c>
      <c r="I832" s="2">
        <f t="shared" si="64"/>
        <v>65</v>
      </c>
      <c r="J832" s="2">
        <f t="shared" si="63"/>
        <v>0.203125</v>
      </c>
    </row>
    <row r="833" spans="1:10">
      <c r="B833" t="s">
        <v>865</v>
      </c>
      <c r="D833" s="16" t="s">
        <v>866</v>
      </c>
      <c r="E833">
        <f>360*6.91</f>
        <v>2487.6</v>
      </c>
      <c r="F833">
        <v>360</v>
      </c>
      <c r="G833">
        <f>F833*6.91</f>
        <v>2487.6</v>
      </c>
      <c r="H833">
        <f>450*0.15*6.91</f>
        <v>466.42500000000001</v>
      </c>
      <c r="I833" s="2">
        <f t="shared" si="64"/>
        <v>466.42500000000001</v>
      </c>
      <c r="J833" s="2">
        <f t="shared" si="63"/>
        <v>0.1875</v>
      </c>
    </row>
    <row r="834" spans="1:10">
      <c r="B834" t="s">
        <v>854</v>
      </c>
      <c r="D834" s="16" t="s">
        <v>867</v>
      </c>
      <c r="E834">
        <v>530</v>
      </c>
      <c r="G834">
        <v>400</v>
      </c>
      <c r="I834" s="2">
        <f t="shared" si="64"/>
        <v>130</v>
      </c>
      <c r="J834" s="2">
        <f t="shared" si="63"/>
        <v>0.24528301886792453</v>
      </c>
    </row>
    <row r="835" spans="1:10">
      <c r="D835" s="16"/>
      <c r="I835" s="2">
        <f t="shared" si="64"/>
        <v>0</v>
      </c>
      <c r="J835" s="2" t="e">
        <f t="shared" si="63"/>
        <v>#DIV/0!</v>
      </c>
    </row>
    <row r="836" spans="1:10">
      <c r="A836" s="15">
        <v>43625</v>
      </c>
      <c r="D836" s="16" t="s">
        <v>868</v>
      </c>
      <c r="E836" s="16"/>
      <c r="F836" s="16"/>
      <c r="G836" s="16">
        <v>510</v>
      </c>
      <c r="I836" s="2">
        <f t="shared" si="64"/>
        <v>-510</v>
      </c>
      <c r="J836" s="2" t="e">
        <f t="shared" si="63"/>
        <v>#DIV/0!</v>
      </c>
    </row>
    <row r="837" spans="1:10">
      <c r="B837" s="6" t="s">
        <v>869</v>
      </c>
      <c r="C837" s="6"/>
      <c r="D837" s="24" t="s">
        <v>870</v>
      </c>
      <c r="E837" s="6">
        <v>820</v>
      </c>
      <c r="F837" s="6"/>
      <c r="G837" s="6"/>
      <c r="H837" s="6"/>
      <c r="I837" s="6">
        <f t="shared" si="64"/>
        <v>820</v>
      </c>
      <c r="J837" s="6">
        <f t="shared" si="63"/>
        <v>1</v>
      </c>
    </row>
    <row r="838" spans="1:10">
      <c r="B838" t="s">
        <v>39</v>
      </c>
      <c r="C838" t="s">
        <v>30</v>
      </c>
      <c r="D838" s="16" t="s">
        <v>871</v>
      </c>
      <c r="E838">
        <f>235*2</f>
        <v>470</v>
      </c>
      <c r="F838">
        <v>38</v>
      </c>
      <c r="G838">
        <f>F838*0.8*6.8*2</f>
        <v>413.44</v>
      </c>
      <c r="I838" s="2">
        <f t="shared" si="64"/>
        <v>56.56</v>
      </c>
      <c r="J838" s="2">
        <f t="shared" si="63"/>
        <v>0.1203404255319149</v>
      </c>
    </row>
    <row r="839" spans="1:10">
      <c r="B839" t="s">
        <v>39</v>
      </c>
      <c r="C839" t="s">
        <v>30</v>
      </c>
      <c r="D839" s="16" t="s">
        <v>872</v>
      </c>
      <c r="E839">
        <f>235*2</f>
        <v>470</v>
      </c>
      <c r="F839">
        <f>39</f>
        <v>39</v>
      </c>
      <c r="G839">
        <f>F839*6.8*0.89*0.92*0.99*2</f>
        <v>429.9486048</v>
      </c>
      <c r="I839" s="2">
        <f t="shared" si="64"/>
        <v>40.051395200000002</v>
      </c>
      <c r="J839" s="2">
        <f t="shared" si="63"/>
        <v>8.5215734468085114E-2</v>
      </c>
    </row>
    <row r="840" spans="1:10">
      <c r="B840" t="s">
        <v>873</v>
      </c>
      <c r="C840" t="s">
        <v>30</v>
      </c>
      <c r="D840" s="16" t="s">
        <v>867</v>
      </c>
      <c r="E840">
        <v>470</v>
      </c>
      <c r="G840">
        <v>410</v>
      </c>
      <c r="I840" s="2">
        <f t="shared" si="64"/>
        <v>60</v>
      </c>
      <c r="J840" s="2">
        <f t="shared" si="63"/>
        <v>0.1276595744680851</v>
      </c>
    </row>
    <row r="841" spans="1:10">
      <c r="B841" t="s">
        <v>873</v>
      </c>
      <c r="C841" t="s">
        <v>30</v>
      </c>
      <c r="D841" s="16" t="s">
        <v>737</v>
      </c>
      <c r="E841">
        <v>125</v>
      </c>
      <c r="F841">
        <f>22</f>
        <v>22</v>
      </c>
      <c r="G841">
        <f>F841*0.8*6.8</f>
        <v>119.68</v>
      </c>
      <c r="I841" s="2">
        <f t="shared" si="64"/>
        <v>5.3199999999999932</v>
      </c>
      <c r="J841" s="2">
        <f t="shared" si="63"/>
        <v>4.2559999999999945E-2</v>
      </c>
    </row>
    <row r="842" spans="1:10">
      <c r="B842" t="s">
        <v>874</v>
      </c>
      <c r="D842" s="16" t="s">
        <v>875</v>
      </c>
      <c r="E842">
        <v>199</v>
      </c>
      <c r="G842">
        <v>155</v>
      </c>
      <c r="I842" s="2">
        <f t="shared" si="64"/>
        <v>44</v>
      </c>
      <c r="J842" s="2">
        <f t="shared" si="63"/>
        <v>0.22110552763819097</v>
      </c>
    </row>
    <row r="843" spans="1:10">
      <c r="B843" t="s">
        <v>876</v>
      </c>
      <c r="D843" s="16" t="s">
        <v>877</v>
      </c>
      <c r="E843">
        <v>220</v>
      </c>
      <c r="G843">
        <v>160</v>
      </c>
      <c r="I843" s="2">
        <f t="shared" si="64"/>
        <v>60</v>
      </c>
      <c r="J843" s="2">
        <f t="shared" si="63"/>
        <v>0.27272727272727271</v>
      </c>
    </row>
    <row r="844" spans="1:10">
      <c r="B844" t="s">
        <v>39</v>
      </c>
      <c r="C844" t="s">
        <v>30</v>
      </c>
      <c r="D844" s="16" t="s">
        <v>878</v>
      </c>
      <c r="E844">
        <v>1720</v>
      </c>
      <c r="G844">
        <v>1350</v>
      </c>
      <c r="I844" s="2">
        <f t="shared" si="64"/>
        <v>370</v>
      </c>
      <c r="J844" s="2">
        <f t="shared" si="63"/>
        <v>0.21511627906976744</v>
      </c>
    </row>
    <row r="845" spans="1:10">
      <c r="I845" s="2">
        <f t="shared" si="64"/>
        <v>0</v>
      </c>
      <c r="J845" s="2" t="e">
        <f t="shared" si="63"/>
        <v>#DIV/0!</v>
      </c>
    </row>
    <row r="846" spans="1:10">
      <c r="A846" s="15">
        <v>43626</v>
      </c>
      <c r="B846" t="s">
        <v>879</v>
      </c>
      <c r="C846" t="s">
        <v>30</v>
      </c>
      <c r="D846" s="16" t="s">
        <v>880</v>
      </c>
      <c r="E846">
        <f>300</f>
        <v>300</v>
      </c>
      <c r="F846">
        <f>28</f>
        <v>28</v>
      </c>
      <c r="G846">
        <f>F846*0.75*6.8</f>
        <v>142.79999999999998</v>
      </c>
      <c r="I846" s="2">
        <f t="shared" si="64"/>
        <v>157.20000000000002</v>
      </c>
      <c r="J846" s="2">
        <f t="shared" si="63"/>
        <v>0.52400000000000002</v>
      </c>
    </row>
    <row r="847" spans="1:10">
      <c r="B847" t="s">
        <v>537</v>
      </c>
      <c r="D847" s="16" t="s">
        <v>881</v>
      </c>
      <c r="E847">
        <v>5</v>
      </c>
      <c r="I847" s="2">
        <f t="shared" si="64"/>
        <v>5</v>
      </c>
      <c r="J847" s="2">
        <f t="shared" si="63"/>
        <v>1</v>
      </c>
    </row>
    <row r="848" spans="1:10">
      <c r="B848" t="s">
        <v>245</v>
      </c>
      <c r="C848" t="s">
        <v>30</v>
      </c>
      <c r="D848" s="16" t="s">
        <v>850</v>
      </c>
      <c r="E848">
        <f>80*4+88*2+93*8</f>
        <v>1240</v>
      </c>
      <c r="G848">
        <f>666+180+180</f>
        <v>1026</v>
      </c>
      <c r="I848" s="2">
        <f t="shared" si="64"/>
        <v>214</v>
      </c>
      <c r="J848" s="2">
        <f t="shared" si="63"/>
        <v>0.17258064516129032</v>
      </c>
    </row>
    <row r="849" spans="1:10">
      <c r="B849" t="s">
        <v>245</v>
      </c>
      <c r="D849" s="16" t="s">
        <v>882</v>
      </c>
      <c r="E849">
        <v>80</v>
      </c>
      <c r="F849">
        <v>8.35</v>
      </c>
      <c r="G849">
        <f>F849*6.91*0.9</f>
        <v>51.928649999999998</v>
      </c>
      <c r="I849" s="2">
        <f t="shared" si="64"/>
        <v>28.071350000000002</v>
      </c>
      <c r="J849" s="2">
        <f t="shared" si="63"/>
        <v>0.35089187500000002</v>
      </c>
    </row>
    <row r="850" spans="1:10">
      <c r="B850" t="s">
        <v>252</v>
      </c>
      <c r="C850" t="s">
        <v>30</v>
      </c>
      <c r="D850" s="16" t="s">
        <v>883</v>
      </c>
      <c r="E850">
        <v>1850</v>
      </c>
      <c r="G850">
        <f>(1550/30)*8+13*(1600/30)+4*85+57+8+8+12</f>
        <v>1531.6666666666667</v>
      </c>
      <c r="I850" s="2">
        <f t="shared" si="64"/>
        <v>318.33333333333326</v>
      </c>
      <c r="J850" s="2">
        <f t="shared" si="63"/>
        <v>0.17207207207207204</v>
      </c>
    </row>
    <row r="851" spans="1:10">
      <c r="B851" t="s">
        <v>252</v>
      </c>
      <c r="C851" t="s">
        <v>30</v>
      </c>
      <c r="D851" s="16" t="s">
        <v>884</v>
      </c>
      <c r="E851">
        <v>140</v>
      </c>
      <c r="G851">
        <f>50+52+10</f>
        <v>112</v>
      </c>
      <c r="I851" s="2">
        <f t="shared" si="64"/>
        <v>28</v>
      </c>
      <c r="J851" s="2">
        <f t="shared" si="63"/>
        <v>0.2</v>
      </c>
    </row>
    <row r="852" spans="1:10">
      <c r="B852" t="s">
        <v>216</v>
      </c>
      <c r="D852" s="16" t="s">
        <v>885</v>
      </c>
      <c r="E852">
        <f>90*4</f>
        <v>360</v>
      </c>
      <c r="G852">
        <f>(1550/30)*2+2*(1600/30)</f>
        <v>210</v>
      </c>
      <c r="I852" s="2">
        <f t="shared" si="64"/>
        <v>150</v>
      </c>
      <c r="J852" s="2">
        <f t="shared" si="63"/>
        <v>0.41666666666666669</v>
      </c>
    </row>
    <row r="853" spans="1:10">
      <c r="B853" t="s">
        <v>39</v>
      </c>
      <c r="C853" t="s">
        <v>30</v>
      </c>
      <c r="D853" s="16" t="s">
        <v>44</v>
      </c>
      <c r="E853">
        <v>310</v>
      </c>
      <c r="I853" s="2">
        <f t="shared" si="64"/>
        <v>310</v>
      </c>
      <c r="J853" s="2">
        <f t="shared" si="63"/>
        <v>1</v>
      </c>
    </row>
    <row r="854" spans="1:10">
      <c r="B854" t="s">
        <v>42</v>
      </c>
      <c r="D854" s="16" t="s">
        <v>886</v>
      </c>
      <c r="E854">
        <v>150</v>
      </c>
      <c r="I854" s="2">
        <f t="shared" si="64"/>
        <v>150</v>
      </c>
      <c r="J854" s="2">
        <f t="shared" si="63"/>
        <v>1</v>
      </c>
    </row>
    <row r="855" spans="1:10">
      <c r="B855" t="s">
        <v>311</v>
      </c>
      <c r="C855" t="s">
        <v>30</v>
      </c>
      <c r="D855" s="16" t="s">
        <v>887</v>
      </c>
      <c r="E855">
        <f>237*3</f>
        <v>711</v>
      </c>
      <c r="I855" s="2">
        <f t="shared" si="64"/>
        <v>711</v>
      </c>
      <c r="J855" s="2">
        <f t="shared" si="63"/>
        <v>1</v>
      </c>
    </row>
    <row r="856" spans="1:10">
      <c r="B856" t="s">
        <v>267</v>
      </c>
      <c r="C856" t="s">
        <v>30</v>
      </c>
      <c r="D856" s="16" t="s">
        <v>888</v>
      </c>
      <c r="E856">
        <v>250</v>
      </c>
      <c r="G856">
        <v>120</v>
      </c>
      <c r="I856" s="2">
        <f t="shared" si="64"/>
        <v>130</v>
      </c>
      <c r="J856" s="2">
        <f t="shared" si="63"/>
        <v>0.52</v>
      </c>
    </row>
    <row r="857" spans="1:10">
      <c r="C857" t="s">
        <v>15</v>
      </c>
      <c r="D857" s="16" t="s">
        <v>889</v>
      </c>
      <c r="E857">
        <v>125</v>
      </c>
      <c r="G857">
        <v>60</v>
      </c>
      <c r="I857" s="2">
        <f t="shared" si="64"/>
        <v>65</v>
      </c>
      <c r="J857" s="2">
        <f t="shared" si="63"/>
        <v>0.52</v>
      </c>
    </row>
    <row r="858" spans="1:10">
      <c r="D858" s="16"/>
    </row>
    <row r="859" spans="1:10">
      <c r="D859" s="16" t="s">
        <v>890</v>
      </c>
      <c r="G859">
        <f>-1000</f>
        <v>-1000</v>
      </c>
    </row>
    <row r="862" spans="1:10">
      <c r="A862" s="15">
        <v>43627</v>
      </c>
      <c r="B862" t="s">
        <v>39</v>
      </c>
      <c r="C862" t="s">
        <v>30</v>
      </c>
      <c r="D862" s="16" t="s">
        <v>891</v>
      </c>
      <c r="E862">
        <v>800</v>
      </c>
      <c r="G862">
        <v>650</v>
      </c>
      <c r="I862" s="2">
        <f t="shared" ref="I862:I882" si="65">E862-G862+H862</f>
        <v>150</v>
      </c>
      <c r="J862" s="2">
        <f t="shared" ref="J862:J881" si="66">I862/E862</f>
        <v>0.1875</v>
      </c>
    </row>
    <row r="863" spans="1:10">
      <c r="B863" t="s">
        <v>267</v>
      </c>
      <c r="C863" t="s">
        <v>30</v>
      </c>
      <c r="D863" t="s">
        <v>892</v>
      </c>
      <c r="E863">
        <v>255</v>
      </c>
      <c r="F863">
        <v>42</v>
      </c>
      <c r="G863">
        <f>F863*0.75*6.84</f>
        <v>215.46</v>
      </c>
      <c r="I863" s="2">
        <f t="shared" si="65"/>
        <v>39.539999999999992</v>
      </c>
      <c r="J863" s="2">
        <f t="shared" si="66"/>
        <v>0.15505882352941172</v>
      </c>
    </row>
    <row r="864" spans="1:10">
      <c r="B864" t="s">
        <v>782</v>
      </c>
      <c r="C864" t="s">
        <v>30</v>
      </c>
      <c r="D864" t="s">
        <v>893</v>
      </c>
      <c r="E864">
        <f>190*6.91</f>
        <v>1312.9</v>
      </c>
      <c r="F864">
        <v>188.6</v>
      </c>
      <c r="G864">
        <f>F864*6.91</f>
        <v>1303.2259999999999</v>
      </c>
      <c r="H864">
        <f>188.6*0.01*6.91</f>
        <v>13.032259999999999</v>
      </c>
      <c r="I864" s="2">
        <f t="shared" si="65"/>
        <v>22.706260000000206</v>
      </c>
      <c r="J864" s="2">
        <f t="shared" si="66"/>
        <v>1.7294736842105418E-2</v>
      </c>
    </row>
    <row r="865" spans="1:10">
      <c r="B865" t="s">
        <v>537</v>
      </c>
      <c r="D865" s="16" t="s">
        <v>881</v>
      </c>
      <c r="E865">
        <v>2</v>
      </c>
      <c r="I865" s="2">
        <f t="shared" si="65"/>
        <v>2</v>
      </c>
      <c r="J865" s="2">
        <f t="shared" si="66"/>
        <v>1</v>
      </c>
    </row>
    <row r="866" spans="1:10">
      <c r="B866" t="s">
        <v>39</v>
      </c>
      <c r="C866" t="s">
        <v>30</v>
      </c>
      <c r="D866" t="s">
        <v>894</v>
      </c>
      <c r="E866">
        <v>104</v>
      </c>
      <c r="G866">
        <v>0</v>
      </c>
      <c r="I866" s="2">
        <f t="shared" si="65"/>
        <v>104</v>
      </c>
      <c r="J866" s="2">
        <f t="shared" si="66"/>
        <v>1</v>
      </c>
    </row>
    <row r="867" spans="1:10">
      <c r="B867" t="s">
        <v>895</v>
      </c>
      <c r="D867" t="s">
        <v>896</v>
      </c>
      <c r="E867">
        <v>880</v>
      </c>
      <c r="G867">
        <v>560</v>
      </c>
      <c r="I867" s="2">
        <f t="shared" si="65"/>
        <v>320</v>
      </c>
      <c r="J867" s="2">
        <f t="shared" si="66"/>
        <v>0.36363636363636365</v>
      </c>
    </row>
    <row r="868" spans="1:10">
      <c r="C868" t="s">
        <v>30</v>
      </c>
      <c r="D868" t="s">
        <v>897</v>
      </c>
      <c r="E868">
        <v>46</v>
      </c>
      <c r="G868">
        <v>0</v>
      </c>
      <c r="I868" s="2">
        <f t="shared" si="65"/>
        <v>46</v>
      </c>
      <c r="J868" s="2">
        <f t="shared" si="66"/>
        <v>1</v>
      </c>
    </row>
    <row r="869" spans="1:10">
      <c r="B869" t="s">
        <v>252</v>
      </c>
      <c r="C869" t="s">
        <v>30</v>
      </c>
      <c r="D869" s="16" t="s">
        <v>885</v>
      </c>
      <c r="E869">
        <f>70*4</f>
        <v>280</v>
      </c>
      <c r="G869">
        <f>(1550/30)*2+2*(1600/30)</f>
        <v>210</v>
      </c>
      <c r="I869" s="2">
        <f t="shared" si="65"/>
        <v>70</v>
      </c>
      <c r="J869" s="2">
        <f t="shared" si="66"/>
        <v>0.25</v>
      </c>
    </row>
    <row r="870" spans="1:10">
      <c r="C870" t="s">
        <v>30</v>
      </c>
      <c r="D870" t="s">
        <v>898</v>
      </c>
      <c r="E870">
        <f>190*7</f>
        <v>1330</v>
      </c>
      <c r="F870">
        <f>165.1</f>
        <v>165.1</v>
      </c>
      <c r="G870">
        <f>F870*6.92</f>
        <v>1142.492</v>
      </c>
      <c r="H870">
        <f>F870*0.016*6.9</f>
        <v>18.227040000000002</v>
      </c>
      <c r="I870" s="2">
        <f t="shared" si="65"/>
        <v>205.73504000000003</v>
      </c>
      <c r="J870" s="2">
        <f t="shared" si="66"/>
        <v>0.15468800000000002</v>
      </c>
    </row>
    <row r="871" spans="1:10">
      <c r="B871" t="s">
        <v>899</v>
      </c>
      <c r="C871" t="s">
        <v>30</v>
      </c>
      <c r="D871" t="s">
        <v>900</v>
      </c>
      <c r="E871">
        <f>190*7*2</f>
        <v>2660</v>
      </c>
      <c r="F871">
        <f>165.1</f>
        <v>165.1</v>
      </c>
      <c r="G871">
        <f>F871*6.92*2</f>
        <v>2284.9839999999999</v>
      </c>
      <c r="H871">
        <f>F871*0.016*6.9*2</f>
        <v>36.454080000000005</v>
      </c>
      <c r="I871" s="2">
        <f t="shared" si="65"/>
        <v>411.47008000000005</v>
      </c>
      <c r="J871" s="2">
        <f t="shared" si="66"/>
        <v>0.15468800000000002</v>
      </c>
    </row>
    <row r="872" spans="1:10">
      <c r="B872" t="s">
        <v>899</v>
      </c>
      <c r="C872" t="s">
        <v>30</v>
      </c>
      <c r="D872" t="s">
        <v>898</v>
      </c>
      <c r="E872">
        <f>190*7</f>
        <v>1330</v>
      </c>
      <c r="F872">
        <f>165.1</f>
        <v>165.1</v>
      </c>
      <c r="G872">
        <f>F872*6.92</f>
        <v>1142.492</v>
      </c>
      <c r="H872">
        <f>F872*0.016*6.9</f>
        <v>18.227040000000002</v>
      </c>
      <c r="I872" s="2">
        <f t="shared" si="65"/>
        <v>205.73504000000003</v>
      </c>
      <c r="J872" s="2">
        <f t="shared" si="66"/>
        <v>0.15468800000000002</v>
      </c>
    </row>
    <row r="873" spans="1:10">
      <c r="B873" t="s">
        <v>901</v>
      </c>
      <c r="C873" t="s">
        <v>30</v>
      </c>
      <c r="D873" t="s">
        <v>902</v>
      </c>
      <c r="E873">
        <v>1170</v>
      </c>
      <c r="F873">
        <v>185</v>
      </c>
      <c r="G873">
        <f>F873*0.85*0.9*0.95*6.9</f>
        <v>927.69637499999999</v>
      </c>
      <c r="I873" s="2">
        <f t="shared" si="65"/>
        <v>242.30362500000001</v>
      </c>
      <c r="J873" s="2">
        <f t="shared" si="66"/>
        <v>0.20709711538461539</v>
      </c>
    </row>
    <row r="874" spans="1:10">
      <c r="B874" t="s">
        <v>311</v>
      </c>
      <c r="C874" t="s">
        <v>30</v>
      </c>
      <c r="D874" t="s">
        <v>903</v>
      </c>
      <c r="E874">
        <v>558</v>
      </c>
      <c r="G874">
        <v>520</v>
      </c>
      <c r="I874" s="2">
        <f t="shared" si="65"/>
        <v>38</v>
      </c>
      <c r="J874" s="2">
        <f t="shared" si="66"/>
        <v>6.8100358422939072E-2</v>
      </c>
    </row>
    <row r="875" spans="1:10">
      <c r="I875" s="2">
        <f t="shared" si="65"/>
        <v>0</v>
      </c>
      <c r="J875" s="2" t="e">
        <f t="shared" si="66"/>
        <v>#DIV/0!</v>
      </c>
    </row>
    <row r="876" spans="1:10">
      <c r="A876" s="15">
        <v>43628</v>
      </c>
      <c r="C876" t="s">
        <v>30</v>
      </c>
      <c r="D876" t="s">
        <v>904</v>
      </c>
      <c r="E876">
        <v>265</v>
      </c>
      <c r="F876">
        <f>40</f>
        <v>40</v>
      </c>
      <c r="G876">
        <f>F876*6.9*0.75*0.98</f>
        <v>202.85999999999999</v>
      </c>
      <c r="I876" s="2">
        <f t="shared" si="65"/>
        <v>62.140000000000015</v>
      </c>
      <c r="J876" s="2">
        <f t="shared" si="66"/>
        <v>0.23449056603773591</v>
      </c>
    </row>
    <row r="877" spans="1:10">
      <c r="C877" t="s">
        <v>37</v>
      </c>
      <c r="D877" t="s">
        <v>905</v>
      </c>
      <c r="E877">
        <v>199</v>
      </c>
      <c r="G877">
        <v>0</v>
      </c>
      <c r="I877" s="2">
        <f t="shared" si="65"/>
        <v>199</v>
      </c>
      <c r="J877" s="2">
        <f t="shared" si="66"/>
        <v>1</v>
      </c>
    </row>
    <row r="878" spans="1:10">
      <c r="B878" t="s">
        <v>39</v>
      </c>
      <c r="C878" t="s">
        <v>30</v>
      </c>
      <c r="D878" t="s">
        <v>906</v>
      </c>
      <c r="E878">
        <v>2840</v>
      </c>
      <c r="F878">
        <f>432.44-5</f>
        <v>427.44</v>
      </c>
      <c r="G878">
        <f>F878*6.92</f>
        <v>2957.8847999999998</v>
      </c>
      <c r="H878">
        <f>407*0.08*1.6*6.92+427.44*0.01*6.92</f>
        <v>390.083168</v>
      </c>
      <c r="I878" s="2">
        <f t="shared" si="65"/>
        <v>272.19836800000019</v>
      </c>
      <c r="J878" s="2">
        <f t="shared" si="66"/>
        <v>9.5844495774647959E-2</v>
      </c>
    </row>
    <row r="879" spans="1:10">
      <c r="B879" t="s">
        <v>245</v>
      </c>
      <c r="C879" t="s">
        <v>30</v>
      </c>
      <c r="D879" t="s">
        <v>79</v>
      </c>
      <c r="E879">
        <f>148*2</f>
        <v>296</v>
      </c>
      <c r="G879">
        <f>108*2</f>
        <v>216</v>
      </c>
      <c r="I879" s="2">
        <f t="shared" si="65"/>
        <v>80</v>
      </c>
      <c r="J879" s="2">
        <f t="shared" si="66"/>
        <v>0.27027027027027029</v>
      </c>
    </row>
    <row r="880" spans="1:10">
      <c r="C880" t="s">
        <v>30</v>
      </c>
      <c r="D880" t="s">
        <v>769</v>
      </c>
      <c r="E880">
        <v>89</v>
      </c>
      <c r="F880">
        <v>7</v>
      </c>
      <c r="G880">
        <f>F880*6.9</f>
        <v>48.300000000000004</v>
      </c>
      <c r="I880" s="2">
        <f t="shared" si="65"/>
        <v>40.699999999999996</v>
      </c>
      <c r="J880" s="2">
        <f t="shared" si="66"/>
        <v>0.45730337078651678</v>
      </c>
    </row>
    <row r="881" spans="1:10">
      <c r="B881" t="s">
        <v>399</v>
      </c>
      <c r="C881" t="s">
        <v>30</v>
      </c>
      <c r="D881" t="s">
        <v>907</v>
      </c>
      <c r="E881">
        <v>285</v>
      </c>
      <c r="F881">
        <f>39</f>
        <v>39</v>
      </c>
      <c r="G881">
        <f>F881*0.8*6.9</f>
        <v>215.28000000000003</v>
      </c>
      <c r="I881" s="2">
        <f t="shared" si="65"/>
        <v>69.71999999999997</v>
      </c>
      <c r="J881" s="2">
        <f t="shared" si="66"/>
        <v>0.24463157894736831</v>
      </c>
    </row>
    <row r="882" spans="1:10">
      <c r="B882" t="s">
        <v>322</v>
      </c>
      <c r="D882" t="s">
        <v>904</v>
      </c>
      <c r="E882">
        <v>330</v>
      </c>
      <c r="F882">
        <f>40</f>
        <v>40</v>
      </c>
      <c r="G882">
        <f>F882*6.9*0.75*0.98</f>
        <v>202.85999999999999</v>
      </c>
      <c r="I882" s="2">
        <f t="shared" si="65"/>
        <v>127.14000000000001</v>
      </c>
    </row>
    <row r="883" spans="1:10">
      <c r="I883" s="2"/>
    </row>
    <row r="884" spans="1:10">
      <c r="A884" s="15">
        <v>43629</v>
      </c>
      <c r="B884" s="3" t="s">
        <v>39</v>
      </c>
      <c r="C884" s="3" t="s">
        <v>30</v>
      </c>
      <c r="D884" s="3" t="s">
        <v>906</v>
      </c>
      <c r="E884" s="3">
        <v>2840</v>
      </c>
      <c r="F884" s="3"/>
      <c r="G884" s="3">
        <v>2580</v>
      </c>
      <c r="H884" s="3"/>
      <c r="I884" s="12">
        <f t="shared" ref="I884:I910" si="67">E884-G884+H884</f>
        <v>260</v>
      </c>
      <c r="J884" s="12">
        <f t="shared" ref="J884:J910" si="68">I884/E884</f>
        <v>9.154929577464789E-2</v>
      </c>
    </row>
    <row r="885" spans="1:10">
      <c r="B885" t="s">
        <v>908</v>
      </c>
      <c r="D885" t="s">
        <v>909</v>
      </c>
      <c r="E885">
        <v>2580</v>
      </c>
      <c r="G885">
        <v>2280</v>
      </c>
      <c r="I885" s="12">
        <f t="shared" si="67"/>
        <v>300</v>
      </c>
      <c r="J885" s="12">
        <f t="shared" si="68"/>
        <v>0.11627906976744186</v>
      </c>
    </row>
    <row r="886" spans="1:10">
      <c r="B886" t="s">
        <v>910</v>
      </c>
      <c r="C886" t="s">
        <v>30</v>
      </c>
      <c r="D886" t="s">
        <v>911</v>
      </c>
      <c r="E886">
        <v>155</v>
      </c>
      <c r="G886">
        <v>130</v>
      </c>
      <c r="I886" s="12">
        <f t="shared" si="67"/>
        <v>25</v>
      </c>
      <c r="J886" s="12">
        <f t="shared" si="68"/>
        <v>0.16129032258064516</v>
      </c>
    </row>
    <row r="887" spans="1:10">
      <c r="B887" t="s">
        <v>391</v>
      </c>
      <c r="D887" t="s">
        <v>43</v>
      </c>
      <c r="E887">
        <v>199</v>
      </c>
      <c r="G887">
        <v>172</v>
      </c>
      <c r="I887" s="12">
        <f t="shared" si="67"/>
        <v>27</v>
      </c>
      <c r="J887" s="12">
        <f t="shared" si="68"/>
        <v>0.135678391959799</v>
      </c>
    </row>
    <row r="888" spans="1:10">
      <c r="B888" t="s">
        <v>391</v>
      </c>
      <c r="D888" t="s">
        <v>912</v>
      </c>
      <c r="E888">
        <v>66</v>
      </c>
      <c r="G888">
        <v>0</v>
      </c>
      <c r="I888" s="12">
        <f t="shared" si="67"/>
        <v>66</v>
      </c>
      <c r="J888" s="12">
        <f t="shared" si="68"/>
        <v>1</v>
      </c>
    </row>
    <row r="889" spans="1:10">
      <c r="C889" t="s">
        <v>37</v>
      </c>
      <c r="D889" t="s">
        <v>913</v>
      </c>
      <c r="E889">
        <v>235</v>
      </c>
      <c r="G889">
        <v>200</v>
      </c>
      <c r="I889" s="12">
        <f t="shared" si="67"/>
        <v>35</v>
      </c>
      <c r="J889" s="12">
        <f t="shared" si="68"/>
        <v>0.14893617021276595</v>
      </c>
    </row>
    <row r="890" spans="1:10">
      <c r="D890" t="s">
        <v>914</v>
      </c>
      <c r="E890">
        <v>400</v>
      </c>
      <c r="I890" s="12">
        <f t="shared" si="67"/>
        <v>400</v>
      </c>
      <c r="J890" s="12">
        <f t="shared" si="68"/>
        <v>1</v>
      </c>
    </row>
    <row r="891" spans="1:10">
      <c r="B891" t="s">
        <v>873</v>
      </c>
      <c r="C891" t="s">
        <v>30</v>
      </c>
      <c r="D891" t="s">
        <v>915</v>
      </c>
      <c r="E891">
        <v>295</v>
      </c>
      <c r="G891">
        <v>255</v>
      </c>
      <c r="I891" s="12">
        <f t="shared" si="67"/>
        <v>40</v>
      </c>
      <c r="J891" s="12">
        <f t="shared" si="68"/>
        <v>0.13559322033898305</v>
      </c>
    </row>
    <row r="892" spans="1:10">
      <c r="B892" t="s">
        <v>873</v>
      </c>
      <c r="C892" t="s">
        <v>30</v>
      </c>
      <c r="D892" s="2" t="s">
        <v>916</v>
      </c>
      <c r="E892" s="2">
        <f>490*2</f>
        <v>980</v>
      </c>
      <c r="G892">
        <f>470*2</f>
        <v>940</v>
      </c>
      <c r="I892" s="12">
        <f t="shared" si="67"/>
        <v>40</v>
      </c>
      <c r="J892" s="12">
        <f t="shared" si="68"/>
        <v>4.0816326530612242E-2</v>
      </c>
    </row>
    <row r="893" spans="1:10">
      <c r="B893" t="s">
        <v>278</v>
      </c>
      <c r="D893" t="s">
        <v>917</v>
      </c>
      <c r="E893">
        <f>90*2</f>
        <v>180</v>
      </c>
      <c r="G893">
        <f>(1550/30)*2+8</f>
        <v>111.33333333333333</v>
      </c>
      <c r="I893" s="12">
        <f t="shared" si="67"/>
        <v>68.666666666666671</v>
      </c>
      <c r="J893" s="12">
        <f t="shared" si="68"/>
        <v>0.38148148148148153</v>
      </c>
    </row>
    <row r="894" spans="1:10">
      <c r="B894" t="s">
        <v>918</v>
      </c>
      <c r="C894" t="s">
        <v>30</v>
      </c>
      <c r="D894" t="s">
        <v>919</v>
      </c>
      <c r="E894">
        <v>200</v>
      </c>
      <c r="G894">
        <v>154.94999999999999</v>
      </c>
      <c r="I894" s="12">
        <f t="shared" si="67"/>
        <v>45.050000000000011</v>
      </c>
      <c r="J894" s="12">
        <f t="shared" si="68"/>
        <v>0.22525000000000006</v>
      </c>
    </row>
    <row r="895" spans="1:10">
      <c r="B895" t="s">
        <v>918</v>
      </c>
      <c r="C895" t="s">
        <v>30</v>
      </c>
      <c r="D895" t="s">
        <v>919</v>
      </c>
      <c r="E895">
        <v>179</v>
      </c>
      <c r="G895">
        <v>129</v>
      </c>
      <c r="I895" s="12">
        <f t="shared" si="67"/>
        <v>50</v>
      </c>
      <c r="J895" s="12">
        <f t="shared" si="68"/>
        <v>0.27932960893854747</v>
      </c>
    </row>
    <row r="896" spans="1:10">
      <c r="B896" t="s">
        <v>873</v>
      </c>
      <c r="C896" t="s">
        <v>30</v>
      </c>
      <c r="D896" t="s">
        <v>920</v>
      </c>
      <c r="E896">
        <v>295</v>
      </c>
      <c r="F896">
        <v>48</v>
      </c>
      <c r="G896">
        <f>F896*0.75*6.9</f>
        <v>248.4</v>
      </c>
      <c r="I896" s="12">
        <f t="shared" si="67"/>
        <v>46.599999999999994</v>
      </c>
      <c r="J896" s="12">
        <f t="shared" si="68"/>
        <v>0.15796610169491523</v>
      </c>
    </row>
    <row r="897" spans="1:10">
      <c r="I897" s="12">
        <f t="shared" si="67"/>
        <v>0</v>
      </c>
      <c r="J897" s="12" t="e">
        <f t="shared" si="68"/>
        <v>#DIV/0!</v>
      </c>
    </row>
    <row r="898" spans="1:10">
      <c r="A898" s="15">
        <v>43630</v>
      </c>
      <c r="C898" t="s">
        <v>30</v>
      </c>
      <c r="D898" t="s">
        <v>921</v>
      </c>
      <c r="E898">
        <v>450</v>
      </c>
      <c r="I898" s="12">
        <f t="shared" si="67"/>
        <v>450</v>
      </c>
      <c r="J898" s="12">
        <f t="shared" si="68"/>
        <v>1</v>
      </c>
    </row>
    <row r="899" spans="1:10">
      <c r="B899" s="16" t="s">
        <v>267</v>
      </c>
      <c r="C899" s="16" t="s">
        <v>30</v>
      </c>
      <c r="D899" s="16" t="s">
        <v>769</v>
      </c>
      <c r="E899">
        <v>110</v>
      </c>
      <c r="F899">
        <f>45/6</f>
        <v>7.5</v>
      </c>
      <c r="G899">
        <f>F899*6.85*2</f>
        <v>102.75</v>
      </c>
      <c r="I899" s="12">
        <f t="shared" si="67"/>
        <v>7.25</v>
      </c>
      <c r="J899" s="12">
        <f t="shared" si="68"/>
        <v>6.5909090909090903E-2</v>
      </c>
    </row>
    <row r="900" spans="1:10">
      <c r="B900" t="s">
        <v>97</v>
      </c>
      <c r="C900" t="s">
        <v>37</v>
      </c>
      <c r="D900" t="s">
        <v>922</v>
      </c>
      <c r="E900">
        <v>158</v>
      </c>
      <c r="I900" s="12">
        <f t="shared" si="67"/>
        <v>158</v>
      </c>
      <c r="J900" s="12">
        <f t="shared" si="68"/>
        <v>1</v>
      </c>
    </row>
    <row r="901" spans="1:10">
      <c r="B901" t="s">
        <v>923</v>
      </c>
      <c r="C901" t="s">
        <v>30</v>
      </c>
      <c r="D901" t="s">
        <v>451</v>
      </c>
      <c r="E901">
        <v>265</v>
      </c>
      <c r="F901">
        <v>42</v>
      </c>
      <c r="G901">
        <f>F901*0.8*6.8</f>
        <v>228.48</v>
      </c>
      <c r="I901" s="12">
        <f t="shared" si="67"/>
        <v>36.52000000000001</v>
      </c>
      <c r="J901" s="12">
        <f t="shared" si="68"/>
        <v>0.13781132075471703</v>
      </c>
    </row>
    <row r="902" spans="1:10">
      <c r="B902" t="s">
        <v>39</v>
      </c>
      <c r="C902" t="s">
        <v>30</v>
      </c>
      <c r="D902" t="s">
        <v>57</v>
      </c>
      <c r="E902">
        <v>235</v>
      </c>
      <c r="I902" s="12">
        <f t="shared" si="67"/>
        <v>235</v>
      </c>
      <c r="J902" s="12">
        <f t="shared" si="68"/>
        <v>1</v>
      </c>
    </row>
    <row r="903" spans="1:10">
      <c r="B903" t="s">
        <v>39</v>
      </c>
      <c r="C903" t="s">
        <v>30</v>
      </c>
      <c r="D903" t="s">
        <v>924</v>
      </c>
      <c r="E903">
        <v>235</v>
      </c>
      <c r="I903" s="12">
        <f t="shared" si="67"/>
        <v>235</v>
      </c>
      <c r="J903" s="12">
        <f t="shared" si="68"/>
        <v>1</v>
      </c>
    </row>
    <row r="904" spans="1:10">
      <c r="B904" t="s">
        <v>39</v>
      </c>
      <c r="C904" t="s">
        <v>30</v>
      </c>
      <c r="D904" t="s">
        <v>925</v>
      </c>
      <c r="E904">
        <v>150</v>
      </c>
      <c r="G904">
        <v>100</v>
      </c>
      <c r="I904" s="12">
        <f t="shared" si="67"/>
        <v>50</v>
      </c>
      <c r="J904" s="12">
        <f t="shared" si="68"/>
        <v>0.33333333333333331</v>
      </c>
    </row>
    <row r="905" spans="1:10">
      <c r="B905" t="s">
        <v>39</v>
      </c>
      <c r="C905" t="s">
        <v>30</v>
      </c>
      <c r="D905" t="s">
        <v>926</v>
      </c>
      <c r="E905">
        <v>1100</v>
      </c>
      <c r="F905">
        <f>146.2*0.9*0.95</f>
        <v>125.00099999999998</v>
      </c>
      <c r="G905">
        <f>F905*6.91</f>
        <v>863.75690999999983</v>
      </c>
      <c r="I905" s="12">
        <f t="shared" si="67"/>
        <v>236.24309000000017</v>
      </c>
      <c r="J905" s="12">
        <f t="shared" si="68"/>
        <v>0.2147664454545456</v>
      </c>
    </row>
    <row r="906" spans="1:10">
      <c r="I906" s="12">
        <f t="shared" si="67"/>
        <v>0</v>
      </c>
      <c r="J906" s="12" t="e">
        <f t="shared" si="68"/>
        <v>#DIV/0!</v>
      </c>
    </row>
    <row r="907" spans="1:10">
      <c r="A907" s="15">
        <v>43631</v>
      </c>
      <c r="B907" t="s">
        <v>39</v>
      </c>
      <c r="C907" t="s">
        <v>30</v>
      </c>
      <c r="D907" t="s">
        <v>927</v>
      </c>
      <c r="E907">
        <v>490</v>
      </c>
      <c r="G907">
        <v>406</v>
      </c>
      <c r="I907" s="12">
        <f t="shared" si="67"/>
        <v>84</v>
      </c>
      <c r="J907" s="12">
        <f t="shared" si="68"/>
        <v>0.17142857142857143</v>
      </c>
    </row>
    <row r="908" spans="1:10">
      <c r="B908" t="s">
        <v>928</v>
      </c>
      <c r="C908" t="s">
        <v>37</v>
      </c>
      <c r="D908" t="s">
        <v>929</v>
      </c>
      <c r="E908">
        <v>160</v>
      </c>
      <c r="G908">
        <v>123</v>
      </c>
      <c r="I908" s="12">
        <f t="shared" si="67"/>
        <v>37</v>
      </c>
      <c r="J908" s="12">
        <f t="shared" si="68"/>
        <v>0.23125000000000001</v>
      </c>
    </row>
    <row r="909" spans="1:10">
      <c r="B909" t="s">
        <v>928</v>
      </c>
      <c r="C909" t="s">
        <v>37</v>
      </c>
      <c r="D909" t="s">
        <v>929</v>
      </c>
      <c r="E909">
        <v>150</v>
      </c>
      <c r="G909">
        <v>100</v>
      </c>
      <c r="I909" s="12">
        <f t="shared" si="67"/>
        <v>50</v>
      </c>
      <c r="J909" s="12">
        <f t="shared" si="68"/>
        <v>0.33333333333333331</v>
      </c>
    </row>
    <row r="910" spans="1:10">
      <c r="B910" t="s">
        <v>74</v>
      </c>
      <c r="C910" t="s">
        <v>30</v>
      </c>
      <c r="D910" t="s">
        <v>930</v>
      </c>
      <c r="E910">
        <v>132</v>
      </c>
      <c r="G910">
        <f>105+12</f>
        <v>117</v>
      </c>
      <c r="I910" s="12">
        <f t="shared" si="67"/>
        <v>15</v>
      </c>
      <c r="J910" s="12">
        <f t="shared" si="68"/>
        <v>0.11363636363636363</v>
      </c>
    </row>
    <row r="911" spans="1:10">
      <c r="B911" t="s">
        <v>39</v>
      </c>
      <c r="C911" t="s">
        <v>30</v>
      </c>
      <c r="D911" t="s">
        <v>931</v>
      </c>
      <c r="E911">
        <v>490</v>
      </c>
      <c r="G911">
        <v>396</v>
      </c>
      <c r="I911" s="12">
        <f>E911-G911+H911</f>
        <v>94</v>
      </c>
      <c r="J911" s="12">
        <f>I911/E911</f>
        <v>0.19183673469387755</v>
      </c>
    </row>
    <row r="912" spans="1:10">
      <c r="B912" t="s">
        <v>822</v>
      </c>
      <c r="D912" t="s">
        <v>932</v>
      </c>
      <c r="E912">
        <v>135</v>
      </c>
      <c r="G912">
        <v>480</v>
      </c>
      <c r="I912" s="12">
        <f>E912-G912+H912</f>
        <v>-345</v>
      </c>
      <c r="J912" s="12">
        <f>I912/E912</f>
        <v>-2.5555555555555554</v>
      </c>
    </row>
    <row r="913" spans="1:11">
      <c r="C913" t="s">
        <v>30</v>
      </c>
      <c r="D913" t="s">
        <v>933</v>
      </c>
      <c r="E913">
        <v>340</v>
      </c>
      <c r="F913">
        <v>50</v>
      </c>
      <c r="G913">
        <f>F913*0.75*6.8</f>
        <v>255</v>
      </c>
      <c r="I913" s="12">
        <f>E913-G913+H913</f>
        <v>85</v>
      </c>
      <c r="J913" s="12">
        <f>I913/E913</f>
        <v>0.25</v>
      </c>
    </row>
    <row r="914" spans="1:11">
      <c r="C914" t="s">
        <v>37</v>
      </c>
      <c r="D914" t="s">
        <v>497</v>
      </c>
      <c r="E914">
        <v>249</v>
      </c>
      <c r="F914">
        <f>17.99*1.0625</f>
        <v>19.114374999999999</v>
      </c>
      <c r="G914">
        <f>F914*0.75*6.8</f>
        <v>97.483312499999997</v>
      </c>
      <c r="I914" s="12">
        <f>E914-G914+H914</f>
        <v>151.51668749999999</v>
      </c>
      <c r="J914" s="12">
        <f>I914/E914</f>
        <v>0.6085007530120482</v>
      </c>
    </row>
    <row r="915" spans="1:11">
      <c r="D915" t="s">
        <v>315</v>
      </c>
      <c r="E915">
        <v>177</v>
      </c>
      <c r="G915">
        <v>0</v>
      </c>
      <c r="I915" s="12">
        <f>E915-G915+H915</f>
        <v>177</v>
      </c>
      <c r="J915" s="12">
        <f>I915/E915</f>
        <v>1</v>
      </c>
    </row>
    <row r="917" spans="1:11">
      <c r="A917" s="15">
        <v>43632</v>
      </c>
      <c r="B917" t="s">
        <v>782</v>
      </c>
      <c r="C917" t="s">
        <v>30</v>
      </c>
      <c r="D917" t="s">
        <v>934</v>
      </c>
      <c r="E917">
        <v>200</v>
      </c>
      <c r="G917">
        <f>20*6.8</f>
        <v>136</v>
      </c>
      <c r="I917" s="12">
        <f t="shared" ref="I917:I923" si="69">E917-G917+H917</f>
        <v>64</v>
      </c>
      <c r="J917" s="12">
        <f t="shared" ref="J917:J923" si="70">I917/E917</f>
        <v>0.32</v>
      </c>
    </row>
    <row r="918" spans="1:11">
      <c r="B918" t="s">
        <v>142</v>
      </c>
      <c r="D918" t="s">
        <v>747</v>
      </c>
      <c r="E918">
        <v>550</v>
      </c>
      <c r="G918">
        <v>417.3</v>
      </c>
      <c r="I918" s="12">
        <f t="shared" si="69"/>
        <v>132.69999999999999</v>
      </c>
      <c r="J918" s="12">
        <f t="shared" si="70"/>
        <v>0.24127272727272725</v>
      </c>
      <c r="K918" t="s">
        <v>935</v>
      </c>
    </row>
    <row r="919" spans="1:11">
      <c r="B919" t="s">
        <v>790</v>
      </c>
      <c r="D919" t="s">
        <v>936</v>
      </c>
      <c r="E919">
        <f>575-320</f>
        <v>255</v>
      </c>
      <c r="G919">
        <f>186</f>
        <v>186</v>
      </c>
      <c r="I919" s="12">
        <f t="shared" si="69"/>
        <v>69</v>
      </c>
      <c r="J919" s="12">
        <f t="shared" si="70"/>
        <v>0.27058823529411763</v>
      </c>
    </row>
    <row r="920" spans="1:11">
      <c r="B920" t="s">
        <v>790</v>
      </c>
      <c r="D920" t="s">
        <v>937</v>
      </c>
      <c r="E920">
        <v>320</v>
      </c>
      <c r="I920" s="12">
        <f t="shared" si="69"/>
        <v>320</v>
      </c>
      <c r="J920" s="12">
        <f t="shared" si="70"/>
        <v>1</v>
      </c>
    </row>
    <row r="921" spans="1:11">
      <c r="B921" t="s">
        <v>723</v>
      </c>
      <c r="D921" t="s">
        <v>938</v>
      </c>
      <c r="E921">
        <v>150</v>
      </c>
      <c r="I921" s="12">
        <f t="shared" si="69"/>
        <v>150</v>
      </c>
      <c r="J921" s="12">
        <f t="shared" si="70"/>
        <v>1</v>
      </c>
    </row>
    <row r="922" spans="1:11">
      <c r="B922" t="s">
        <v>39</v>
      </c>
      <c r="C922" t="s">
        <v>30</v>
      </c>
      <c r="D922" t="s">
        <v>23</v>
      </c>
      <c r="E922">
        <v>239</v>
      </c>
      <c r="F922">
        <f>31.5</f>
        <v>31.5</v>
      </c>
      <c r="G922">
        <f>F922*6.8*0.89*0.92*0.99</f>
        <v>173.63309040000001</v>
      </c>
      <c r="I922" s="12">
        <f t="shared" si="69"/>
        <v>65.366909599999985</v>
      </c>
      <c r="J922" s="12">
        <f t="shared" si="70"/>
        <v>0.2735017138075313</v>
      </c>
    </row>
    <row r="923" spans="1:11">
      <c r="B923" t="s">
        <v>939</v>
      </c>
      <c r="D923" t="s">
        <v>934</v>
      </c>
      <c r="E923">
        <f>259+8</f>
        <v>267</v>
      </c>
      <c r="G923">
        <v>136</v>
      </c>
      <c r="I923" s="12">
        <f t="shared" si="69"/>
        <v>131</v>
      </c>
      <c r="J923" s="12">
        <f t="shared" si="70"/>
        <v>0.49063670411985016</v>
      </c>
    </row>
    <row r="924" spans="1:11">
      <c r="B924" t="s">
        <v>940</v>
      </c>
      <c r="C924" t="s">
        <v>30</v>
      </c>
      <c r="D924" t="s">
        <v>23</v>
      </c>
      <c r="E924">
        <v>240</v>
      </c>
      <c r="F924">
        <f>31.5</f>
        <v>31.5</v>
      </c>
      <c r="G924">
        <f>F924*6.8*0.89*0.92*0.99</f>
        <v>173.63309040000001</v>
      </c>
    </row>
    <row r="925" spans="1:11">
      <c r="B925" t="s">
        <v>298</v>
      </c>
      <c r="D925" t="s">
        <v>941</v>
      </c>
      <c r="E925">
        <v>158</v>
      </c>
      <c r="G925">
        <f>98+8</f>
        <v>106</v>
      </c>
    </row>
    <row r="926" spans="1:11">
      <c r="B926" t="s">
        <v>39</v>
      </c>
      <c r="C926" t="s">
        <v>30</v>
      </c>
      <c r="D926" t="s">
        <v>829</v>
      </c>
      <c r="E926">
        <v>232</v>
      </c>
      <c r="G926">
        <v>208</v>
      </c>
      <c r="I926" s="2">
        <f t="shared" ref="I926:I937" si="71">E926-G926+H926</f>
        <v>24</v>
      </c>
      <c r="J926" s="2">
        <f t="shared" ref="J926:J971" si="72">I926/E926</f>
        <v>0.10344827586206896</v>
      </c>
    </row>
    <row r="927" spans="1:11">
      <c r="I927" s="2">
        <f t="shared" si="71"/>
        <v>0</v>
      </c>
      <c r="J927" s="2" t="e">
        <f t="shared" si="72"/>
        <v>#DIV/0!</v>
      </c>
    </row>
    <row r="928" spans="1:11">
      <c r="I928" s="2">
        <f t="shared" si="71"/>
        <v>0</v>
      </c>
      <c r="J928" s="2" t="e">
        <f t="shared" si="72"/>
        <v>#DIV/0!</v>
      </c>
    </row>
    <row r="929" spans="1:10">
      <c r="A929" s="15">
        <v>43633</v>
      </c>
      <c r="B929" t="s">
        <v>85</v>
      </c>
      <c r="C929" t="s">
        <v>37</v>
      </c>
      <c r="D929" t="s">
        <v>555</v>
      </c>
      <c r="E929">
        <f>365+8</f>
        <v>373</v>
      </c>
      <c r="G929">
        <v>330</v>
      </c>
      <c r="I929" s="2">
        <f t="shared" si="71"/>
        <v>43</v>
      </c>
      <c r="J929" s="2">
        <f t="shared" si="72"/>
        <v>0.11528150134048257</v>
      </c>
    </row>
    <row r="930" spans="1:10">
      <c r="B930" t="s">
        <v>142</v>
      </c>
      <c r="D930" t="s">
        <v>942</v>
      </c>
      <c r="E930">
        <f>139</f>
        <v>139</v>
      </c>
      <c r="F930">
        <v>22</v>
      </c>
      <c r="G930">
        <f>F930*0.9*6.8</f>
        <v>134.64000000000001</v>
      </c>
      <c r="I930" s="2">
        <f t="shared" si="71"/>
        <v>4.3599999999999852</v>
      </c>
      <c r="J930" s="2">
        <f t="shared" si="72"/>
        <v>3.1366906474820037E-2</v>
      </c>
    </row>
    <row r="931" spans="1:10">
      <c r="B931" t="s">
        <v>943</v>
      </c>
      <c r="D931" t="s">
        <v>942</v>
      </c>
      <c r="E931">
        <v>139</v>
      </c>
      <c r="F931">
        <v>22</v>
      </c>
      <c r="G931">
        <f>F931*0.9*6.8</f>
        <v>134.64000000000001</v>
      </c>
      <c r="I931" s="2">
        <f t="shared" si="71"/>
        <v>4.3599999999999852</v>
      </c>
      <c r="J931" s="2">
        <f t="shared" si="72"/>
        <v>3.1366906474820037E-2</v>
      </c>
    </row>
    <row r="932" spans="1:10">
      <c r="B932" t="s">
        <v>944</v>
      </c>
      <c r="C932" t="s">
        <v>238</v>
      </c>
      <c r="D932" t="s">
        <v>945</v>
      </c>
      <c r="E932">
        <v>480</v>
      </c>
      <c r="I932" s="2">
        <f t="shared" si="71"/>
        <v>480</v>
      </c>
      <c r="J932" s="2">
        <f t="shared" si="72"/>
        <v>1</v>
      </c>
    </row>
    <row r="933" spans="1:10">
      <c r="C933" t="s">
        <v>30</v>
      </c>
      <c r="D933" t="s">
        <v>946</v>
      </c>
      <c r="E933">
        <v>1040</v>
      </c>
      <c r="G933">
        <f>235+225+220+220</f>
        <v>900</v>
      </c>
      <c r="I933" s="2">
        <f t="shared" si="71"/>
        <v>140</v>
      </c>
      <c r="J933" s="2">
        <f t="shared" si="72"/>
        <v>0.13461538461538461</v>
      </c>
    </row>
    <row r="934" spans="1:10">
      <c r="C934" t="s">
        <v>30</v>
      </c>
      <c r="D934" t="s">
        <v>947</v>
      </c>
      <c r="E934">
        <v>355</v>
      </c>
      <c r="G934">
        <v>315</v>
      </c>
      <c r="I934" s="2">
        <f t="shared" si="71"/>
        <v>40</v>
      </c>
      <c r="J934" s="2">
        <f t="shared" si="72"/>
        <v>0.11267605633802817</v>
      </c>
    </row>
    <row r="935" spans="1:10">
      <c r="B935" t="s">
        <v>39</v>
      </c>
      <c r="C935" t="s">
        <v>30</v>
      </c>
      <c r="D935" t="s">
        <v>567</v>
      </c>
      <c r="E935">
        <v>145</v>
      </c>
      <c r="G935">
        <f>122.85</f>
        <v>122.85</v>
      </c>
      <c r="I935" s="2">
        <f t="shared" si="71"/>
        <v>22.150000000000006</v>
      </c>
      <c r="J935" s="2">
        <f t="shared" si="72"/>
        <v>0.15275862068965521</v>
      </c>
    </row>
    <row r="936" spans="1:10">
      <c r="B936" t="s">
        <v>245</v>
      </c>
      <c r="C936" t="s">
        <v>30</v>
      </c>
      <c r="D936" t="s">
        <v>948</v>
      </c>
      <c r="E936">
        <v>425</v>
      </c>
      <c r="G936">
        <v>400</v>
      </c>
      <c r="I936" s="2">
        <f t="shared" si="71"/>
        <v>25</v>
      </c>
      <c r="J936" s="2">
        <f t="shared" si="72"/>
        <v>5.8823529411764705E-2</v>
      </c>
    </row>
    <row r="937" spans="1:10">
      <c r="D937" t="s">
        <v>949</v>
      </c>
      <c r="E937">
        <v>530</v>
      </c>
      <c r="G937">
        <v>450</v>
      </c>
      <c r="I937" s="2">
        <f t="shared" si="71"/>
        <v>80</v>
      </c>
      <c r="J937" s="2">
        <f t="shared" si="72"/>
        <v>0.15094339622641509</v>
      </c>
    </row>
    <row r="938" spans="1:10">
      <c r="J938" s="2" t="e">
        <f t="shared" si="72"/>
        <v>#DIV/0!</v>
      </c>
    </row>
    <row r="939" spans="1:10">
      <c r="A939" s="15">
        <v>43634</v>
      </c>
      <c r="B939" t="s">
        <v>950</v>
      </c>
      <c r="C939" t="s">
        <v>30</v>
      </c>
      <c r="D939" t="s">
        <v>951</v>
      </c>
      <c r="E939">
        <v>430</v>
      </c>
      <c r="F939">
        <v>98.31</v>
      </c>
      <c r="G939">
        <f>F939*6.9</f>
        <v>678.33900000000006</v>
      </c>
      <c r="H939">
        <f>0.045*F939*6.9</f>
        <v>30.525254999999998</v>
      </c>
      <c r="I939" s="2">
        <f t="shared" ref="I939:I953" si="73">E939-G939+H939</f>
        <v>-217.81374500000007</v>
      </c>
      <c r="J939" s="2">
        <f t="shared" si="72"/>
        <v>-0.50654359302325602</v>
      </c>
    </row>
    <row r="940" spans="1:10">
      <c r="B940" t="s">
        <v>952</v>
      </c>
      <c r="C940" t="s">
        <v>30</v>
      </c>
      <c r="D940" t="s">
        <v>951</v>
      </c>
      <c r="E940">
        <v>430</v>
      </c>
      <c r="I940" s="2">
        <f>E940-G940+H940</f>
        <v>430</v>
      </c>
      <c r="J940" s="2">
        <f t="shared" si="72"/>
        <v>1</v>
      </c>
    </row>
    <row r="941" spans="1:10">
      <c r="B941" t="s">
        <v>952</v>
      </c>
      <c r="C941" t="s">
        <v>30</v>
      </c>
      <c r="D941" t="s">
        <v>951</v>
      </c>
      <c r="E941">
        <v>430</v>
      </c>
      <c r="I941" s="2">
        <f t="shared" si="73"/>
        <v>430</v>
      </c>
      <c r="J941" s="2">
        <f t="shared" si="72"/>
        <v>1</v>
      </c>
    </row>
    <row r="942" spans="1:10">
      <c r="C942" t="s">
        <v>923</v>
      </c>
      <c r="D942" t="s">
        <v>953</v>
      </c>
      <c r="E942">
        <f>8*6.9</f>
        <v>55.2</v>
      </c>
      <c r="G942">
        <v>0</v>
      </c>
      <c r="I942" s="2">
        <f t="shared" si="73"/>
        <v>55.2</v>
      </c>
      <c r="J942" s="2">
        <f t="shared" si="72"/>
        <v>1</v>
      </c>
    </row>
    <row r="943" spans="1:10">
      <c r="B943" t="s">
        <v>428</v>
      </c>
      <c r="C943" t="s">
        <v>37</v>
      </c>
      <c r="D943" t="s">
        <v>954</v>
      </c>
      <c r="E943">
        <v>2690</v>
      </c>
      <c r="F943">
        <v>275</v>
      </c>
      <c r="G943">
        <f>F943*6.9</f>
        <v>1897.5</v>
      </c>
      <c r="I943" s="2">
        <f t="shared" si="73"/>
        <v>792.5</v>
      </c>
      <c r="J943" s="2">
        <f t="shared" si="72"/>
        <v>0.29460966542750927</v>
      </c>
    </row>
    <row r="944" spans="1:10">
      <c r="B944" t="s">
        <v>104</v>
      </c>
      <c r="C944" t="s">
        <v>30</v>
      </c>
      <c r="D944" t="s">
        <v>955</v>
      </c>
      <c r="E944">
        <v>320</v>
      </c>
      <c r="G944">
        <f>268+8</f>
        <v>276</v>
      </c>
      <c r="I944" s="2">
        <f t="shared" si="73"/>
        <v>44</v>
      </c>
      <c r="J944" s="2">
        <f t="shared" si="72"/>
        <v>0.13750000000000001</v>
      </c>
    </row>
    <row r="945" spans="1:11">
      <c r="B945" t="s">
        <v>104</v>
      </c>
      <c r="C945" t="s">
        <v>30</v>
      </c>
      <c r="D945" t="s">
        <v>555</v>
      </c>
      <c r="E945">
        <v>360</v>
      </c>
      <c r="G945">
        <v>330</v>
      </c>
      <c r="I945" s="2">
        <f t="shared" si="73"/>
        <v>30</v>
      </c>
      <c r="J945" s="2">
        <f t="shared" si="72"/>
        <v>8.3333333333333329E-2</v>
      </c>
    </row>
    <row r="946" spans="1:11">
      <c r="C946" t="s">
        <v>30</v>
      </c>
      <c r="D946" t="s">
        <v>956</v>
      </c>
      <c r="E946">
        <v>950</v>
      </c>
      <c r="G946">
        <v>780</v>
      </c>
      <c r="I946" s="2">
        <f t="shared" si="73"/>
        <v>170</v>
      </c>
      <c r="J946" s="2">
        <f t="shared" si="72"/>
        <v>0.17894736842105263</v>
      </c>
    </row>
    <row r="947" spans="1:11">
      <c r="C947" t="s">
        <v>30</v>
      </c>
      <c r="D947" t="s">
        <v>957</v>
      </c>
      <c r="E947">
        <v>669</v>
      </c>
      <c r="G947">
        <v>525</v>
      </c>
      <c r="I947" s="2">
        <f t="shared" si="73"/>
        <v>144</v>
      </c>
      <c r="J947" s="2">
        <f t="shared" si="72"/>
        <v>0.21524663677130046</v>
      </c>
    </row>
    <row r="948" spans="1:11">
      <c r="C948" t="s">
        <v>30</v>
      </c>
      <c r="D948" t="s">
        <v>958</v>
      </c>
      <c r="E948">
        <v>1100</v>
      </c>
      <c r="F948">
        <f>146.2*0.9*0.95</f>
        <v>125.00099999999998</v>
      </c>
      <c r="G948">
        <f>F948*6.91</f>
        <v>863.75690999999983</v>
      </c>
      <c r="I948" s="2">
        <f t="shared" si="73"/>
        <v>236.24309000000017</v>
      </c>
      <c r="J948" s="2">
        <f t="shared" si="72"/>
        <v>0.2147664454545456</v>
      </c>
    </row>
    <row r="949" spans="1:11">
      <c r="A949" s="25"/>
      <c r="C949" t="s">
        <v>37</v>
      </c>
      <c r="D949" t="s">
        <v>44</v>
      </c>
      <c r="E949">
        <v>315</v>
      </c>
      <c r="F949">
        <f>50</f>
        <v>50</v>
      </c>
      <c r="G949">
        <f>F949*0.75*6.8</f>
        <v>255</v>
      </c>
      <c r="I949" s="2">
        <f t="shared" si="73"/>
        <v>60</v>
      </c>
      <c r="J949" s="2">
        <f t="shared" si="72"/>
        <v>0.19047619047619047</v>
      </c>
    </row>
    <row r="950" spans="1:11">
      <c r="B950" t="s">
        <v>252</v>
      </c>
      <c r="C950" t="s">
        <v>30</v>
      </c>
      <c r="D950" t="s">
        <v>959</v>
      </c>
      <c r="E950">
        <f>70*3</f>
        <v>210</v>
      </c>
      <c r="G950">
        <f>(1550/30)*3+10</f>
        <v>165</v>
      </c>
      <c r="I950" s="2">
        <f t="shared" si="73"/>
        <v>45</v>
      </c>
      <c r="J950" s="2">
        <f t="shared" si="72"/>
        <v>0.21428571428571427</v>
      </c>
    </row>
    <row r="951" spans="1:11">
      <c r="C951" t="s">
        <v>923</v>
      </c>
      <c r="D951" t="s">
        <v>678</v>
      </c>
      <c r="E951">
        <f>125*6.9</f>
        <v>862.5</v>
      </c>
      <c r="I951" s="2">
        <f t="shared" si="73"/>
        <v>862.5</v>
      </c>
      <c r="J951" s="2">
        <f t="shared" si="72"/>
        <v>1</v>
      </c>
    </row>
    <row r="952" spans="1:11">
      <c r="C952" t="s">
        <v>923</v>
      </c>
      <c r="D952" t="s">
        <v>960</v>
      </c>
      <c r="E952">
        <f>135*6.91</f>
        <v>932.85</v>
      </c>
      <c r="F952">
        <f>175*0.6</f>
        <v>105</v>
      </c>
      <c r="G952">
        <f>F952*6.8</f>
        <v>714</v>
      </c>
      <c r="I952" s="2">
        <f t="shared" si="73"/>
        <v>218.85000000000002</v>
      </c>
      <c r="J952" s="2">
        <f t="shared" si="72"/>
        <v>0.23460363402476284</v>
      </c>
    </row>
    <row r="953" spans="1:11">
      <c r="C953" t="s">
        <v>30</v>
      </c>
      <c r="D953" s="17" t="s">
        <v>961</v>
      </c>
      <c r="E953" s="17">
        <v>92</v>
      </c>
      <c r="F953">
        <v>9</v>
      </c>
      <c r="G953">
        <f>F953*6.9</f>
        <v>62.1</v>
      </c>
      <c r="I953" s="2">
        <f t="shared" si="73"/>
        <v>29.9</v>
      </c>
      <c r="J953" s="2">
        <f t="shared" si="72"/>
        <v>0.32500000000000001</v>
      </c>
    </row>
    <row r="954" spans="1:11">
      <c r="J954" s="2" t="e">
        <f t="shared" si="72"/>
        <v>#DIV/0!</v>
      </c>
    </row>
    <row r="955" spans="1:11">
      <c r="A955" s="15">
        <v>43635</v>
      </c>
      <c r="B955" t="s">
        <v>952</v>
      </c>
      <c r="C955" t="s">
        <v>30</v>
      </c>
      <c r="D955" t="s">
        <v>962</v>
      </c>
      <c r="E955">
        <v>430</v>
      </c>
      <c r="G955">
        <v>380</v>
      </c>
      <c r="I955" s="2">
        <f>E955-G955+H955</f>
        <v>50</v>
      </c>
      <c r="J955" s="2">
        <f t="shared" si="72"/>
        <v>0.11627906976744186</v>
      </c>
    </row>
    <row r="956" spans="1:11">
      <c r="B956" t="s">
        <v>252</v>
      </c>
      <c r="C956" t="s">
        <v>30</v>
      </c>
      <c r="D956" t="s">
        <v>963</v>
      </c>
      <c r="E956">
        <f>70*2</f>
        <v>140</v>
      </c>
      <c r="G956">
        <f>1550/15</f>
        <v>103.33333333333333</v>
      </c>
      <c r="I956" s="2">
        <f>E956-G956+H956</f>
        <v>36.666666666666671</v>
      </c>
      <c r="J956" s="2">
        <f t="shared" si="72"/>
        <v>0.26190476190476192</v>
      </c>
      <c r="K956" t="s">
        <v>964</v>
      </c>
    </row>
    <row r="957" spans="1:11">
      <c r="C957" t="s">
        <v>30</v>
      </c>
      <c r="D957" t="s">
        <v>965</v>
      </c>
      <c r="E957">
        <v>140</v>
      </c>
      <c r="F957">
        <f>22</f>
        <v>22</v>
      </c>
      <c r="G957">
        <f>F957*0.9*6.9</f>
        <v>136.62</v>
      </c>
      <c r="I957" s="2">
        <f>E957-G957+H957</f>
        <v>3.3799999999999955</v>
      </c>
      <c r="J957" s="2">
        <f t="shared" si="72"/>
        <v>2.4142857142857112E-2</v>
      </c>
      <c r="K957" t="s">
        <v>964</v>
      </c>
    </row>
    <row r="958" spans="1:11">
      <c r="C958" t="s">
        <v>30</v>
      </c>
      <c r="D958" t="s">
        <v>966</v>
      </c>
      <c r="E958">
        <v>350</v>
      </c>
      <c r="G958">
        <v>300</v>
      </c>
      <c r="I958">
        <v>300</v>
      </c>
      <c r="J958" s="2">
        <f t="shared" si="72"/>
        <v>0.8571428571428571</v>
      </c>
    </row>
    <row r="959" spans="1:11">
      <c r="C959" s="3" t="s">
        <v>923</v>
      </c>
      <c r="D959" s="3" t="s">
        <v>967</v>
      </c>
      <c r="E959" s="3"/>
      <c r="F959" s="3"/>
      <c r="G959" s="3"/>
      <c r="H959" s="3"/>
      <c r="I959" s="3">
        <v>300</v>
      </c>
      <c r="J959" s="2" t="e">
        <f t="shared" si="72"/>
        <v>#DIV/0!</v>
      </c>
    </row>
    <row r="960" spans="1:11">
      <c r="B960" t="s">
        <v>399</v>
      </c>
      <c r="C960" t="s">
        <v>30</v>
      </c>
      <c r="D960" t="s">
        <v>43</v>
      </c>
      <c r="E960">
        <v>170</v>
      </c>
      <c r="G960">
        <v>182</v>
      </c>
      <c r="I960">
        <v>300</v>
      </c>
      <c r="J960" s="2">
        <f t="shared" si="72"/>
        <v>1.7647058823529411</v>
      </c>
    </row>
    <row r="961" spans="1:11">
      <c r="J961" s="2" t="e">
        <f t="shared" si="72"/>
        <v>#DIV/0!</v>
      </c>
    </row>
    <row r="962" spans="1:11">
      <c r="J962" s="2" t="e">
        <f t="shared" si="72"/>
        <v>#DIV/0!</v>
      </c>
    </row>
    <row r="963" spans="1:11">
      <c r="J963" s="2" t="e">
        <f t="shared" si="72"/>
        <v>#DIV/0!</v>
      </c>
    </row>
    <row r="964" spans="1:11">
      <c r="A964" s="15">
        <v>43636</v>
      </c>
      <c r="C964" t="s">
        <v>30</v>
      </c>
      <c r="D964" t="s">
        <v>769</v>
      </c>
      <c r="E964">
        <v>97</v>
      </c>
      <c r="F964">
        <f>45/6</f>
        <v>7.5</v>
      </c>
      <c r="G964">
        <f>F964*6.85</f>
        <v>51.375</v>
      </c>
      <c r="I964" s="2">
        <f t="shared" ref="I964:I971" si="74">E964-G964+H964</f>
        <v>45.625</v>
      </c>
      <c r="J964" s="2">
        <f t="shared" si="72"/>
        <v>0.47036082474226804</v>
      </c>
    </row>
    <row r="965" spans="1:11">
      <c r="C965" t="s">
        <v>968</v>
      </c>
      <c r="D965" t="s">
        <v>969</v>
      </c>
      <c r="G965">
        <f>-300</f>
        <v>-300</v>
      </c>
      <c r="I965" s="2">
        <f t="shared" si="74"/>
        <v>300</v>
      </c>
      <c r="J965" s="2" t="e">
        <f t="shared" si="72"/>
        <v>#DIV/0!</v>
      </c>
    </row>
    <row r="966" spans="1:11">
      <c r="B966" t="s">
        <v>142</v>
      </c>
      <c r="D966" s="6" t="s">
        <v>970</v>
      </c>
      <c r="E966" s="6">
        <v>370</v>
      </c>
      <c r="F966" s="6"/>
      <c r="G966" s="6">
        <v>330</v>
      </c>
      <c r="H966" s="6"/>
      <c r="I966" s="2">
        <f t="shared" si="74"/>
        <v>40</v>
      </c>
      <c r="J966" s="2">
        <f t="shared" si="72"/>
        <v>0.10810810810810811</v>
      </c>
    </row>
    <row r="967" spans="1:11">
      <c r="B967" t="s">
        <v>39</v>
      </c>
      <c r="C967" t="s">
        <v>30</v>
      </c>
      <c r="D967" s="3" t="s">
        <v>971</v>
      </c>
      <c r="E967" s="3">
        <v>630</v>
      </c>
      <c r="G967" s="3">
        <v>398</v>
      </c>
      <c r="I967" s="2">
        <f t="shared" si="74"/>
        <v>232</v>
      </c>
      <c r="J967" s="2">
        <f t="shared" si="72"/>
        <v>0.36825396825396828</v>
      </c>
    </row>
    <row r="968" spans="1:11">
      <c r="B968" t="s">
        <v>85</v>
      </c>
      <c r="C968" t="s">
        <v>37</v>
      </c>
      <c r="D968" t="s">
        <v>555</v>
      </c>
      <c r="E968">
        <f>365+10</f>
        <v>375</v>
      </c>
      <c r="G968">
        <v>330</v>
      </c>
      <c r="I968" s="2">
        <f t="shared" si="74"/>
        <v>45</v>
      </c>
      <c r="J968" s="2">
        <f t="shared" si="72"/>
        <v>0.12</v>
      </c>
      <c r="K968" t="s">
        <v>964</v>
      </c>
    </row>
    <row r="969" spans="1:11">
      <c r="C969" t="s">
        <v>160</v>
      </c>
      <c r="D969" t="s">
        <v>972</v>
      </c>
      <c r="E969">
        <v>265</v>
      </c>
      <c r="G969">
        <v>178</v>
      </c>
      <c r="I969" s="2">
        <f t="shared" si="74"/>
        <v>87</v>
      </c>
      <c r="J969" s="2">
        <f t="shared" si="72"/>
        <v>0.32830188679245281</v>
      </c>
      <c r="K969" t="s">
        <v>964</v>
      </c>
    </row>
    <row r="970" spans="1:11">
      <c r="B970" t="s">
        <v>267</v>
      </c>
      <c r="C970" t="s">
        <v>37</v>
      </c>
      <c r="D970" t="s">
        <v>972</v>
      </c>
      <c r="E970">
        <v>225</v>
      </c>
      <c r="G970">
        <v>145</v>
      </c>
      <c r="I970" s="2">
        <f t="shared" si="74"/>
        <v>80</v>
      </c>
      <c r="J970" s="2">
        <f t="shared" si="72"/>
        <v>0.35555555555555557</v>
      </c>
      <c r="K970" t="s">
        <v>964</v>
      </c>
    </row>
    <row r="971" spans="1:11">
      <c r="D971" t="s">
        <v>973</v>
      </c>
      <c r="E971">
        <f>145+8</f>
        <v>153</v>
      </c>
      <c r="G971">
        <f>135+6</f>
        <v>141</v>
      </c>
      <c r="I971" s="2">
        <f t="shared" si="74"/>
        <v>12</v>
      </c>
      <c r="J971" s="2">
        <f t="shared" si="72"/>
        <v>7.8431372549019607E-2</v>
      </c>
    </row>
    <row r="973" spans="1:11">
      <c r="J973" s="2"/>
    </row>
    <row r="974" spans="1:11">
      <c r="A974" s="15">
        <v>43637</v>
      </c>
      <c r="B974" t="s">
        <v>974</v>
      </c>
      <c r="C974" s="19" t="s">
        <v>30</v>
      </c>
      <c r="D974" s="26" t="s">
        <v>567</v>
      </c>
      <c r="E974" s="26">
        <v>140</v>
      </c>
      <c r="G974">
        <v>122.85</v>
      </c>
      <c r="I974" s="2">
        <f t="shared" ref="I974:I979" si="75">E974-G974+H974</f>
        <v>17.150000000000006</v>
      </c>
      <c r="J974" s="2">
        <f t="shared" ref="J974:J990" si="76">I974/E974</f>
        <v>0.12250000000000004</v>
      </c>
    </row>
    <row r="975" spans="1:11">
      <c r="B975" t="s">
        <v>975</v>
      </c>
      <c r="C975" s="19"/>
      <c r="D975" s="19" t="s">
        <v>737</v>
      </c>
      <c r="E975" s="19">
        <v>160</v>
      </c>
      <c r="F975">
        <f>22</f>
        <v>22</v>
      </c>
      <c r="G975">
        <f>F975*0.9*6.9</f>
        <v>136.62</v>
      </c>
      <c r="I975" s="2">
        <f t="shared" si="75"/>
        <v>23.379999999999995</v>
      </c>
      <c r="J975" s="2">
        <f t="shared" si="76"/>
        <v>0.14612499999999998</v>
      </c>
    </row>
    <row r="976" spans="1:11">
      <c r="C976" s="19" t="s">
        <v>30</v>
      </c>
      <c r="D976" s="19" t="s">
        <v>514</v>
      </c>
      <c r="E976" s="19">
        <f>275-10</f>
        <v>265</v>
      </c>
      <c r="F976">
        <v>40</v>
      </c>
      <c r="G976">
        <f>F976*0.75*6.85</f>
        <v>205.5</v>
      </c>
      <c r="I976" s="2">
        <f t="shared" si="75"/>
        <v>59.5</v>
      </c>
      <c r="J976" s="2">
        <f t="shared" si="76"/>
        <v>0.22452830188679246</v>
      </c>
    </row>
    <row r="977" spans="1:11">
      <c r="C977" s="19" t="s">
        <v>30</v>
      </c>
      <c r="D977" s="19" t="s">
        <v>976</v>
      </c>
      <c r="E977" s="19">
        <v>280</v>
      </c>
      <c r="G977">
        <v>265</v>
      </c>
      <c r="I977" s="2">
        <f t="shared" si="75"/>
        <v>15</v>
      </c>
      <c r="J977" s="2">
        <f t="shared" si="76"/>
        <v>5.3571428571428568E-2</v>
      </c>
    </row>
    <row r="978" spans="1:11">
      <c r="C978" s="19" t="s">
        <v>30</v>
      </c>
      <c r="D978" s="19" t="s">
        <v>590</v>
      </c>
      <c r="E978" s="19">
        <f>470+470-10</f>
        <v>930</v>
      </c>
      <c r="F978">
        <f>74*0.75*0.95</f>
        <v>52.724999999999994</v>
      </c>
      <c r="G978">
        <f>F978*6.9*2</f>
        <v>727.6049999999999</v>
      </c>
      <c r="I978" s="2">
        <f t="shared" si="75"/>
        <v>202.3950000000001</v>
      </c>
      <c r="J978" s="2">
        <f t="shared" si="76"/>
        <v>0.21762903225806463</v>
      </c>
    </row>
    <row r="979" spans="1:11">
      <c r="C979" s="19" t="s">
        <v>30</v>
      </c>
      <c r="D979" s="19" t="s">
        <v>514</v>
      </c>
      <c r="E979" s="19">
        <f>275-8</f>
        <v>267</v>
      </c>
      <c r="G979">
        <v>245</v>
      </c>
      <c r="I979" s="2">
        <f t="shared" si="75"/>
        <v>22</v>
      </c>
      <c r="J979" s="2">
        <f t="shared" si="76"/>
        <v>8.2397003745318345E-2</v>
      </c>
    </row>
    <row r="980" spans="1:11">
      <c r="B980" t="s">
        <v>977</v>
      </c>
      <c r="C980" t="s">
        <v>30</v>
      </c>
      <c r="D980" t="s">
        <v>962</v>
      </c>
      <c r="E980">
        <v>430</v>
      </c>
      <c r="G980">
        <v>380</v>
      </c>
      <c r="I980" s="2">
        <f>E980-G980+H980</f>
        <v>50</v>
      </c>
      <c r="J980" s="2">
        <f t="shared" si="76"/>
        <v>0.11627906976744186</v>
      </c>
    </row>
    <row r="981" spans="1:11">
      <c r="C981" t="s">
        <v>238</v>
      </c>
      <c r="D981" t="s">
        <v>978</v>
      </c>
      <c r="E981">
        <f>(370.6+18+10)*6.9</f>
        <v>2750.34</v>
      </c>
      <c r="F981">
        <v>370.6</v>
      </c>
      <c r="G981">
        <f>F981*6.9</f>
        <v>2557.1400000000003</v>
      </c>
      <c r="H981">
        <f>F981*0.015*6.9</f>
        <v>38.357100000000003</v>
      </c>
      <c r="I981" s="2">
        <f>E981-G981+H981</f>
        <v>231.55709999999982</v>
      </c>
      <c r="J981" s="2">
        <f t="shared" si="76"/>
        <v>8.4192172604114338E-2</v>
      </c>
    </row>
    <row r="982" spans="1:11">
      <c r="B982" t="s">
        <v>979</v>
      </c>
      <c r="D982" t="s">
        <v>980</v>
      </c>
      <c r="E982">
        <v>825</v>
      </c>
      <c r="F982">
        <f>135</f>
        <v>135</v>
      </c>
      <c r="G982">
        <f>F982*0.85*0.96*6.9</f>
        <v>760.10400000000004</v>
      </c>
      <c r="H982">
        <f>F982*0.85*0.06*1.55*6.8</f>
        <v>72.567899999999995</v>
      </c>
      <c r="I982" s="2">
        <f>E982-G982+H982</f>
        <v>137.46389999999997</v>
      </c>
      <c r="J982" s="2">
        <f t="shared" si="76"/>
        <v>0.16662290909090904</v>
      </c>
    </row>
    <row r="983" spans="1:11">
      <c r="B983" t="s">
        <v>981</v>
      </c>
      <c r="D983" t="s">
        <v>57</v>
      </c>
      <c r="E983">
        <v>262</v>
      </c>
      <c r="G983">
        <f>38*0.8*6.8</f>
        <v>206.72</v>
      </c>
      <c r="I983" s="2">
        <f>E983-G983+H983</f>
        <v>55.28</v>
      </c>
      <c r="J983" s="2">
        <f t="shared" si="76"/>
        <v>0.21099236641221375</v>
      </c>
    </row>
    <row r="984" spans="1:11">
      <c r="J984" s="2" t="e">
        <f t="shared" si="76"/>
        <v>#DIV/0!</v>
      </c>
    </row>
    <row r="985" spans="1:11">
      <c r="J985" s="2" t="e">
        <f t="shared" si="76"/>
        <v>#DIV/0!</v>
      </c>
    </row>
    <row r="986" spans="1:11">
      <c r="A986" s="15">
        <v>43638</v>
      </c>
      <c r="B986" t="s">
        <v>977</v>
      </c>
      <c r="C986" t="s">
        <v>30</v>
      </c>
      <c r="D986" t="s">
        <v>962</v>
      </c>
      <c r="E986">
        <v>430</v>
      </c>
      <c r="G986">
        <v>380</v>
      </c>
      <c r="I986" s="2">
        <f>E986-G986+H986</f>
        <v>50</v>
      </c>
      <c r="J986" s="2">
        <f t="shared" si="76"/>
        <v>0.11627906976744186</v>
      </c>
      <c r="K986" t="s">
        <v>982</v>
      </c>
    </row>
    <row r="987" spans="1:11">
      <c r="C987" t="s">
        <v>30</v>
      </c>
      <c r="D987" t="s">
        <v>612</v>
      </c>
      <c r="E987">
        <v>355</v>
      </c>
      <c r="G987">
        <v>330</v>
      </c>
      <c r="I987" s="2">
        <f t="shared" ref="I987:I1012" si="77">E987-G987+H987</f>
        <v>25</v>
      </c>
      <c r="J987" s="2">
        <f t="shared" si="76"/>
        <v>7.0422535211267609E-2</v>
      </c>
      <c r="K987" t="s">
        <v>964</v>
      </c>
    </row>
    <row r="988" spans="1:11">
      <c r="C988" s="16" t="s">
        <v>30</v>
      </c>
      <c r="D988" s="16" t="s">
        <v>983</v>
      </c>
      <c r="E988" s="16">
        <v>729</v>
      </c>
      <c r="F988" s="16"/>
      <c r="G988" s="16">
        <v>635</v>
      </c>
      <c r="H988" s="16"/>
      <c r="I988" s="17">
        <f t="shared" si="77"/>
        <v>94</v>
      </c>
      <c r="J988" s="17">
        <f t="shared" si="76"/>
        <v>0.12894375857338819</v>
      </c>
      <c r="K988" t="s">
        <v>964</v>
      </c>
    </row>
    <row r="989" spans="1:11">
      <c r="C989" t="s">
        <v>30</v>
      </c>
      <c r="D989" t="s">
        <v>984</v>
      </c>
      <c r="G989">
        <v>88</v>
      </c>
      <c r="I989" s="2">
        <f t="shared" si="77"/>
        <v>-88</v>
      </c>
      <c r="J989" s="2" t="e">
        <f t="shared" si="76"/>
        <v>#DIV/0!</v>
      </c>
    </row>
    <row r="990" spans="1:11">
      <c r="C990" t="s">
        <v>923</v>
      </c>
      <c r="D990" t="s">
        <v>985</v>
      </c>
      <c r="E990">
        <f>786.5*6.85</f>
        <v>5387.5249999999996</v>
      </c>
      <c r="F990">
        <f>350*1.5+88*0.97</f>
        <v>610.36</v>
      </c>
      <c r="G990">
        <f>F990*6.87</f>
        <v>4193.1732000000002</v>
      </c>
      <c r="I990" s="2">
        <f t="shared" si="77"/>
        <v>1194.3517999999995</v>
      </c>
      <c r="J990" s="2">
        <f t="shared" si="76"/>
        <v>0.22168840051786293</v>
      </c>
      <c r="K990" t="s">
        <v>986</v>
      </c>
    </row>
    <row r="991" spans="1:11">
      <c r="C991" t="s">
        <v>30</v>
      </c>
      <c r="D991" t="s">
        <v>987</v>
      </c>
      <c r="E991">
        <f>107*6</f>
        <v>642</v>
      </c>
      <c r="G991">
        <f>98*6</f>
        <v>588</v>
      </c>
      <c r="I991" s="2">
        <f t="shared" si="77"/>
        <v>54</v>
      </c>
      <c r="J991" s="2">
        <f t="shared" ref="J991:J1012" si="78">I991/E991</f>
        <v>8.4112149532710276E-2</v>
      </c>
      <c r="K991" t="s">
        <v>964</v>
      </c>
    </row>
    <row r="992" spans="1:11">
      <c r="I992" s="2">
        <f t="shared" si="77"/>
        <v>0</v>
      </c>
      <c r="J992" s="2" t="e">
        <f t="shared" si="78"/>
        <v>#DIV/0!</v>
      </c>
    </row>
    <row r="993" spans="1:11">
      <c r="A993" s="15">
        <v>43639</v>
      </c>
      <c r="C993" t="s">
        <v>30</v>
      </c>
      <c r="D993" t="s">
        <v>988</v>
      </c>
      <c r="E993">
        <v>300</v>
      </c>
      <c r="F993">
        <f>24</f>
        <v>24</v>
      </c>
      <c r="G993">
        <f>F993*6.85+8</f>
        <v>172.39999999999998</v>
      </c>
      <c r="I993" s="2">
        <f t="shared" si="77"/>
        <v>127.60000000000002</v>
      </c>
      <c r="J993" s="2">
        <f t="shared" si="78"/>
        <v>0.4253333333333334</v>
      </c>
      <c r="K993" t="s">
        <v>989</v>
      </c>
    </row>
    <row r="994" spans="1:11">
      <c r="C994" t="s">
        <v>30</v>
      </c>
      <c r="D994" t="s">
        <v>990</v>
      </c>
      <c r="E994">
        <f>325*3</f>
        <v>975</v>
      </c>
      <c r="G994">
        <f>315*3</f>
        <v>945</v>
      </c>
      <c r="I994" s="2">
        <f t="shared" si="77"/>
        <v>30</v>
      </c>
      <c r="J994" s="2">
        <f t="shared" si="78"/>
        <v>3.0769230769230771E-2</v>
      </c>
      <c r="K994" t="s">
        <v>991</v>
      </c>
    </row>
    <row r="995" spans="1:11">
      <c r="C995" t="s">
        <v>30</v>
      </c>
      <c r="D995" t="s">
        <v>992</v>
      </c>
      <c r="E995">
        <v>230</v>
      </c>
      <c r="G995">
        <v>200</v>
      </c>
      <c r="I995" s="2">
        <f t="shared" si="77"/>
        <v>30</v>
      </c>
      <c r="J995" s="2">
        <f t="shared" si="78"/>
        <v>0.13043478260869565</v>
      </c>
    </row>
    <row r="996" spans="1:11">
      <c r="I996" s="2"/>
      <c r="J996" s="2"/>
    </row>
    <row r="997" spans="1:11">
      <c r="A997" s="15">
        <v>43640</v>
      </c>
      <c r="B997" t="s">
        <v>993</v>
      </c>
      <c r="D997" t="s">
        <v>352</v>
      </c>
      <c r="E997">
        <f>128-2</f>
        <v>126</v>
      </c>
      <c r="G997">
        <v>88</v>
      </c>
      <c r="I997" s="2">
        <f t="shared" si="77"/>
        <v>38</v>
      </c>
      <c r="J997" s="2">
        <f t="shared" si="78"/>
        <v>0.30158730158730157</v>
      </c>
    </row>
    <row r="998" spans="1:11">
      <c r="B998" t="s">
        <v>994</v>
      </c>
      <c r="C998" t="s">
        <v>30</v>
      </c>
      <c r="D998" t="s">
        <v>995</v>
      </c>
      <c r="E998">
        <v>275</v>
      </c>
      <c r="G998">
        <v>245</v>
      </c>
      <c r="I998" s="2">
        <f t="shared" si="77"/>
        <v>30</v>
      </c>
      <c r="J998" s="2">
        <f t="shared" si="78"/>
        <v>0.10909090909090909</v>
      </c>
    </row>
    <row r="999" spans="1:11">
      <c r="B999" t="s">
        <v>311</v>
      </c>
      <c r="C999" t="s">
        <v>30</v>
      </c>
      <c r="D999" t="s">
        <v>996</v>
      </c>
      <c r="E999">
        <v>230</v>
      </c>
      <c r="G999">
        <v>220</v>
      </c>
      <c r="I999" s="2">
        <f t="shared" si="77"/>
        <v>10</v>
      </c>
      <c r="J999" s="2">
        <f t="shared" si="78"/>
        <v>4.3478260869565216E-2</v>
      </c>
    </row>
    <row r="1000" spans="1:11">
      <c r="C1000" t="s">
        <v>30</v>
      </c>
      <c r="D1000" t="s">
        <v>997</v>
      </c>
      <c r="E1000">
        <v>355</v>
      </c>
      <c r="F1000">
        <f>58*0.75</f>
        <v>43.5</v>
      </c>
      <c r="G1000">
        <f>F1000*6.85</f>
        <v>297.97499999999997</v>
      </c>
      <c r="I1000" s="2">
        <f t="shared" si="77"/>
        <v>57.025000000000034</v>
      </c>
      <c r="J1000" s="2">
        <f t="shared" si="78"/>
        <v>0.16063380281690151</v>
      </c>
    </row>
    <row r="1001" spans="1:11">
      <c r="B1001" t="s">
        <v>998</v>
      </c>
      <c r="C1001" t="s">
        <v>30</v>
      </c>
      <c r="D1001" t="s">
        <v>999</v>
      </c>
      <c r="E1001">
        <v>270</v>
      </c>
      <c r="G1001">
        <v>240</v>
      </c>
      <c r="I1001" s="2">
        <f t="shared" si="77"/>
        <v>30</v>
      </c>
      <c r="J1001" s="2">
        <f t="shared" si="78"/>
        <v>0.1111111111111111</v>
      </c>
    </row>
    <row r="1002" spans="1:11">
      <c r="C1002" t="s">
        <v>30</v>
      </c>
      <c r="D1002" t="s">
        <v>1000</v>
      </c>
      <c r="E1002">
        <f>98*7</f>
        <v>686</v>
      </c>
      <c r="F1002">
        <f>298*0.3*0.8*1.07</f>
        <v>76.526399999999995</v>
      </c>
      <c r="G1002">
        <f>F1002*6.8</f>
        <v>520.37951999999996</v>
      </c>
      <c r="I1002" s="2">
        <f t="shared" si="77"/>
        <v>165.62048000000004</v>
      </c>
      <c r="J1002" s="2">
        <f t="shared" si="78"/>
        <v>0.24142927113702631</v>
      </c>
    </row>
    <row r="1003" spans="1:11">
      <c r="C1003" t="s">
        <v>30</v>
      </c>
      <c r="D1003" t="s">
        <v>1001</v>
      </c>
      <c r="E1003">
        <f>98*6.9</f>
        <v>676.2</v>
      </c>
      <c r="G1003">
        <f>G1002</f>
        <v>520.37951999999996</v>
      </c>
      <c r="I1003" s="2">
        <f t="shared" si="77"/>
        <v>155.82048000000009</v>
      </c>
      <c r="J1003" s="2">
        <f t="shared" si="78"/>
        <v>0.23043549245785283</v>
      </c>
    </row>
    <row r="1004" spans="1:11">
      <c r="B1004" t="s">
        <v>1002</v>
      </c>
      <c r="D1004" s="2" t="s">
        <v>1003</v>
      </c>
      <c r="E1004" s="2">
        <v>750</v>
      </c>
      <c r="F1004" s="2"/>
      <c r="G1004" s="2">
        <v>580</v>
      </c>
      <c r="H1004" s="2"/>
      <c r="I1004" s="2">
        <f t="shared" si="77"/>
        <v>170</v>
      </c>
      <c r="J1004" s="2">
        <f t="shared" si="78"/>
        <v>0.22666666666666666</v>
      </c>
    </row>
    <row r="1005" spans="1:11">
      <c r="B1005" t="s">
        <v>1002</v>
      </c>
      <c r="D1005" t="s">
        <v>1004</v>
      </c>
      <c r="E1005">
        <v>759</v>
      </c>
      <c r="F1005">
        <v>72</v>
      </c>
      <c r="G1005">
        <f>F1005*6.88</f>
        <v>495.36</v>
      </c>
      <c r="I1005" s="2">
        <f t="shared" si="77"/>
        <v>263.64</v>
      </c>
      <c r="J1005" s="2">
        <f t="shared" si="78"/>
        <v>0.34735177865612649</v>
      </c>
    </row>
    <row r="1006" spans="1:11">
      <c r="B1006" t="s">
        <v>1005</v>
      </c>
      <c r="D1006" t="s">
        <v>387</v>
      </c>
      <c r="E1006">
        <v>409</v>
      </c>
      <c r="G1006">
        <f>365+8</f>
        <v>373</v>
      </c>
      <c r="I1006" s="2">
        <f t="shared" si="77"/>
        <v>36</v>
      </c>
      <c r="J1006" s="2">
        <f t="shared" si="78"/>
        <v>8.8019559902200492E-2</v>
      </c>
    </row>
    <row r="1007" spans="1:11">
      <c r="B1007" t="s">
        <v>39</v>
      </c>
      <c r="C1007" t="s">
        <v>30</v>
      </c>
      <c r="D1007" t="s">
        <v>57</v>
      </c>
      <c r="E1007">
        <v>235</v>
      </c>
      <c r="G1007">
        <v>206.7</v>
      </c>
      <c r="I1007" s="2">
        <f t="shared" si="77"/>
        <v>28.300000000000011</v>
      </c>
      <c r="J1007" s="2">
        <f t="shared" si="78"/>
        <v>0.12042553191489366</v>
      </c>
    </row>
    <row r="1008" spans="1:11">
      <c r="B1008" t="s">
        <v>39</v>
      </c>
      <c r="C1008" t="s">
        <v>30</v>
      </c>
      <c r="D1008" t="s">
        <v>962</v>
      </c>
      <c r="E1008">
        <v>430</v>
      </c>
      <c r="G1008">
        <v>380</v>
      </c>
      <c r="I1008" s="2">
        <f t="shared" si="77"/>
        <v>50</v>
      </c>
      <c r="J1008" s="2">
        <f t="shared" si="78"/>
        <v>0.11627906976744186</v>
      </c>
    </row>
    <row r="1009" spans="1:11">
      <c r="B1009" t="s">
        <v>39</v>
      </c>
      <c r="C1009" t="s">
        <v>30</v>
      </c>
      <c r="D1009" t="s">
        <v>1006</v>
      </c>
      <c r="E1009">
        <v>715</v>
      </c>
      <c r="G1009">
        <v>570</v>
      </c>
      <c r="I1009" s="2">
        <f t="shared" si="77"/>
        <v>145</v>
      </c>
      <c r="J1009" s="2">
        <f t="shared" si="78"/>
        <v>0.20279720279720279</v>
      </c>
    </row>
    <row r="1010" spans="1:11">
      <c r="C1010" t="s">
        <v>30</v>
      </c>
      <c r="D1010" t="s">
        <v>1007</v>
      </c>
      <c r="E1010">
        <v>570</v>
      </c>
      <c r="G1010">
        <v>510</v>
      </c>
      <c r="I1010" s="2">
        <f t="shared" si="77"/>
        <v>60</v>
      </c>
      <c r="J1010" s="2">
        <f t="shared" si="78"/>
        <v>0.10526315789473684</v>
      </c>
    </row>
    <row r="1011" spans="1:11">
      <c r="B1011" s="3" t="s">
        <v>1008</v>
      </c>
      <c r="C1011" s="3"/>
      <c r="D1011" s="3" t="s">
        <v>1009</v>
      </c>
      <c r="E1011" s="3">
        <v>389</v>
      </c>
      <c r="F1011" s="3"/>
      <c r="G1011" s="3">
        <v>280</v>
      </c>
      <c r="I1011" s="2">
        <f t="shared" si="77"/>
        <v>109</v>
      </c>
      <c r="J1011" s="2">
        <f t="shared" si="78"/>
        <v>0.28020565552699228</v>
      </c>
    </row>
    <row r="1012" spans="1:11">
      <c r="B1012" s="3" t="s">
        <v>1008</v>
      </c>
      <c r="C1012" s="3"/>
      <c r="D1012" s="3" t="s">
        <v>1010</v>
      </c>
      <c r="E1012" s="3">
        <v>389</v>
      </c>
      <c r="F1012" s="3"/>
      <c r="G1012" s="3">
        <v>280</v>
      </c>
      <c r="I1012" s="2">
        <f t="shared" si="77"/>
        <v>109</v>
      </c>
      <c r="J1012" s="2">
        <f t="shared" si="78"/>
        <v>0.28020565552699228</v>
      </c>
    </row>
    <row r="1014" spans="1:11">
      <c r="A1014" s="15">
        <v>43641</v>
      </c>
      <c r="C1014" t="s">
        <v>30</v>
      </c>
      <c r="D1014" t="s">
        <v>719</v>
      </c>
      <c r="E1014">
        <v>130</v>
      </c>
      <c r="F1014">
        <f>18*0.75</f>
        <v>13.5</v>
      </c>
      <c r="G1014">
        <f>F1014*6.9</f>
        <v>93.15</v>
      </c>
      <c r="I1014" s="2">
        <f t="shared" ref="I1014:I1054" si="79">E1014-G1014+H1014</f>
        <v>36.849999999999994</v>
      </c>
      <c r="J1014" s="2">
        <f t="shared" ref="J1014:J1054" si="80">I1014/E1014</f>
        <v>0.28346153846153843</v>
      </c>
    </row>
    <row r="1015" spans="1:11">
      <c r="B1015" t="s">
        <v>39</v>
      </c>
      <c r="C1015" t="s">
        <v>30</v>
      </c>
      <c r="D1015" t="s">
        <v>1011</v>
      </c>
      <c r="E1015">
        <f>759-80</f>
        <v>679</v>
      </c>
      <c r="G1015">
        <v>460</v>
      </c>
      <c r="I1015" s="2">
        <f t="shared" si="79"/>
        <v>219</v>
      </c>
      <c r="J1015" s="2">
        <f t="shared" si="80"/>
        <v>0.32253313696612668</v>
      </c>
      <c r="K1015" t="s">
        <v>964</v>
      </c>
    </row>
    <row r="1016" spans="1:11">
      <c r="C1016" t="s">
        <v>923</v>
      </c>
      <c r="D1016" t="s">
        <v>1012</v>
      </c>
      <c r="E1016">
        <f>2000*(6.88-6.85)</f>
        <v>60.000000000000497</v>
      </c>
      <c r="I1016" s="2">
        <f t="shared" si="79"/>
        <v>60.000000000000497</v>
      </c>
      <c r="J1016" s="2">
        <f t="shared" si="80"/>
        <v>1</v>
      </c>
    </row>
    <row r="1017" spans="1:11">
      <c r="B1017" t="s">
        <v>998</v>
      </c>
      <c r="C1017" t="s">
        <v>30</v>
      </c>
      <c r="D1017" t="s">
        <v>1013</v>
      </c>
      <c r="E1017">
        <f>270*2-10</f>
        <v>530</v>
      </c>
      <c r="F1017">
        <f>39</f>
        <v>39</v>
      </c>
      <c r="G1017">
        <f>F1017*2*6.8*0.8</f>
        <v>424.32</v>
      </c>
      <c r="I1017" s="2">
        <f t="shared" si="79"/>
        <v>105.68</v>
      </c>
      <c r="J1017" s="2">
        <f t="shared" si="80"/>
        <v>0.19939622641509436</v>
      </c>
    </row>
    <row r="1018" spans="1:11">
      <c r="B1018" t="s">
        <v>1002</v>
      </c>
      <c r="D1018" t="s">
        <v>1014</v>
      </c>
      <c r="E1018">
        <v>899</v>
      </c>
      <c r="G1018">
        <v>680</v>
      </c>
      <c r="I1018" s="2">
        <f t="shared" si="79"/>
        <v>219</v>
      </c>
      <c r="J1018" s="2">
        <f t="shared" si="80"/>
        <v>0.24360400444938821</v>
      </c>
    </row>
    <row r="1019" spans="1:11">
      <c r="B1019" t="s">
        <v>1002</v>
      </c>
      <c r="D1019" t="s">
        <v>239</v>
      </c>
      <c r="E1019">
        <f>90*4</f>
        <v>360</v>
      </c>
      <c r="G1019">
        <f>1550/30*4+8</f>
        <v>214.66666666666666</v>
      </c>
      <c r="I1019" s="2">
        <f t="shared" si="79"/>
        <v>145.33333333333334</v>
      </c>
      <c r="J1019" s="2">
        <f t="shared" si="80"/>
        <v>0.40370370370370373</v>
      </c>
    </row>
    <row r="1020" spans="1:11">
      <c r="D1020" s="6" t="s">
        <v>788</v>
      </c>
      <c r="I1020" s="2">
        <f t="shared" si="79"/>
        <v>0</v>
      </c>
      <c r="J1020" s="2" t="e">
        <f t="shared" si="80"/>
        <v>#DIV/0!</v>
      </c>
    </row>
    <row r="1021" spans="1:11">
      <c r="B1021" t="s">
        <v>1015</v>
      </c>
      <c r="C1021" t="s">
        <v>30</v>
      </c>
      <c r="D1021" t="s">
        <v>1016</v>
      </c>
      <c r="E1021">
        <v>490</v>
      </c>
      <c r="G1021">
        <v>470</v>
      </c>
      <c r="I1021" s="2">
        <f t="shared" si="79"/>
        <v>20</v>
      </c>
      <c r="J1021" s="2">
        <f t="shared" si="80"/>
        <v>4.0816326530612242E-2</v>
      </c>
    </row>
    <row r="1022" spans="1:11">
      <c r="C1022" t="s">
        <v>30</v>
      </c>
      <c r="D1022" t="s">
        <v>1017</v>
      </c>
      <c r="E1022">
        <v>150</v>
      </c>
      <c r="G1022">
        <f>122.65+10</f>
        <v>132.65</v>
      </c>
      <c r="I1022" s="2">
        <f t="shared" si="79"/>
        <v>17.349999999999994</v>
      </c>
      <c r="J1022" s="2">
        <f t="shared" si="80"/>
        <v>0.11566666666666663</v>
      </c>
    </row>
    <row r="1023" spans="1:11">
      <c r="I1023" s="2">
        <f t="shared" si="79"/>
        <v>0</v>
      </c>
      <c r="J1023" s="2" t="e">
        <f t="shared" si="80"/>
        <v>#DIV/0!</v>
      </c>
    </row>
    <row r="1024" spans="1:11">
      <c r="A1024" s="15">
        <v>43642</v>
      </c>
      <c r="B1024" t="s">
        <v>1018</v>
      </c>
      <c r="C1024" t="s">
        <v>30</v>
      </c>
      <c r="D1024" t="s">
        <v>410</v>
      </c>
      <c r="E1024">
        <v>277</v>
      </c>
      <c r="G1024">
        <v>214</v>
      </c>
      <c r="I1024" s="2">
        <f t="shared" si="79"/>
        <v>63</v>
      </c>
      <c r="J1024" s="2">
        <f t="shared" si="80"/>
        <v>0.22743682310469315</v>
      </c>
    </row>
    <row r="1025" spans="1:10">
      <c r="B1025" t="s">
        <v>1018</v>
      </c>
      <c r="C1025" t="s">
        <v>30</v>
      </c>
      <c r="D1025" t="s">
        <v>590</v>
      </c>
      <c r="E1025">
        <f>470*2-15</f>
        <v>925</v>
      </c>
      <c r="F1025">
        <f>74*0.75*0.95</f>
        <v>52.724999999999994</v>
      </c>
      <c r="G1025">
        <f>F1025*6.9*2</f>
        <v>727.6049999999999</v>
      </c>
      <c r="I1025" s="2">
        <f t="shared" si="79"/>
        <v>197.3950000000001</v>
      </c>
      <c r="J1025" s="2">
        <f t="shared" si="80"/>
        <v>0.21340000000000009</v>
      </c>
    </row>
    <row r="1026" spans="1:10">
      <c r="B1026" t="s">
        <v>873</v>
      </c>
      <c r="C1026" t="s">
        <v>30</v>
      </c>
      <c r="D1026" t="s">
        <v>57</v>
      </c>
      <c r="E1026">
        <v>237</v>
      </c>
      <c r="I1026" s="2">
        <f t="shared" si="79"/>
        <v>237</v>
      </c>
      <c r="J1026" s="2">
        <f t="shared" si="80"/>
        <v>1</v>
      </c>
    </row>
    <row r="1027" spans="1:10">
      <c r="B1027" t="s">
        <v>1019</v>
      </c>
      <c r="C1027" t="s">
        <v>30</v>
      </c>
      <c r="D1027" t="s">
        <v>864</v>
      </c>
      <c r="E1027">
        <v>330</v>
      </c>
      <c r="I1027" s="2">
        <f t="shared" si="79"/>
        <v>330</v>
      </c>
      <c r="J1027" s="2">
        <f t="shared" si="80"/>
        <v>1</v>
      </c>
    </row>
    <row r="1028" spans="1:10">
      <c r="B1028" t="s">
        <v>39</v>
      </c>
      <c r="C1028" t="s">
        <v>30</v>
      </c>
      <c r="D1028" s="2" t="s">
        <v>1020</v>
      </c>
      <c r="E1028" s="2">
        <f>790*3</f>
        <v>2370</v>
      </c>
      <c r="F1028" s="2"/>
      <c r="G1028" s="2">
        <f>647+650+600</f>
        <v>1897</v>
      </c>
      <c r="H1028" s="2"/>
      <c r="I1028" s="2">
        <f t="shared" si="79"/>
        <v>473</v>
      </c>
      <c r="J1028" s="2">
        <f t="shared" si="80"/>
        <v>0.19957805907172996</v>
      </c>
    </row>
    <row r="1029" spans="1:10">
      <c r="B1029" t="s">
        <v>1021</v>
      </c>
      <c r="D1029" s="2" t="s">
        <v>1022</v>
      </c>
      <c r="E1029" s="2">
        <f>819</f>
        <v>819</v>
      </c>
      <c r="F1029" s="2"/>
      <c r="G1029" s="2">
        <v>640</v>
      </c>
      <c r="H1029" s="2"/>
      <c r="I1029" s="2">
        <f t="shared" si="79"/>
        <v>179</v>
      </c>
      <c r="J1029" s="2">
        <f t="shared" si="80"/>
        <v>0.21855921855921856</v>
      </c>
    </row>
    <row r="1030" spans="1:10">
      <c r="B1030" t="s">
        <v>1021</v>
      </c>
      <c r="D1030" t="s">
        <v>1023</v>
      </c>
      <c r="E1030">
        <v>819</v>
      </c>
      <c r="F1030">
        <v>298</v>
      </c>
      <c r="G1030">
        <f>F1030*0.3*0.8*6.8*1.07</f>
        <v>520.37951999999996</v>
      </c>
      <c r="I1030" s="2">
        <f t="shared" si="79"/>
        <v>298.62048000000004</v>
      </c>
      <c r="J1030" s="2">
        <f t="shared" si="80"/>
        <v>0.36461597069597074</v>
      </c>
    </row>
    <row r="1031" spans="1:10">
      <c r="C1031" t="s">
        <v>30</v>
      </c>
      <c r="D1031" t="s">
        <v>1024</v>
      </c>
      <c r="E1031">
        <v>195</v>
      </c>
      <c r="G1031">
        <f>165+8</f>
        <v>173</v>
      </c>
      <c r="I1031" s="2">
        <f t="shared" si="79"/>
        <v>22</v>
      </c>
      <c r="J1031" s="2">
        <f t="shared" si="80"/>
        <v>0.11282051282051282</v>
      </c>
    </row>
    <row r="1032" spans="1:10">
      <c r="B1032" t="s">
        <v>39</v>
      </c>
      <c r="C1032" t="s">
        <v>30</v>
      </c>
      <c r="D1032" t="s">
        <v>1025</v>
      </c>
      <c r="E1032">
        <v>235</v>
      </c>
      <c r="F1032">
        <v>39</v>
      </c>
      <c r="G1032">
        <f>F1032*0.75*6.8*0.95</f>
        <v>188.95499999999998</v>
      </c>
      <c r="I1032" s="2">
        <f t="shared" si="79"/>
        <v>46.045000000000016</v>
      </c>
      <c r="J1032" s="2">
        <f t="shared" si="80"/>
        <v>0.19593617021276602</v>
      </c>
    </row>
    <row r="1033" spans="1:10">
      <c r="B1033" s="2" t="s">
        <v>1026</v>
      </c>
      <c r="C1033" s="2" t="s">
        <v>37</v>
      </c>
      <c r="D1033" s="2" t="s">
        <v>1027</v>
      </c>
      <c r="E1033" s="2">
        <v>640</v>
      </c>
      <c r="F1033" s="2"/>
      <c r="G1033" s="2">
        <v>599</v>
      </c>
      <c r="H1033" s="2"/>
      <c r="I1033" s="2">
        <f t="shared" si="79"/>
        <v>41</v>
      </c>
      <c r="J1033" s="2">
        <f t="shared" si="80"/>
        <v>6.4062499999999994E-2</v>
      </c>
    </row>
    <row r="1034" spans="1:10">
      <c r="B1034" t="s">
        <v>1028</v>
      </c>
      <c r="D1034" t="s">
        <v>1029</v>
      </c>
      <c r="E1034">
        <v>950</v>
      </c>
      <c r="F1034">
        <v>68</v>
      </c>
      <c r="G1034">
        <f>F1034*6.8</f>
        <v>462.4</v>
      </c>
      <c r="I1034" s="2">
        <f t="shared" si="79"/>
        <v>487.6</v>
      </c>
      <c r="J1034" s="2">
        <f t="shared" si="80"/>
        <v>0.51326315789473687</v>
      </c>
    </row>
    <row r="1035" spans="1:10">
      <c r="B1035" t="s">
        <v>1028</v>
      </c>
      <c r="D1035" t="s">
        <v>1030</v>
      </c>
      <c r="E1035">
        <v>760</v>
      </c>
      <c r="G1035">
        <v>550</v>
      </c>
      <c r="I1035" s="2">
        <f t="shared" si="79"/>
        <v>210</v>
      </c>
      <c r="J1035" s="2">
        <f t="shared" si="80"/>
        <v>0.27631578947368424</v>
      </c>
    </row>
    <row r="1036" spans="1:10">
      <c r="B1036" t="s">
        <v>39</v>
      </c>
      <c r="C1036" t="s">
        <v>30</v>
      </c>
      <c r="D1036" s="2" t="s">
        <v>1031</v>
      </c>
      <c r="E1036" s="2">
        <v>1550</v>
      </c>
      <c r="F1036" s="2">
        <v>164.97</v>
      </c>
      <c r="G1036" s="2">
        <f>F1036*6.88*0.92</f>
        <v>1044.1941120000001</v>
      </c>
      <c r="H1036" s="2">
        <f>(13.19+146*0.015)*6.9</f>
        <v>106.122</v>
      </c>
      <c r="I1036" s="2">
        <f t="shared" si="79"/>
        <v>611.92788799999983</v>
      </c>
      <c r="J1036" s="2">
        <f t="shared" si="80"/>
        <v>0.39479218580645148</v>
      </c>
    </row>
    <row r="1037" spans="1:10">
      <c r="I1037" s="2">
        <f t="shared" si="79"/>
        <v>0</v>
      </c>
      <c r="J1037" s="2" t="e">
        <f t="shared" si="80"/>
        <v>#DIV/0!</v>
      </c>
    </row>
    <row r="1038" spans="1:10">
      <c r="A1038" s="15">
        <v>43643</v>
      </c>
      <c r="C1038" t="s">
        <v>30</v>
      </c>
      <c r="D1038" t="s">
        <v>1032</v>
      </c>
      <c r="E1038">
        <f>275+6</f>
        <v>281</v>
      </c>
      <c r="G1038">
        <v>245</v>
      </c>
      <c r="I1038" s="2">
        <f t="shared" si="79"/>
        <v>36</v>
      </c>
      <c r="J1038" s="2">
        <f t="shared" si="80"/>
        <v>0.12811387900355872</v>
      </c>
    </row>
    <row r="1039" spans="1:10">
      <c r="A1039" s="2"/>
      <c r="B1039" s="2" t="s">
        <v>1026</v>
      </c>
      <c r="C1039" s="2" t="s">
        <v>37</v>
      </c>
      <c r="D1039" s="2" t="s">
        <v>1033</v>
      </c>
      <c r="E1039" s="2">
        <v>580</v>
      </c>
      <c r="F1039" s="2"/>
      <c r="G1039" s="2">
        <v>485</v>
      </c>
      <c r="H1039" s="2"/>
      <c r="I1039" s="2">
        <f t="shared" si="79"/>
        <v>95</v>
      </c>
      <c r="J1039" s="2">
        <f t="shared" si="80"/>
        <v>0.16379310344827586</v>
      </c>
    </row>
    <row r="1040" spans="1:10">
      <c r="B1040" t="s">
        <v>895</v>
      </c>
      <c r="D1040" t="s">
        <v>1034</v>
      </c>
      <c r="E1040">
        <v>899</v>
      </c>
      <c r="G1040">
        <v>600</v>
      </c>
      <c r="I1040" s="2">
        <f t="shared" si="79"/>
        <v>299</v>
      </c>
      <c r="J1040" s="2">
        <f t="shared" si="80"/>
        <v>0.33259176863181311</v>
      </c>
    </row>
    <row r="1041" spans="2:10">
      <c r="B1041" t="s">
        <v>39</v>
      </c>
      <c r="C1041" t="s">
        <v>30</v>
      </c>
      <c r="D1041" t="s">
        <v>1035</v>
      </c>
      <c r="E1041">
        <v>249</v>
      </c>
      <c r="G1041">
        <v>225</v>
      </c>
      <c r="I1041" s="2">
        <f t="shared" si="79"/>
        <v>24</v>
      </c>
      <c r="J1041" s="2">
        <f t="shared" si="80"/>
        <v>9.6385542168674704E-2</v>
      </c>
    </row>
    <row r="1042" spans="2:10">
      <c r="B1042" t="s">
        <v>97</v>
      </c>
      <c r="C1042" t="s">
        <v>37</v>
      </c>
      <c r="D1042" t="s">
        <v>819</v>
      </c>
      <c r="E1042">
        <v>325</v>
      </c>
      <c r="G1042">
        <f>50*0.77*6.8</f>
        <v>261.8</v>
      </c>
      <c r="I1042" s="2">
        <f t="shared" si="79"/>
        <v>63.199999999999989</v>
      </c>
      <c r="J1042" s="2">
        <f t="shared" si="80"/>
        <v>0.19446153846153844</v>
      </c>
    </row>
    <row r="1043" spans="2:10">
      <c r="B1043" s="6"/>
      <c r="C1043" s="6" t="s">
        <v>30</v>
      </c>
      <c r="D1043" s="6" t="s">
        <v>1036</v>
      </c>
      <c r="E1043" s="6">
        <v>355</v>
      </c>
      <c r="F1043" s="6"/>
      <c r="G1043" s="6">
        <v>315</v>
      </c>
      <c r="H1043" s="6"/>
      <c r="I1043" s="6">
        <f t="shared" si="79"/>
        <v>40</v>
      </c>
      <c r="J1043" s="2">
        <f t="shared" si="80"/>
        <v>0.11267605633802817</v>
      </c>
    </row>
    <row r="1044" spans="2:10">
      <c r="B1044" t="s">
        <v>39</v>
      </c>
      <c r="C1044" t="s">
        <v>30</v>
      </c>
      <c r="D1044" t="s">
        <v>1037</v>
      </c>
      <c r="E1044">
        <v>249</v>
      </c>
      <c r="G1044">
        <f>210+8</f>
        <v>218</v>
      </c>
      <c r="I1044" s="2">
        <f t="shared" si="79"/>
        <v>31</v>
      </c>
      <c r="J1044" s="2">
        <f t="shared" si="80"/>
        <v>0.12449799196787148</v>
      </c>
    </row>
    <row r="1045" spans="2:10">
      <c r="B1045" t="s">
        <v>39</v>
      </c>
      <c r="C1045" t="s">
        <v>30</v>
      </c>
      <c r="D1045" t="s">
        <v>1038</v>
      </c>
      <c r="E1045">
        <f>145+10</f>
        <v>155</v>
      </c>
      <c r="G1045">
        <v>118.8</v>
      </c>
      <c r="I1045" s="2">
        <f t="shared" si="79"/>
        <v>36.200000000000003</v>
      </c>
      <c r="J1045" s="2">
        <f t="shared" si="80"/>
        <v>0.23354838709677422</v>
      </c>
    </row>
    <row r="1046" spans="2:10">
      <c r="B1046" t="s">
        <v>39</v>
      </c>
      <c r="C1046" t="s">
        <v>30</v>
      </c>
      <c r="D1046" t="s">
        <v>1038</v>
      </c>
      <c r="E1046">
        <v>155</v>
      </c>
      <c r="G1046">
        <f>20*0.8*6.8+10</f>
        <v>118.8</v>
      </c>
      <c r="I1046" s="2">
        <f t="shared" si="79"/>
        <v>36.200000000000003</v>
      </c>
      <c r="J1046" s="2">
        <f t="shared" si="80"/>
        <v>0.23354838709677422</v>
      </c>
    </row>
    <row r="1047" spans="2:10">
      <c r="B1047" t="s">
        <v>39</v>
      </c>
      <c r="C1047" t="s">
        <v>30</v>
      </c>
      <c r="D1047" t="s">
        <v>1039</v>
      </c>
      <c r="E1047">
        <v>78</v>
      </c>
      <c r="G1047">
        <v>70</v>
      </c>
      <c r="I1047" s="2">
        <f t="shared" si="79"/>
        <v>8</v>
      </c>
      <c r="J1047" s="2">
        <f t="shared" si="80"/>
        <v>0.10256410256410256</v>
      </c>
    </row>
    <row r="1048" spans="2:10">
      <c r="B1048" t="s">
        <v>39</v>
      </c>
      <c r="C1048" t="s">
        <v>30</v>
      </c>
      <c r="D1048" t="s">
        <v>1040</v>
      </c>
      <c r="E1048">
        <v>195</v>
      </c>
      <c r="G1048">
        <v>160</v>
      </c>
      <c r="I1048" s="2">
        <f t="shared" si="79"/>
        <v>35</v>
      </c>
      <c r="J1048" s="2">
        <f t="shared" si="80"/>
        <v>0.17948717948717949</v>
      </c>
    </row>
    <row r="1049" spans="2:10">
      <c r="C1049" t="s">
        <v>30</v>
      </c>
      <c r="D1049" t="s">
        <v>1041</v>
      </c>
      <c r="E1049">
        <v>255</v>
      </c>
      <c r="G1049">
        <v>220</v>
      </c>
      <c r="I1049" s="2">
        <f t="shared" si="79"/>
        <v>35</v>
      </c>
      <c r="J1049" s="2">
        <f t="shared" si="80"/>
        <v>0.13725490196078433</v>
      </c>
    </row>
    <row r="1050" spans="2:10">
      <c r="B1050" t="s">
        <v>68</v>
      </c>
      <c r="C1050" t="s">
        <v>37</v>
      </c>
      <c r="D1050" t="s">
        <v>1042</v>
      </c>
      <c r="E1050">
        <v>255</v>
      </c>
      <c r="G1050">
        <v>218</v>
      </c>
      <c r="I1050" s="2">
        <f t="shared" si="79"/>
        <v>37</v>
      </c>
      <c r="J1050" s="2">
        <f t="shared" si="80"/>
        <v>0.14509803921568629</v>
      </c>
    </row>
    <row r="1051" spans="2:10">
      <c r="C1051" t="s">
        <v>15</v>
      </c>
      <c r="D1051" t="s">
        <v>1043</v>
      </c>
      <c r="E1051">
        <v>799</v>
      </c>
      <c r="F1051">
        <v>105</v>
      </c>
      <c r="G1051">
        <f>F1051*0.8*6.8</f>
        <v>571.19999999999993</v>
      </c>
      <c r="I1051" s="2">
        <f t="shared" si="79"/>
        <v>227.80000000000007</v>
      </c>
      <c r="J1051" s="2">
        <f t="shared" si="80"/>
        <v>0.28510638297872348</v>
      </c>
    </row>
    <row r="1052" spans="2:10">
      <c r="B1052" t="s">
        <v>39</v>
      </c>
      <c r="C1052" t="s">
        <v>30</v>
      </c>
      <c r="D1052" t="s">
        <v>221</v>
      </c>
      <c r="E1052">
        <v>188</v>
      </c>
      <c r="G1052">
        <v>155</v>
      </c>
      <c r="I1052" s="2">
        <f t="shared" si="79"/>
        <v>33</v>
      </c>
      <c r="J1052" s="2">
        <f t="shared" si="80"/>
        <v>0.17553191489361702</v>
      </c>
    </row>
    <row r="1053" spans="2:10">
      <c r="B1053" s="2" t="s">
        <v>28</v>
      </c>
      <c r="C1053" s="2"/>
      <c r="D1053" s="2" t="s">
        <v>1044</v>
      </c>
      <c r="E1053" s="2">
        <v>1650</v>
      </c>
      <c r="F1053" s="2"/>
      <c r="G1053" s="2">
        <f>29.4*4*1.0776*6.88</f>
        <v>871.87322879999988</v>
      </c>
      <c r="H1053" s="2">
        <f>G1053*0.015</f>
        <v>13.078098431999997</v>
      </c>
      <c r="I1053" s="2">
        <f t="shared" si="79"/>
        <v>791.20486963200017</v>
      </c>
      <c r="J1053" s="2">
        <f t="shared" si="80"/>
        <v>0.47951810280727281</v>
      </c>
    </row>
    <row r="1054" spans="2:10">
      <c r="B1054" t="s">
        <v>1045</v>
      </c>
      <c r="C1054" t="s">
        <v>30</v>
      </c>
      <c r="D1054" t="s">
        <v>1046</v>
      </c>
      <c r="E1054">
        <v>107</v>
      </c>
      <c r="G1054">
        <v>90</v>
      </c>
      <c r="I1054" s="2">
        <f t="shared" si="79"/>
        <v>17</v>
      </c>
      <c r="J1054" s="2">
        <f t="shared" si="80"/>
        <v>0.15887850467289719</v>
      </c>
    </row>
    <row r="1055" spans="2:10">
      <c r="D1055" t="s">
        <v>1047</v>
      </c>
      <c r="E1055">
        <v>227</v>
      </c>
      <c r="J1055" s="2"/>
    </row>
    <row r="1057" spans="1:10">
      <c r="A1057" s="15">
        <v>43644</v>
      </c>
      <c r="B1057" t="s">
        <v>1048</v>
      </c>
      <c r="C1057" t="s">
        <v>15</v>
      </c>
      <c r="D1057" t="s">
        <v>1049</v>
      </c>
      <c r="E1057">
        <v>759</v>
      </c>
      <c r="G1057">
        <v>495</v>
      </c>
      <c r="I1057" s="2">
        <f>E1057-G1057+H1057</f>
        <v>264</v>
      </c>
      <c r="J1057" s="2">
        <f>I1057/E1057</f>
        <v>0.34782608695652173</v>
      </c>
    </row>
    <row r="1058" spans="1:10">
      <c r="B1058" t="s">
        <v>1050</v>
      </c>
      <c r="C1058" t="s">
        <v>30</v>
      </c>
      <c r="D1058" t="s">
        <v>1051</v>
      </c>
      <c r="E1058">
        <f>780*2</f>
        <v>1560</v>
      </c>
      <c r="G1058">
        <f>700*2+8</f>
        <v>1408</v>
      </c>
      <c r="I1058" s="2">
        <f t="shared" ref="I1058:I1093" si="81">E1058-G1058+H1058</f>
        <v>152</v>
      </c>
      <c r="J1058" s="2">
        <f t="shared" ref="J1058:J1093" si="82">I1058/E1058</f>
        <v>9.7435897435897437E-2</v>
      </c>
    </row>
    <row r="1059" spans="1:10">
      <c r="B1059" t="s">
        <v>1050</v>
      </c>
      <c r="C1059" t="s">
        <v>30</v>
      </c>
      <c r="D1059" t="s">
        <v>747</v>
      </c>
      <c r="E1059">
        <v>485</v>
      </c>
      <c r="G1059">
        <v>417.33</v>
      </c>
      <c r="I1059" s="2">
        <f t="shared" si="81"/>
        <v>67.670000000000016</v>
      </c>
      <c r="J1059" s="2">
        <f t="shared" si="82"/>
        <v>0.13952577319587633</v>
      </c>
    </row>
    <row r="1060" spans="1:10">
      <c r="B1060" t="s">
        <v>1052</v>
      </c>
      <c r="C1060" t="s">
        <v>30</v>
      </c>
      <c r="D1060" s="3" t="s">
        <v>346</v>
      </c>
      <c r="E1060">
        <v>107</v>
      </c>
      <c r="G1060">
        <v>98</v>
      </c>
      <c r="I1060" s="2">
        <v>10</v>
      </c>
      <c r="J1060" s="2">
        <f t="shared" si="82"/>
        <v>9.3457943925233641E-2</v>
      </c>
    </row>
    <row r="1061" spans="1:10">
      <c r="B1061" t="s">
        <v>1053</v>
      </c>
      <c r="C1061" t="s">
        <v>37</v>
      </c>
      <c r="D1061" t="s">
        <v>1054</v>
      </c>
      <c r="E1061">
        <f>140*3</f>
        <v>420</v>
      </c>
      <c r="G1061">
        <f>125*3</f>
        <v>375</v>
      </c>
      <c r="I1061" s="2">
        <f t="shared" si="81"/>
        <v>45</v>
      </c>
      <c r="J1061" s="2">
        <f t="shared" si="82"/>
        <v>0.10714285714285714</v>
      </c>
    </row>
    <row r="1062" spans="1:10">
      <c r="B1062" s="2"/>
      <c r="C1062" s="2"/>
      <c r="D1062" s="2" t="s">
        <v>1055</v>
      </c>
      <c r="E1062" s="2">
        <v>550</v>
      </c>
      <c r="F1062" s="2"/>
      <c r="G1062" s="2">
        <v>520</v>
      </c>
      <c r="H1062" s="2"/>
      <c r="I1062" s="2">
        <f t="shared" si="81"/>
        <v>30</v>
      </c>
      <c r="J1062" s="2">
        <f t="shared" si="82"/>
        <v>5.4545454545454543E-2</v>
      </c>
    </row>
    <row r="1063" spans="1:10">
      <c r="C1063" t="s">
        <v>30</v>
      </c>
      <c r="D1063" t="s">
        <v>1056</v>
      </c>
      <c r="E1063">
        <v>259</v>
      </c>
      <c r="G1063">
        <v>230</v>
      </c>
      <c r="I1063" s="2">
        <f t="shared" si="81"/>
        <v>29</v>
      </c>
      <c r="J1063" s="2">
        <f t="shared" si="82"/>
        <v>0.11196911196911197</v>
      </c>
    </row>
    <row r="1064" spans="1:10">
      <c r="C1064" t="s">
        <v>15</v>
      </c>
      <c r="D1064" t="s">
        <v>825</v>
      </c>
      <c r="E1064">
        <v>889</v>
      </c>
      <c r="F1064">
        <v>150</v>
      </c>
      <c r="G1064">
        <f>F1064*0.75*6.85</f>
        <v>770.625</v>
      </c>
      <c r="I1064" s="2">
        <f t="shared" si="81"/>
        <v>118.375</v>
      </c>
      <c r="J1064" s="2">
        <f t="shared" si="82"/>
        <v>0.13315523059617548</v>
      </c>
    </row>
    <row r="1065" spans="1:10">
      <c r="C1065" t="s">
        <v>15</v>
      </c>
      <c r="D1065" t="s">
        <v>632</v>
      </c>
      <c r="E1065">
        <v>655</v>
      </c>
      <c r="G1065">
        <v>560</v>
      </c>
      <c r="I1065" s="2">
        <f t="shared" si="81"/>
        <v>95</v>
      </c>
      <c r="J1065" s="2">
        <f t="shared" si="82"/>
        <v>0.14503816793893129</v>
      </c>
    </row>
    <row r="1066" spans="1:10">
      <c r="C1066" t="s">
        <v>15</v>
      </c>
      <c r="D1066" t="s">
        <v>1057</v>
      </c>
      <c r="E1066">
        <v>199</v>
      </c>
      <c r="G1066">
        <v>154</v>
      </c>
      <c r="I1066" s="2">
        <f t="shared" si="81"/>
        <v>45</v>
      </c>
      <c r="J1066" s="2">
        <f t="shared" si="82"/>
        <v>0.22613065326633167</v>
      </c>
    </row>
    <row r="1067" spans="1:10">
      <c r="B1067" s="2" t="s">
        <v>39</v>
      </c>
      <c r="C1067" s="2" t="s">
        <v>30</v>
      </c>
      <c r="D1067" s="2" t="s">
        <v>1058</v>
      </c>
      <c r="E1067" s="2">
        <v>700</v>
      </c>
      <c r="F1067" s="2"/>
      <c r="G1067" s="2">
        <v>499</v>
      </c>
      <c r="H1067" s="2"/>
      <c r="I1067" s="2">
        <f t="shared" si="81"/>
        <v>201</v>
      </c>
      <c r="J1067" s="2">
        <f t="shared" si="82"/>
        <v>0.28714285714285714</v>
      </c>
    </row>
    <row r="1068" spans="1:10">
      <c r="B1068" t="s">
        <v>39</v>
      </c>
      <c r="C1068" t="s">
        <v>30</v>
      </c>
      <c r="D1068" t="s">
        <v>1059</v>
      </c>
      <c r="E1068">
        <v>300</v>
      </c>
      <c r="I1068" s="2">
        <f t="shared" si="81"/>
        <v>300</v>
      </c>
      <c r="J1068" s="2">
        <f t="shared" si="82"/>
        <v>1</v>
      </c>
    </row>
    <row r="1069" spans="1:10">
      <c r="B1069" t="s">
        <v>39</v>
      </c>
      <c r="C1069" t="s">
        <v>30</v>
      </c>
      <c r="D1069" t="s">
        <v>1060</v>
      </c>
      <c r="E1069">
        <f>50*6.85</f>
        <v>342.5</v>
      </c>
      <c r="I1069" s="2">
        <f t="shared" si="81"/>
        <v>342.5</v>
      </c>
      <c r="J1069" s="2">
        <f t="shared" si="82"/>
        <v>1</v>
      </c>
    </row>
    <row r="1070" spans="1:10">
      <c r="B1070" s="2" t="s">
        <v>245</v>
      </c>
      <c r="C1070" s="2" t="s">
        <v>30</v>
      </c>
      <c r="D1070" s="2" t="s">
        <v>1061</v>
      </c>
      <c r="E1070" s="2">
        <f>650+85</f>
        <v>735</v>
      </c>
      <c r="F1070" s="2"/>
      <c r="G1070" s="2">
        <v>600</v>
      </c>
      <c r="H1070" s="2"/>
      <c r="I1070" s="2">
        <f t="shared" si="81"/>
        <v>135</v>
      </c>
      <c r="J1070" s="2">
        <f t="shared" si="82"/>
        <v>0.18367346938775511</v>
      </c>
    </row>
    <row r="1071" spans="1:10">
      <c r="B1071" s="2" t="s">
        <v>36</v>
      </c>
      <c r="C1071" s="2" t="s">
        <v>37</v>
      </c>
      <c r="D1071" s="2" t="s">
        <v>1062</v>
      </c>
      <c r="E1071" s="2">
        <v>1220</v>
      </c>
      <c r="F1071" s="2"/>
      <c r="G1071" s="2">
        <v>1050</v>
      </c>
      <c r="H1071" s="2"/>
      <c r="I1071" s="2">
        <f t="shared" si="81"/>
        <v>170</v>
      </c>
      <c r="J1071" s="2">
        <f t="shared" si="82"/>
        <v>0.13934426229508196</v>
      </c>
    </row>
    <row r="1072" spans="1:10">
      <c r="I1072" s="2">
        <f t="shared" si="81"/>
        <v>0</v>
      </c>
      <c r="J1072" s="2" t="e">
        <f t="shared" si="82"/>
        <v>#DIV/0!</v>
      </c>
    </row>
    <row r="1073" spans="1:10">
      <c r="A1073" s="15">
        <v>43645</v>
      </c>
      <c r="C1073" t="s">
        <v>30</v>
      </c>
      <c r="D1073" t="s">
        <v>1063</v>
      </c>
      <c r="E1073">
        <v>430</v>
      </c>
      <c r="G1073">
        <v>387</v>
      </c>
      <c r="I1073" s="2">
        <f t="shared" si="81"/>
        <v>43</v>
      </c>
      <c r="J1073" s="2">
        <f t="shared" si="82"/>
        <v>0.1</v>
      </c>
    </row>
    <row r="1074" spans="1:10">
      <c r="C1074" s="3" t="s">
        <v>30</v>
      </c>
      <c r="D1074" s="3" t="s">
        <v>1063</v>
      </c>
      <c r="E1074" s="3">
        <v>430</v>
      </c>
      <c r="G1074">
        <v>380</v>
      </c>
      <c r="I1074" s="2">
        <f t="shared" si="81"/>
        <v>50</v>
      </c>
      <c r="J1074" s="2">
        <f t="shared" si="82"/>
        <v>0.11627906976744186</v>
      </c>
    </row>
    <row r="1075" spans="1:10">
      <c r="B1075" t="s">
        <v>748</v>
      </c>
      <c r="C1075" t="s">
        <v>37</v>
      </c>
      <c r="D1075" t="s">
        <v>1064</v>
      </c>
      <c r="E1075">
        <v>780</v>
      </c>
      <c r="I1075" s="2">
        <f t="shared" si="81"/>
        <v>780</v>
      </c>
      <c r="J1075" s="2">
        <f t="shared" si="82"/>
        <v>1</v>
      </c>
    </row>
    <row r="1076" spans="1:10">
      <c r="B1076" t="s">
        <v>1065</v>
      </c>
      <c r="D1076" t="s">
        <v>1066</v>
      </c>
      <c r="I1076" s="2">
        <f t="shared" si="81"/>
        <v>0</v>
      </c>
      <c r="J1076" s="2" t="e">
        <f t="shared" si="82"/>
        <v>#DIV/0!</v>
      </c>
    </row>
    <row r="1077" spans="1:10">
      <c r="B1077" t="s">
        <v>391</v>
      </c>
      <c r="D1077" t="s">
        <v>1067</v>
      </c>
      <c r="E1077">
        <v>940</v>
      </c>
      <c r="I1077" s="2">
        <f t="shared" si="81"/>
        <v>940</v>
      </c>
      <c r="J1077" s="2">
        <f t="shared" si="82"/>
        <v>1</v>
      </c>
    </row>
    <row r="1078" spans="1:10">
      <c r="D1078" s="6" t="s">
        <v>1068</v>
      </c>
      <c r="E1078" s="6">
        <v>150</v>
      </c>
      <c r="I1078" s="2">
        <f t="shared" si="81"/>
        <v>150</v>
      </c>
      <c r="J1078" s="2">
        <f t="shared" si="82"/>
        <v>1</v>
      </c>
    </row>
    <row r="1079" spans="1:10">
      <c r="I1079" s="2">
        <f t="shared" si="81"/>
        <v>0</v>
      </c>
      <c r="J1079" s="2" t="e">
        <f t="shared" si="82"/>
        <v>#DIV/0!</v>
      </c>
    </row>
    <row r="1080" spans="1:10">
      <c r="A1080" s="15">
        <v>43646</v>
      </c>
      <c r="B1080" t="s">
        <v>952</v>
      </c>
      <c r="C1080" t="s">
        <v>30</v>
      </c>
      <c r="D1080" t="s">
        <v>1063</v>
      </c>
      <c r="E1080">
        <v>430</v>
      </c>
      <c r="I1080" s="2">
        <f t="shared" si="81"/>
        <v>430</v>
      </c>
      <c r="J1080" s="2">
        <f t="shared" si="82"/>
        <v>1</v>
      </c>
    </row>
    <row r="1081" spans="1:10">
      <c r="D1081" t="s">
        <v>1069</v>
      </c>
      <c r="E1081">
        <v>2100</v>
      </c>
      <c r="G1081">
        <v>1085</v>
      </c>
      <c r="I1081" s="2">
        <f t="shared" si="81"/>
        <v>1015</v>
      </c>
      <c r="J1081" s="2">
        <f t="shared" si="82"/>
        <v>0.48333333333333334</v>
      </c>
    </row>
    <row r="1082" spans="1:10">
      <c r="D1082" t="s">
        <v>1070</v>
      </c>
      <c r="E1082">
        <v>899</v>
      </c>
      <c r="I1082" s="2">
        <f t="shared" si="81"/>
        <v>899</v>
      </c>
      <c r="J1082" s="2">
        <f t="shared" si="82"/>
        <v>1</v>
      </c>
    </row>
    <row r="1083" spans="1:10">
      <c r="D1083" t="s">
        <v>1071</v>
      </c>
      <c r="E1083">
        <v>710</v>
      </c>
      <c r="G1083">
        <v>510</v>
      </c>
      <c r="I1083" s="2">
        <f t="shared" si="81"/>
        <v>200</v>
      </c>
      <c r="J1083" s="2">
        <f t="shared" si="82"/>
        <v>0.28169014084507044</v>
      </c>
    </row>
    <row r="1084" spans="1:10">
      <c r="D1084" t="s">
        <v>1072</v>
      </c>
      <c r="E1084">
        <v>670</v>
      </c>
      <c r="G1084">
        <v>499</v>
      </c>
      <c r="I1084" s="2">
        <f t="shared" si="81"/>
        <v>171</v>
      </c>
      <c r="J1084" s="2">
        <f t="shared" si="82"/>
        <v>0.25522388059701495</v>
      </c>
    </row>
    <row r="1085" spans="1:10">
      <c r="B1085" t="s">
        <v>132</v>
      </c>
      <c r="D1085" t="s">
        <v>1073</v>
      </c>
      <c r="I1085" s="2">
        <f t="shared" si="81"/>
        <v>0</v>
      </c>
      <c r="J1085" s="2" t="e">
        <f t="shared" si="82"/>
        <v>#DIV/0!</v>
      </c>
    </row>
    <row r="1086" spans="1:10">
      <c r="C1086" t="s">
        <v>15</v>
      </c>
      <c r="D1086" t="s">
        <v>103</v>
      </c>
      <c r="E1086">
        <v>1099</v>
      </c>
      <c r="F1086">
        <v>103.6</v>
      </c>
      <c r="G1086">
        <f>F1086*0.985*6.8</f>
        <v>693.91279999999995</v>
      </c>
      <c r="I1086" s="2">
        <f t="shared" si="81"/>
        <v>405.08720000000005</v>
      </c>
      <c r="J1086" s="2">
        <f t="shared" si="82"/>
        <v>0.36859617834394909</v>
      </c>
    </row>
    <row r="1087" spans="1:10">
      <c r="C1087" t="s">
        <v>15</v>
      </c>
      <c r="D1087" t="s">
        <v>1074</v>
      </c>
      <c r="E1087">
        <v>215</v>
      </c>
      <c r="I1087" s="2">
        <f t="shared" si="81"/>
        <v>215</v>
      </c>
      <c r="J1087" s="2">
        <f t="shared" si="82"/>
        <v>1</v>
      </c>
    </row>
    <row r="1088" spans="1:10">
      <c r="C1088" t="s">
        <v>15</v>
      </c>
      <c r="D1088" t="s">
        <v>1075</v>
      </c>
      <c r="I1088" s="2">
        <f t="shared" si="81"/>
        <v>0</v>
      </c>
      <c r="J1088" s="2" t="e">
        <f t="shared" si="82"/>
        <v>#DIV/0!</v>
      </c>
    </row>
    <row r="1089" spans="2:10">
      <c r="C1089" t="s">
        <v>15</v>
      </c>
      <c r="D1089" t="s">
        <v>1076</v>
      </c>
      <c r="E1089">
        <v>899</v>
      </c>
      <c r="G1089">
        <f>150*0.75*6.88*0.985</f>
        <v>762.39</v>
      </c>
      <c r="I1089" s="2">
        <f t="shared" si="81"/>
        <v>136.61000000000001</v>
      </c>
      <c r="J1089" s="2">
        <f t="shared" si="82"/>
        <v>0.15195773081201336</v>
      </c>
    </row>
    <row r="1090" spans="2:10">
      <c r="C1090" t="s">
        <v>15</v>
      </c>
      <c r="D1090" t="s">
        <v>1077</v>
      </c>
      <c r="E1090">
        <v>355</v>
      </c>
      <c r="I1090" s="2">
        <f t="shared" si="81"/>
        <v>355</v>
      </c>
      <c r="J1090" s="2">
        <f t="shared" si="82"/>
        <v>1</v>
      </c>
    </row>
    <row r="1091" spans="2:10">
      <c r="C1091" t="s">
        <v>15</v>
      </c>
      <c r="D1091" t="s">
        <v>1078</v>
      </c>
      <c r="I1091" s="2">
        <f t="shared" si="81"/>
        <v>0</v>
      </c>
      <c r="J1091" s="2" t="e">
        <f t="shared" si="82"/>
        <v>#DIV/0!</v>
      </c>
    </row>
    <row r="1092" spans="2:10">
      <c r="D1092" t="s">
        <v>1079</v>
      </c>
      <c r="I1092" s="2">
        <f t="shared" si="81"/>
        <v>0</v>
      </c>
      <c r="J1092" s="2" t="e">
        <f t="shared" si="82"/>
        <v>#DIV/0!</v>
      </c>
    </row>
    <row r="1093" spans="2:10">
      <c r="D1093" t="s">
        <v>1080</v>
      </c>
      <c r="E1093">
        <v>757</v>
      </c>
      <c r="F1093">
        <v>68</v>
      </c>
      <c r="G1093">
        <f>F1093*6.88</f>
        <v>467.84</v>
      </c>
      <c r="I1093" s="2">
        <f t="shared" si="81"/>
        <v>289.16000000000003</v>
      </c>
      <c r="J1093" s="2">
        <f t="shared" si="82"/>
        <v>0.38198150594451785</v>
      </c>
    </row>
    <row r="1094" spans="2:10">
      <c r="I1094" s="2"/>
      <c r="J1094" s="2"/>
    </row>
    <row r="1095" spans="2:10">
      <c r="E1095">
        <f>SUM(E771:E1093)</f>
        <v>155798.61499999999</v>
      </c>
    </row>
    <row r="1098" spans="2:10">
      <c r="B1098">
        <f>1094-771-30</f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EEB1-9FFA-4170-A405-5905318AB95B}">
  <dimension ref="A1:K79"/>
  <sheetViews>
    <sheetView topLeftCell="A52" zoomScaleNormal="70" workbookViewId="0">
      <selection activeCell="E79" sqref="E79"/>
    </sheetView>
  </sheetViews>
  <sheetFormatPr defaultRowHeight="14.25"/>
  <cols>
    <col min="1" max="1" width="9.33203125" customWidth="1"/>
    <col min="2" max="2" width="11.3984375" customWidth="1"/>
    <col min="3" max="3" width="25.6640625" customWidth="1"/>
    <col min="4" max="4" width="34.796875" customWidth="1"/>
    <col min="5" max="5" width="35.265625" customWidth="1"/>
  </cols>
  <sheetData>
    <row r="1" spans="1:10">
      <c r="A1" t="s">
        <v>183</v>
      </c>
      <c r="B1" s="2" t="s">
        <v>184</v>
      </c>
      <c r="C1" s="2" t="s">
        <v>185</v>
      </c>
      <c r="D1" s="2" t="s">
        <v>1084</v>
      </c>
      <c r="E1" s="2" t="s">
        <v>1083</v>
      </c>
      <c r="F1" s="2" t="s">
        <v>200</v>
      </c>
      <c r="G1" s="2" t="s">
        <v>186</v>
      </c>
      <c r="H1" s="2" t="s">
        <v>187</v>
      </c>
      <c r="I1" s="2" t="s">
        <v>188</v>
      </c>
      <c r="J1" s="2" t="s">
        <v>204</v>
      </c>
    </row>
    <row r="2" spans="1:10">
      <c r="A2" s="9">
        <v>43636</v>
      </c>
      <c r="B2" s="2" t="s">
        <v>189</v>
      </c>
      <c r="C2" s="2" t="s">
        <v>190</v>
      </c>
      <c r="E2" s="2"/>
      <c r="F2" s="2"/>
      <c r="G2" s="2"/>
      <c r="H2" s="2"/>
      <c r="I2" s="2"/>
    </row>
    <row r="3" spans="1:10">
      <c r="B3" s="2"/>
      <c r="C3" s="2" t="s">
        <v>190</v>
      </c>
      <c r="E3" s="2"/>
      <c r="F3" s="2"/>
      <c r="G3" s="2"/>
      <c r="H3" s="2"/>
      <c r="I3" s="2"/>
    </row>
    <row r="4" spans="1:10" ht="57">
      <c r="B4" s="2"/>
      <c r="C4" s="10" t="s">
        <v>1195</v>
      </c>
      <c r="E4" s="2"/>
      <c r="F4" s="2"/>
      <c r="G4" s="2"/>
      <c r="H4" s="2"/>
      <c r="I4" s="2"/>
    </row>
    <row r="5" spans="1:10">
      <c r="B5" s="2"/>
      <c r="C5" s="2" t="s">
        <v>191</v>
      </c>
      <c r="E5" s="2"/>
      <c r="F5" s="2"/>
      <c r="G5" s="2"/>
      <c r="H5" s="2"/>
      <c r="I5" s="2"/>
    </row>
    <row r="6" spans="1:10">
      <c r="B6" s="2"/>
      <c r="C6" s="2" t="s">
        <v>192</v>
      </c>
      <c r="E6" s="2"/>
      <c r="F6" s="2"/>
      <c r="G6" s="2"/>
      <c r="H6" s="2"/>
      <c r="I6" s="2"/>
    </row>
    <row r="7" spans="1:10">
      <c r="B7" s="2"/>
      <c r="C7" s="2" t="s">
        <v>192</v>
      </c>
      <c r="E7" s="2">
        <f>(45.7*2-8)*6.9</f>
        <v>575.46</v>
      </c>
      <c r="F7" s="2"/>
      <c r="G7" s="2">
        <v>70</v>
      </c>
      <c r="H7" s="2"/>
      <c r="I7" s="2"/>
    </row>
    <row r="9" spans="1:10">
      <c r="A9" t="s">
        <v>193</v>
      </c>
      <c r="B9" t="s">
        <v>194</v>
      </c>
      <c r="C9" t="s">
        <v>195</v>
      </c>
      <c r="E9">
        <v>73.900000000000006</v>
      </c>
    </row>
    <row r="10" spans="1:10">
      <c r="C10" t="s">
        <v>196</v>
      </c>
      <c r="E10">
        <v>40</v>
      </c>
    </row>
    <row r="11" spans="1:10">
      <c r="C11" t="s">
        <v>197</v>
      </c>
      <c r="E11">
        <v>33.9</v>
      </c>
    </row>
    <row r="13" spans="1:10">
      <c r="A13" s="9">
        <v>43619</v>
      </c>
      <c r="B13" t="s">
        <v>198</v>
      </c>
      <c r="C13" t="s">
        <v>54</v>
      </c>
      <c r="E13">
        <f>(4177.33)/10</f>
        <v>417.733</v>
      </c>
      <c r="F13">
        <v>10</v>
      </c>
      <c r="G13">
        <f>104/10</f>
        <v>10.4</v>
      </c>
    </row>
    <row r="15" spans="1:10">
      <c r="E15">
        <f>102.73-8.21</f>
        <v>94.52000000000001</v>
      </c>
    </row>
    <row r="17" spans="1:10">
      <c r="E17">
        <v>372</v>
      </c>
      <c r="G17">
        <v>10.4</v>
      </c>
    </row>
    <row r="19" spans="1:10">
      <c r="A19">
        <v>6.1</v>
      </c>
      <c r="B19" t="s">
        <v>199</v>
      </c>
    </row>
    <row r="22" spans="1:10">
      <c r="A22">
        <v>6.21</v>
      </c>
      <c r="C22" t="s">
        <v>130</v>
      </c>
      <c r="D22">
        <f>10.97</f>
        <v>10.97</v>
      </c>
      <c r="E22">
        <f>D22*6.88</f>
        <v>75.473600000000005</v>
      </c>
      <c r="F22">
        <v>7</v>
      </c>
      <c r="G22">
        <v>19</v>
      </c>
      <c r="H22" t="s">
        <v>1093</v>
      </c>
      <c r="I22">
        <f>6.21*6.88/7</f>
        <v>6.1035428571428572</v>
      </c>
      <c r="J22">
        <f>E22+G22-I22</f>
        <v>88.370057142857149</v>
      </c>
    </row>
    <row r="23" spans="1:10">
      <c r="C23" t="s">
        <v>201</v>
      </c>
      <c r="D23">
        <v>12.97</v>
      </c>
      <c r="E23">
        <f>D23*6.88</f>
        <v>89.23360000000001</v>
      </c>
      <c r="F23">
        <v>1</v>
      </c>
      <c r="G23">
        <v>13.5</v>
      </c>
      <c r="I23">
        <f>6.88</f>
        <v>6.88</v>
      </c>
    </row>
    <row r="24" spans="1:10">
      <c r="D24">
        <v>12.97</v>
      </c>
      <c r="E24">
        <f>D24*6.88</f>
        <v>89.23360000000001</v>
      </c>
      <c r="F24">
        <v>1</v>
      </c>
      <c r="G24">
        <v>13.5</v>
      </c>
      <c r="I24">
        <f>6.88</f>
        <v>6.88</v>
      </c>
    </row>
    <row r="27" spans="1:10">
      <c r="B27" t="s">
        <v>1089</v>
      </c>
      <c r="C27" t="s">
        <v>1032</v>
      </c>
      <c r="E27">
        <f>1151.6/F27</f>
        <v>191.93333333333331</v>
      </c>
      <c r="F27">
        <v>6</v>
      </c>
    </row>
    <row r="30" spans="1:10">
      <c r="A30">
        <v>7.1</v>
      </c>
      <c r="B30" t="s">
        <v>1092</v>
      </c>
      <c r="C30" t="s">
        <v>54</v>
      </c>
      <c r="D30">
        <f>59.34*0.96</f>
        <v>56.9664</v>
      </c>
      <c r="E30">
        <f>D30*6.88</f>
        <v>391.928832</v>
      </c>
      <c r="F30">
        <v>6</v>
      </c>
      <c r="H30">
        <v>10.5</v>
      </c>
      <c r="J30">
        <f>E30+G30-I30</f>
        <v>391.928832</v>
      </c>
    </row>
    <row r="31" spans="1:10">
      <c r="C31" t="s">
        <v>131</v>
      </c>
      <c r="D31">
        <f>48.92*0.96</f>
        <v>46.963200000000001</v>
      </c>
      <c r="E31">
        <f>D31*6.88</f>
        <v>323.10681599999998</v>
      </c>
      <c r="F31">
        <v>1</v>
      </c>
      <c r="H31">
        <v>10.5</v>
      </c>
    </row>
    <row r="34" spans="1:11">
      <c r="A34" t="s">
        <v>203</v>
      </c>
      <c r="B34" t="s">
        <v>1116</v>
      </c>
      <c r="C34" s="8" t="s">
        <v>182</v>
      </c>
      <c r="E34">
        <f>67.2/4*6.8</f>
        <v>114.24</v>
      </c>
      <c r="F34">
        <v>4</v>
      </c>
      <c r="G34">
        <f>(34+42)*0.93/4</f>
        <v>17.670000000000002</v>
      </c>
      <c r="H34" t="s">
        <v>205</v>
      </c>
      <c r="I34">
        <f>5.38*6.88/4</f>
        <v>9.2536000000000005</v>
      </c>
      <c r="J34">
        <f>E34+G34-I34</f>
        <v>122.65639999999999</v>
      </c>
    </row>
    <row r="35" spans="1:11">
      <c r="C35" t="s">
        <v>202</v>
      </c>
      <c r="E35">
        <v>0</v>
      </c>
      <c r="F35">
        <v>1</v>
      </c>
    </row>
    <row r="37" spans="1:11">
      <c r="B37" t="s">
        <v>1116</v>
      </c>
      <c r="C37" s="8" t="s">
        <v>182</v>
      </c>
      <c r="E37">
        <f>67.2/4*6.8</f>
        <v>114.24</v>
      </c>
      <c r="F37">
        <v>4</v>
      </c>
      <c r="G37">
        <f>(34+42)*0.93/4</f>
        <v>17.670000000000002</v>
      </c>
      <c r="J37">
        <f>E37+G37-I37</f>
        <v>131.91</v>
      </c>
    </row>
    <row r="38" spans="1:11">
      <c r="C38" t="s">
        <v>202</v>
      </c>
      <c r="E38">
        <v>0</v>
      </c>
      <c r="F38">
        <v>1</v>
      </c>
      <c r="J38">
        <f>E38+G38-I38</f>
        <v>0</v>
      </c>
    </row>
    <row r="39" spans="1:11">
      <c r="J39">
        <f>E39+G39-I39</f>
        <v>0</v>
      </c>
    </row>
    <row r="40" spans="1:11">
      <c r="A40" s="9">
        <v>43622</v>
      </c>
      <c r="B40" t="s">
        <v>1090</v>
      </c>
      <c r="C40" t="s">
        <v>1090</v>
      </c>
      <c r="D40">
        <v>60.6</v>
      </c>
      <c r="H40" t="s">
        <v>1091</v>
      </c>
      <c r="I40">
        <v>6.6</v>
      </c>
      <c r="J40">
        <f>E40+G40-I40</f>
        <v>-6.6</v>
      </c>
    </row>
    <row r="41" spans="1:11">
      <c r="J41">
        <f>E41+G41-I41</f>
        <v>0</v>
      </c>
    </row>
    <row r="42" spans="1:11">
      <c r="B42" t="s">
        <v>1115</v>
      </c>
      <c r="C42" t="s">
        <v>826</v>
      </c>
      <c r="D42">
        <f>146.2*0.9*0.95</f>
        <v>125.00099999999998</v>
      </c>
      <c r="E42">
        <f>D42*6.91</f>
        <v>863.75690999999983</v>
      </c>
      <c r="F42">
        <v>4</v>
      </c>
      <c r="G42">
        <f>72*4</f>
        <v>288</v>
      </c>
      <c r="J42">
        <f>E42+G42/F42-I42</f>
        <v>935.75690999999983</v>
      </c>
      <c r="K42" s="2"/>
    </row>
    <row r="45" spans="1:11">
      <c r="A45" s="9">
        <v>43665</v>
      </c>
      <c r="C45" t="s">
        <v>826</v>
      </c>
      <c r="D45">
        <f>152*0.89*0.95</f>
        <v>128.51599999999999</v>
      </c>
      <c r="E45">
        <f>D45*6.88</f>
        <v>884.19007999999997</v>
      </c>
    </row>
    <row r="47" spans="1:11">
      <c r="A47" s="9">
        <v>43668</v>
      </c>
      <c r="B47" t="s">
        <v>1263</v>
      </c>
      <c r="C47" t="s">
        <v>54</v>
      </c>
      <c r="D47">
        <f>518*0.88*0.833/7</f>
        <v>54.244959999999992</v>
      </c>
      <c r="E47">
        <f>D47*6.88</f>
        <v>373.20532479999991</v>
      </c>
      <c r="F47">
        <v>7</v>
      </c>
    </row>
    <row r="50" spans="1:5">
      <c r="A50" s="9">
        <v>43647</v>
      </c>
      <c r="B50" t="s">
        <v>199</v>
      </c>
      <c r="C50" t="s">
        <v>825</v>
      </c>
      <c r="D50">
        <f>600/5</f>
        <v>120</v>
      </c>
      <c r="E50">
        <f t="shared" ref="E50:E55" si="0">(D50*0.85+1.25)*6.88</f>
        <v>710.36</v>
      </c>
    </row>
    <row r="51" spans="1:5">
      <c r="C51" t="s">
        <v>54</v>
      </c>
      <c r="D51">
        <f>148/2</f>
        <v>74</v>
      </c>
      <c r="E51">
        <f t="shared" si="0"/>
        <v>441.35200000000003</v>
      </c>
    </row>
    <row r="52" spans="1:5">
      <c r="C52" t="s">
        <v>1264</v>
      </c>
      <c r="D52">
        <v>38</v>
      </c>
      <c r="E52">
        <f t="shared" si="0"/>
        <v>230.82399999999998</v>
      </c>
    </row>
    <row r="53" spans="1:5">
      <c r="C53" t="s">
        <v>1265</v>
      </c>
      <c r="D53">
        <v>38</v>
      </c>
      <c r="E53">
        <f t="shared" si="0"/>
        <v>230.82399999999998</v>
      </c>
    </row>
    <row r="54" spans="1:5">
      <c r="C54" t="s">
        <v>1266</v>
      </c>
      <c r="D54">
        <v>33</v>
      </c>
      <c r="E54">
        <f t="shared" si="0"/>
        <v>201.584</v>
      </c>
    </row>
    <row r="55" spans="1:5">
      <c r="C55" t="s">
        <v>913</v>
      </c>
      <c r="D55">
        <v>33</v>
      </c>
      <c r="E55">
        <f t="shared" si="0"/>
        <v>201.584</v>
      </c>
    </row>
    <row r="57" spans="1:5">
      <c r="A57" s="9">
        <v>43602</v>
      </c>
      <c r="B57" t="s">
        <v>199</v>
      </c>
      <c r="C57" t="s">
        <v>57</v>
      </c>
      <c r="D57">
        <f>136/4</f>
        <v>34</v>
      </c>
      <c r="E57">
        <f>(D57*0.85+1.25)*6.88</f>
        <v>207.43199999999999</v>
      </c>
    </row>
    <row r="58" spans="1:5">
      <c r="C58" t="s">
        <v>825</v>
      </c>
      <c r="D58">
        <v>125</v>
      </c>
      <c r="E58">
        <f t="shared" ref="E58:E64" si="1">(D58*0.85+1.25)*6.88</f>
        <v>739.6</v>
      </c>
    </row>
    <row r="59" spans="1:5">
      <c r="C59" t="s">
        <v>1267</v>
      </c>
      <c r="D59">
        <v>99</v>
      </c>
      <c r="E59">
        <f t="shared" si="1"/>
        <v>587.55199999999991</v>
      </c>
    </row>
    <row r="60" spans="1:5">
      <c r="C60" t="s">
        <v>1268</v>
      </c>
      <c r="D60">
        <v>39</v>
      </c>
      <c r="E60">
        <f t="shared" si="1"/>
        <v>236.672</v>
      </c>
    </row>
    <row r="61" spans="1:5">
      <c r="C61" t="s">
        <v>1269</v>
      </c>
      <c r="D61">
        <v>78</v>
      </c>
      <c r="E61">
        <f t="shared" si="1"/>
        <v>464.74399999999997</v>
      </c>
    </row>
    <row r="62" spans="1:5">
      <c r="C62" t="s">
        <v>1269</v>
      </c>
      <c r="D62">
        <v>78</v>
      </c>
      <c r="E62">
        <f t="shared" si="1"/>
        <v>464.74399999999997</v>
      </c>
    </row>
    <row r="63" spans="1:5">
      <c r="C63" t="s">
        <v>1269</v>
      </c>
      <c r="D63">
        <v>78</v>
      </c>
      <c r="E63">
        <f t="shared" si="1"/>
        <v>464.74399999999997</v>
      </c>
    </row>
    <row r="64" spans="1:5">
      <c r="C64" t="s">
        <v>1270</v>
      </c>
      <c r="D64">
        <v>45</v>
      </c>
      <c r="E64">
        <f t="shared" si="1"/>
        <v>271.76</v>
      </c>
    </row>
    <row r="66" spans="1:10">
      <c r="A66" s="9">
        <v>43663</v>
      </c>
      <c r="B66" t="s">
        <v>1138</v>
      </c>
      <c r="C66" t="s">
        <v>1280</v>
      </c>
      <c r="D66">
        <v>76.5</v>
      </c>
      <c r="E66">
        <f>D66*6.88</f>
        <v>526.31999999999994</v>
      </c>
    </row>
    <row r="67" spans="1:10">
      <c r="C67" t="s">
        <v>1280</v>
      </c>
      <c r="D67">
        <v>76.5</v>
      </c>
      <c r="E67">
        <f t="shared" ref="E67:E69" si="2">D67*6.88</f>
        <v>526.31999999999994</v>
      </c>
    </row>
    <row r="68" spans="1:10">
      <c r="C68" t="s">
        <v>1281</v>
      </c>
      <c r="D68">
        <v>9.6999999999999993</v>
      </c>
      <c r="E68">
        <f t="shared" si="2"/>
        <v>66.73599999999999</v>
      </c>
    </row>
    <row r="69" spans="1:10">
      <c r="C69" t="s">
        <v>1281</v>
      </c>
      <c r="D69">
        <v>9.6999999999999993</v>
      </c>
      <c r="E69">
        <f t="shared" si="2"/>
        <v>66.73599999999999</v>
      </c>
    </row>
    <row r="71" spans="1:10">
      <c r="A71" s="9">
        <v>43663</v>
      </c>
      <c r="B71" t="s">
        <v>1138</v>
      </c>
      <c r="C71" t="s">
        <v>222</v>
      </c>
      <c r="D71">
        <v>6</v>
      </c>
      <c r="E71">
        <f>D71*6.88</f>
        <v>41.28</v>
      </c>
    </row>
    <row r="72" spans="1:10">
      <c r="C72" t="s">
        <v>1284</v>
      </c>
      <c r="D72">
        <v>19</v>
      </c>
      <c r="E72">
        <f>D72*0.5*6.88</f>
        <v>65.36</v>
      </c>
    </row>
    <row r="73" spans="1:10">
      <c r="C73" t="s">
        <v>1282</v>
      </c>
      <c r="D73">
        <v>10.5</v>
      </c>
      <c r="E73">
        <f>D73*6.88</f>
        <v>72.239999999999995</v>
      </c>
    </row>
    <row r="74" spans="1:10">
      <c r="C74" t="s">
        <v>1283</v>
      </c>
      <c r="D74">
        <v>58</v>
      </c>
      <c r="E74">
        <f>D74*0.25*6.88</f>
        <v>99.76</v>
      </c>
    </row>
    <row r="76" spans="1:10">
      <c r="D76">
        <f>SUM(D71:D74)</f>
        <v>93.5</v>
      </c>
    </row>
    <row r="78" spans="1:10">
      <c r="A78" s="9">
        <v>43630</v>
      </c>
      <c r="B78" t="s">
        <v>1300</v>
      </c>
      <c r="D78">
        <v>9</v>
      </c>
      <c r="E78">
        <v>61.92</v>
      </c>
      <c r="F78">
        <v>12</v>
      </c>
      <c r="G78">
        <v>132.05000000000001</v>
      </c>
      <c r="J78">
        <v>72.924166670000005</v>
      </c>
    </row>
    <row r="79" spans="1:10">
      <c r="A79" s="9">
        <v>43620</v>
      </c>
      <c r="B79" t="s">
        <v>1300</v>
      </c>
      <c r="D79">
        <v>9</v>
      </c>
      <c r="E79">
        <v>61.92</v>
      </c>
      <c r="F79">
        <v>15</v>
      </c>
      <c r="G79">
        <v>199.5</v>
      </c>
      <c r="J79">
        <v>75.22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57B-6B4A-4835-AA5D-1E02B2569EB9}">
  <dimension ref="A1:K9"/>
  <sheetViews>
    <sheetView workbookViewId="0">
      <selection activeCell="J2" sqref="J2"/>
    </sheetView>
  </sheetViews>
  <sheetFormatPr defaultRowHeight="14.25"/>
  <cols>
    <col min="1" max="1" width="9.19921875" bestFit="1" customWidth="1"/>
    <col min="3" max="3" width="21.53125" customWidth="1"/>
  </cols>
  <sheetData>
    <row r="1" spans="1:11">
      <c r="E1" t="s">
        <v>1164</v>
      </c>
      <c r="F1" t="s">
        <v>1165</v>
      </c>
      <c r="G1" t="s">
        <v>1166</v>
      </c>
    </row>
    <row r="2" spans="1:11">
      <c r="A2" s="9">
        <v>43665</v>
      </c>
      <c r="B2" t="s">
        <v>1161</v>
      </c>
      <c r="C2" t="s">
        <v>1162</v>
      </c>
      <c r="D2">
        <f>400-385-15</f>
        <v>0</v>
      </c>
      <c r="E2" t="s">
        <v>1167</v>
      </c>
      <c r="F2" t="s">
        <v>1170</v>
      </c>
      <c r="J2" t="s">
        <v>1160</v>
      </c>
    </row>
    <row r="3" spans="1:11">
      <c r="D3">
        <f>100-100</f>
        <v>0</v>
      </c>
      <c r="E3" t="s">
        <v>1168</v>
      </c>
      <c r="J3" t="s">
        <v>1163</v>
      </c>
    </row>
    <row r="4" spans="1:11">
      <c r="D4">
        <f>25</f>
        <v>25</v>
      </c>
      <c r="E4" t="s">
        <v>1245</v>
      </c>
      <c r="J4" t="s">
        <v>1169</v>
      </c>
    </row>
    <row r="5" spans="1:11" ht="85.5">
      <c r="B5" t="s">
        <v>1177</v>
      </c>
      <c r="C5" t="s">
        <v>1178</v>
      </c>
      <c r="D5">
        <f>481-149-102</f>
        <v>230</v>
      </c>
      <c r="E5" t="s">
        <v>1179</v>
      </c>
      <c r="F5" t="s">
        <v>1180</v>
      </c>
      <c r="J5" s="29" t="s">
        <v>1176</v>
      </c>
    </row>
    <row r="6" spans="1:11">
      <c r="B6" t="s">
        <v>1242</v>
      </c>
      <c r="C6" t="s">
        <v>1243</v>
      </c>
      <c r="E6">
        <v>200</v>
      </c>
      <c r="H6" t="s">
        <v>1244</v>
      </c>
      <c r="I6" t="s">
        <v>1245</v>
      </c>
      <c r="J6" s="2" t="s">
        <v>1246</v>
      </c>
      <c r="K6" s="2" t="s">
        <v>1247</v>
      </c>
    </row>
    <row r="7" spans="1:11">
      <c r="J7" t="s">
        <v>1094</v>
      </c>
    </row>
    <row r="8" spans="1:11">
      <c r="J8" t="s">
        <v>1095</v>
      </c>
    </row>
    <row r="9" spans="1:11">
      <c r="J9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B57-44F9-42AD-BB06-FFB2C28BAD71}">
  <dimension ref="A1"/>
  <sheetViews>
    <sheetView workbookViewId="0">
      <selection activeCell="D31" sqref="D31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2019上</vt:lpstr>
      <vt:lpstr>进货</vt:lpstr>
      <vt:lpstr>礼品卡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aurora</cp:lastModifiedBy>
  <dcterms:created xsi:type="dcterms:W3CDTF">2019-07-06T13:32:40Z</dcterms:created>
  <dcterms:modified xsi:type="dcterms:W3CDTF">2019-07-29T08:15:41Z</dcterms:modified>
</cp:coreProperties>
</file>