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80"/>
  </bookViews>
  <sheets>
    <sheet name="Frameworks" sheetId="1" r:id="rId1"/>
    <sheet name="Environments" sheetId="2" r:id="rId2"/>
    <sheet name="Raw data" sheetId="3" r:id="rId3"/>
  </sheets>
  <calcPr calcId="144525"/>
</workbook>
</file>

<file path=xl/sharedStrings.xml><?xml version="1.0" encoding="utf-8"?>
<sst xmlns="http://schemas.openxmlformats.org/spreadsheetml/2006/main" count="489" uniqueCount="120">
  <si>
    <t>Execution</t>
  </si>
  <si>
    <t>Algorithms (discrete / continuous / both)</t>
  </si>
  <si>
    <t>Additional features</t>
  </si>
  <si>
    <t>Project</t>
  </si>
  <si>
    <t>link</t>
  </si>
  <si>
    <t>Maintainer</t>
  </si>
  <si>
    <t>Framework</t>
  </si>
  <si>
    <t>Parallel</t>
  </si>
  <si>
    <t>Distributed</t>
  </si>
  <si>
    <t>DQN</t>
  </si>
  <si>
    <t>Rainbow</t>
  </si>
  <si>
    <t>REINFORCE</t>
  </si>
  <si>
    <t>A2C</t>
  </si>
  <si>
    <t>PPO</t>
  </si>
  <si>
    <t>DDPG</t>
  </si>
  <si>
    <t>SAC</t>
  </si>
  <si>
    <t>TD3</t>
  </si>
  <si>
    <t>TRPO</t>
  </si>
  <si>
    <t>GAIL</t>
  </si>
  <si>
    <t>n-step 
return</t>
  </si>
  <si>
    <t>prioritized 
experience 
replay</t>
  </si>
  <si>
    <t>distributional 
value 
funciton 
approximation</t>
  </si>
  <si>
    <t>hyperbolic 
discounting</t>
  </si>
  <si>
    <t>dict
observations
support</t>
  </si>
  <si>
    <t>?</t>
  </si>
  <si>
    <t>https://github.com/openai/baselines</t>
  </si>
  <si>
    <t>OpenAI</t>
  </si>
  <si>
    <t>Tensorflow</t>
  </si>
  <si>
    <t>✔️</t>
  </si>
  <si>
    <t>❌</t>
  </si>
  <si>
    <t>https://github.com/hill-a/stable-baselines</t>
  </si>
  <si>
    <t>Antonin Raffin, 
Ashley Hill</t>
  </si>
  <si>
    <t>https://github.com/catalyst-team/catalyst</t>
  </si>
  <si>
    <t>Sergey Kolesnikov</t>
  </si>
  <si>
    <t>PyTorch</t>
  </si>
  <si>
    <t>✔️?</t>
  </si>
  <si>
    <t>❌?</t>
  </si>
  <si>
    <t>✔️ (any critic model)</t>
  </si>
  <si>
    <t>https://github.com/ray-project/ray/tree/master/python/ray/rllib</t>
  </si>
  <si>
    <t>Ray Team</t>
  </si>
  <si>
    <t>? (DQN, DDPG only)</t>
  </si>
  <si>
    <t>? (DQN only)</t>
  </si>
  <si>
    <t>https://github.com/tensorflow/agents</t>
  </si>
  <si>
    <t>Google</t>
  </si>
  <si>
    <t>https://github.com/facebookresearch/Horizon</t>
  </si>
  <si>
    <t>Facebook</t>
  </si>
  <si>
    <t>https://github.com/NervanaSystems/coach</t>
  </si>
  <si>
    <t>Intel</t>
  </si>
  <si>
    <t>https://github.com/rlworkgroup/garage</t>
  </si>
  <si>
    <t>community</t>
  </si>
  <si>
    <t>https://github.com/kengz/SLM-Lab</t>
  </si>
  <si>
    <t>Wah Loon Keng, 
Laura Graesser</t>
  </si>
  <si>
    <t>https://github.com/google/dopamine</t>
  </si>
  <si>
    <t>https://github.com/openai/spinningup</t>
  </si>
  <si>
    <t>https://github.com/deepmind/trfl</t>
  </si>
  <si>
    <t>DeepMind</t>
  </si>
  <si>
    <t>https://github.com/deepmind/scalable_agent</t>
  </si>
  <si>
    <t>https://github.com/facebookresearch/ELF</t>
  </si>
  <si>
    <t>https://github.com/keras-rl/keras-rl</t>
  </si>
  <si>
    <t>Matthias Plappert</t>
  </si>
  <si>
    <t>https://github.com/ikostrikov/pytorch-a2c-ppo-acktr-gail</t>
  </si>
  <si>
    <t>Ilya Kostrikov</t>
  </si>
  <si>
    <t>https://github.com/Kaixhin/Rainbow</t>
  </si>
  <si>
    <t>Kai Arulkumaran</t>
  </si>
  <si>
    <t>https://github.com/MillionIntegrals/vel</t>
  </si>
  <si>
    <t>Jerry (?)</t>
  </si>
  <si>
    <t>https://github.com/Khrylx/PyTorch-RL</t>
  </si>
  <si>
    <t>https://github.com/tensorforce/tensorforce</t>
  </si>
  <si>
    <t>https://github.com/higgsfield/RL-Adventure</t>
  </si>
  <si>
    <t>https://github.com/qfettes/DeepRL-Tutorials</t>
  </si>
  <si>
    <t>https://github.com/SurrealAI/surreal</t>
  </si>
  <si>
    <t>TorchX</t>
  </si>
  <si>
    <t>https://github.com/zuoxingdong/lagom</t>
  </si>
  <si>
    <t>https://github.com/dennybritz/reinforcement-learning</t>
  </si>
  <si>
    <t>https://github.com/Scitator/rl-course-experiments</t>
  </si>
  <si>
    <t>https://github.com/oxwhirl/pymarl</t>
  </si>
  <si>
    <t>WhiRL</t>
  </si>
  <si>
    <t>MARL</t>
  </si>
  <si>
    <t>Disclaimer
This list is created and maintained
by Sergey Kolesnikov, inspired originally by
a similar list from Dmitry Nikulin.</t>
  </si>
  <si>
    <t>https://medium.com/@vermashresth/a-primer-on-deep-reinforcement-learning-frameworks-part-1-6c9ab6a0f555</t>
  </si>
  <si>
    <t>https://www.quora.com/What-are-some-of-the-good-Reinforcement-Learning-libraries</t>
  </si>
  <si>
    <t>URL</t>
  </si>
  <si>
    <t>Name</t>
  </si>
  <si>
    <t>Pushed at</t>
  </si>
  <si>
    <t>Stars</t>
  </si>
  <si>
    <t>https://github.com/openai/gym</t>
  </si>
  <si>
    <t>Gym</t>
  </si>
  <si>
    <t>https://github.com/deepmind/lab</t>
  </si>
  <si>
    <t>Lab</t>
  </si>
  <si>
    <t>https://github.com/Microsoft/malmo</t>
  </si>
  <si>
    <t>Project Malmo</t>
  </si>
  <si>
    <t>Microsoft</t>
  </si>
  <si>
    <t>https://github.com/openai/retro</t>
  </si>
  <si>
    <t>Retro</t>
  </si>
  <si>
    <t>https://github.com/deepmind/dm_control</t>
  </si>
  <si>
    <t>Control Suite</t>
  </si>
  <si>
    <t>https://github.com/openai/neural-mmo</t>
  </si>
  <si>
    <t>Neural MMO</t>
  </si>
  <si>
    <t>name</t>
  </si>
  <si>
    <t>owner/login</t>
  </si>
  <si>
    <t>description</t>
  </si>
  <si>
    <t>fork</t>
  </si>
  <si>
    <t>WTF</t>
  </si>
  <si>
    <t>created_at</t>
  </si>
  <si>
    <t>updated_at</t>
  </si>
  <si>
    <t>pushed_at</t>
  </si>
  <si>
    <t>size</t>
  </si>
  <si>
    <t>stargazers_count</t>
  </si>
  <si>
    <t>watchers_count</t>
  </si>
  <si>
    <t>language</t>
  </si>
  <si>
    <t>forks_count</t>
  </si>
  <si>
    <t>archived</t>
  </si>
  <si>
    <t>disabled</t>
  </si>
  <si>
    <t>open_issues_count</t>
  </si>
  <si>
    <t>license/name</t>
  </si>
  <si>
    <t>forks</t>
  </si>
  <si>
    <t>open_issues</t>
  </si>
  <si>
    <t>watchers</t>
  </si>
  <si>
    <t>network_count</t>
  </si>
  <si>
    <t>subscribers_count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</si>
</sst>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0"/>
      <color rgb="FF000000"/>
      <name val="Arial"/>
      <charset val="134"/>
    </font>
    <font>
      <sz val="10"/>
      <name val="Arial"/>
      <charset val="134"/>
    </font>
    <font>
      <u/>
      <sz val="10"/>
      <color rgb="FF0000FF"/>
      <name val="Arial"/>
      <charset val="134"/>
    </font>
    <font>
      <b/>
      <sz val="10"/>
      <name val="Arial"/>
      <charset val="134"/>
    </font>
    <font>
      <sz val="10"/>
      <color rgb="FF24292E"/>
      <name val="-apple-system"/>
      <charset val="134"/>
    </font>
    <font>
      <u/>
      <sz val="11"/>
      <color rgb="FF008000"/>
      <name val="Arial"/>
      <charset val="134"/>
    </font>
    <font>
      <u/>
      <sz val="11"/>
      <color rgb="FF008000"/>
      <name val="Inconsolata"/>
      <charset val="134"/>
    </font>
    <font>
      <b/>
      <sz val="6"/>
      <name val="Arial"/>
      <charset val="134"/>
    </font>
    <font>
      <b/>
      <sz val="8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25" borderId="1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35" borderId="16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6" fillId="31" borderId="15" applyNumberFormat="0" applyAlignment="0" applyProtection="0">
      <alignment vertical="center"/>
    </xf>
    <xf numFmtId="0" fontId="27" fillId="31" borderId="13" applyNumberFormat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4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/>
    <xf numFmtId="0" fontId="4" fillId="3" borderId="0" xfId="0" applyFont="1" applyFill="1" applyAlignment="1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3" fillId="2" borderId="0" xfId="0" applyFont="1" applyFill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3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6" fillId="3" borderId="0" xfId="0" applyFont="1" applyFill="1" applyAlignme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1" fillId="0" borderId="4" xfId="0" applyFont="1" applyBorder="1"/>
    <xf numFmtId="0" fontId="7" fillId="2" borderId="0" xfId="0" applyFont="1" applyFill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4" borderId="4" xfId="0" applyFont="1" applyFill="1" applyBorder="1" applyAlignment="1"/>
    <xf numFmtId="0" fontId="1" fillId="4" borderId="0" xfId="0" applyFont="1" applyFill="1" applyAlignment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kengz/SLM-Lab" TargetMode="External"/><Relationship Id="rId8" Type="http://schemas.openxmlformats.org/officeDocument/2006/relationships/hyperlink" Target="https://github.com/rlworkgroup/garage" TargetMode="External"/><Relationship Id="rId7" Type="http://schemas.openxmlformats.org/officeDocument/2006/relationships/hyperlink" Target="https://github.com/NervanaSystems/coach" TargetMode="External"/><Relationship Id="rId6" Type="http://schemas.openxmlformats.org/officeDocument/2006/relationships/hyperlink" Target="https://github.com/facebookresearch/Horizon" TargetMode="External"/><Relationship Id="rId5" Type="http://schemas.openxmlformats.org/officeDocument/2006/relationships/hyperlink" Target="https://github.com/tensorflow/agents" TargetMode="External"/><Relationship Id="rId4" Type="http://schemas.openxmlformats.org/officeDocument/2006/relationships/hyperlink" Target="https://github.com/ray-project/ray/tree/master/python/ray/rllib" TargetMode="External"/><Relationship Id="rId3" Type="http://schemas.openxmlformats.org/officeDocument/2006/relationships/hyperlink" Target="https://github.com/catalyst-team/catalyst" TargetMode="External"/><Relationship Id="rId29" Type="http://schemas.openxmlformats.org/officeDocument/2006/relationships/hyperlink" Target="https://www.quora.com/What-are-some-of-the-good-Reinforcement-Learning-libraries" TargetMode="External"/><Relationship Id="rId28" Type="http://schemas.openxmlformats.org/officeDocument/2006/relationships/hyperlink" Target="https://medium.com/@vermashresth/a-primer-on-deep-reinforcement-learning-frameworks-part-1-6c9ab6a0f555" TargetMode="External"/><Relationship Id="rId27" Type="http://schemas.openxmlformats.org/officeDocument/2006/relationships/hyperlink" Target="https://github.com/oxwhirl/pymarl" TargetMode="External"/><Relationship Id="rId26" Type="http://schemas.openxmlformats.org/officeDocument/2006/relationships/hyperlink" Target="https://github.com/Scitator/rl-course-experiments" TargetMode="External"/><Relationship Id="rId25" Type="http://schemas.openxmlformats.org/officeDocument/2006/relationships/hyperlink" Target="https://github.com/dennybritz/reinforcement-learning" TargetMode="External"/><Relationship Id="rId24" Type="http://schemas.openxmlformats.org/officeDocument/2006/relationships/hyperlink" Target="https://github.com/zuoxingdong/lagom" TargetMode="External"/><Relationship Id="rId23" Type="http://schemas.openxmlformats.org/officeDocument/2006/relationships/hyperlink" Target="https://github.com/SurrealAI/surreal" TargetMode="External"/><Relationship Id="rId22" Type="http://schemas.openxmlformats.org/officeDocument/2006/relationships/hyperlink" Target="https://github.com/qfettes/DeepRL-Tutorials" TargetMode="External"/><Relationship Id="rId21" Type="http://schemas.openxmlformats.org/officeDocument/2006/relationships/hyperlink" Target="https://github.com/higgsfield/RL-Adventure" TargetMode="External"/><Relationship Id="rId20" Type="http://schemas.openxmlformats.org/officeDocument/2006/relationships/hyperlink" Target="https://github.com/tensorforce/tensorforce" TargetMode="External"/><Relationship Id="rId2" Type="http://schemas.openxmlformats.org/officeDocument/2006/relationships/hyperlink" Target="https://github.com/hill-a/stable-baselines" TargetMode="External"/><Relationship Id="rId19" Type="http://schemas.openxmlformats.org/officeDocument/2006/relationships/hyperlink" Target="https://github.com/Khrylx/PyTorch-RL" TargetMode="External"/><Relationship Id="rId18" Type="http://schemas.openxmlformats.org/officeDocument/2006/relationships/hyperlink" Target="https://github.com/MillionIntegrals/vel" TargetMode="External"/><Relationship Id="rId17" Type="http://schemas.openxmlformats.org/officeDocument/2006/relationships/hyperlink" Target="https://github.com/Kaixhin/Rainbow" TargetMode="External"/><Relationship Id="rId16" Type="http://schemas.openxmlformats.org/officeDocument/2006/relationships/hyperlink" Target="https://github.com/ikostrikov/pytorch-a2c-ppo-acktr-gail" TargetMode="External"/><Relationship Id="rId15" Type="http://schemas.openxmlformats.org/officeDocument/2006/relationships/hyperlink" Target="https://github.com/keras-rl/keras-rl" TargetMode="External"/><Relationship Id="rId14" Type="http://schemas.openxmlformats.org/officeDocument/2006/relationships/hyperlink" Target="https://github.com/facebookresearch/ELF" TargetMode="External"/><Relationship Id="rId13" Type="http://schemas.openxmlformats.org/officeDocument/2006/relationships/hyperlink" Target="https://github.com/deepmind/scalable_agent" TargetMode="External"/><Relationship Id="rId12" Type="http://schemas.openxmlformats.org/officeDocument/2006/relationships/hyperlink" Target="https://github.com/deepmind/trfl" TargetMode="External"/><Relationship Id="rId11" Type="http://schemas.openxmlformats.org/officeDocument/2006/relationships/hyperlink" Target="https://github.com/openai/spinningup" TargetMode="External"/><Relationship Id="rId10" Type="http://schemas.openxmlformats.org/officeDocument/2006/relationships/hyperlink" Target="https://github.com/google/dopamine" TargetMode="External"/><Relationship Id="rId1" Type="http://schemas.openxmlformats.org/officeDocument/2006/relationships/hyperlink" Target="https://github.com/openai/baselines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s://github.com/openai/neural-mmo" TargetMode="External"/><Relationship Id="rId5" Type="http://schemas.openxmlformats.org/officeDocument/2006/relationships/hyperlink" Target="https://github.com/deepmind/dm_control" TargetMode="External"/><Relationship Id="rId4" Type="http://schemas.openxmlformats.org/officeDocument/2006/relationships/hyperlink" Target="https://github.com/openai/retro" TargetMode="External"/><Relationship Id="rId3" Type="http://schemas.openxmlformats.org/officeDocument/2006/relationships/hyperlink" Target="https://github.com/Microsoft/malmo" TargetMode="External"/><Relationship Id="rId2" Type="http://schemas.openxmlformats.org/officeDocument/2006/relationships/hyperlink" Target="https://github.com/deepmind/lab" TargetMode="External"/><Relationship Id="rId1" Type="http://schemas.openxmlformats.org/officeDocument/2006/relationships/hyperlink" Target="https://github.com/openai/gy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api.github.com/repos/openai/spinningup/languages" TargetMode="External"/><Relationship Id="rId8" Type="http://schemas.openxmlformats.org/officeDocument/2006/relationships/hyperlink" Target="https://api.github.com/repos/openai/spinningup/forks" TargetMode="External"/><Relationship Id="rId78" Type="http://schemas.openxmlformats.org/officeDocument/2006/relationships/hyperlink" Target="https://api.github.com/repos/openai/neural-mmo/languages" TargetMode="External"/><Relationship Id="rId77" Type="http://schemas.openxmlformats.org/officeDocument/2006/relationships/hyperlink" Target="https://api.github.com/repos/openai/neural-mmo/forks" TargetMode="External"/><Relationship Id="rId76" Type="http://schemas.openxmlformats.org/officeDocument/2006/relationships/hyperlink" Target="https://github.com/openai/neural-mmo" TargetMode="External"/><Relationship Id="rId75" Type="http://schemas.openxmlformats.org/officeDocument/2006/relationships/hyperlink" Target="https://api.github.com/repos/deepmind/dm_control/languages" TargetMode="External"/><Relationship Id="rId74" Type="http://schemas.openxmlformats.org/officeDocument/2006/relationships/hyperlink" Target="https://api.github.com/repos/deepmind/dm_control/forks" TargetMode="External"/><Relationship Id="rId73" Type="http://schemas.openxmlformats.org/officeDocument/2006/relationships/hyperlink" Target="https://github.com/deepmind/dm_control" TargetMode="External"/><Relationship Id="rId72" Type="http://schemas.openxmlformats.org/officeDocument/2006/relationships/hyperlink" Target="https://api.github.com/repos/openai/retro/languages" TargetMode="External"/><Relationship Id="rId71" Type="http://schemas.openxmlformats.org/officeDocument/2006/relationships/hyperlink" Target="https://api.github.com/repos/openai/retro/forks" TargetMode="External"/><Relationship Id="rId70" Type="http://schemas.openxmlformats.org/officeDocument/2006/relationships/hyperlink" Target="https://github.com/openai/retro" TargetMode="External"/><Relationship Id="rId7" Type="http://schemas.openxmlformats.org/officeDocument/2006/relationships/hyperlink" Target="https://github.com/openai/spinningup" TargetMode="External"/><Relationship Id="rId69" Type="http://schemas.openxmlformats.org/officeDocument/2006/relationships/hyperlink" Target="https://api.github.com/repos/microsoft/malmo/languages" TargetMode="External"/><Relationship Id="rId68" Type="http://schemas.openxmlformats.org/officeDocument/2006/relationships/hyperlink" Target="https://api.github.com/repos/microsoft/malmo/forks" TargetMode="External"/><Relationship Id="rId67" Type="http://schemas.openxmlformats.org/officeDocument/2006/relationships/hyperlink" Target="https://github.com/Microsoft/malmo" TargetMode="External"/><Relationship Id="rId66" Type="http://schemas.openxmlformats.org/officeDocument/2006/relationships/hyperlink" Target="https://api.github.com/repos/deepmind/lab/languages" TargetMode="External"/><Relationship Id="rId65" Type="http://schemas.openxmlformats.org/officeDocument/2006/relationships/hyperlink" Target="https://api.github.com/repos/deepmind/lab/forks" TargetMode="External"/><Relationship Id="rId64" Type="http://schemas.openxmlformats.org/officeDocument/2006/relationships/hyperlink" Target="https://github.com/deepmind/lab" TargetMode="External"/><Relationship Id="rId63" Type="http://schemas.openxmlformats.org/officeDocument/2006/relationships/hyperlink" Target="https://api.github.com/repos/openai/gym/languages" TargetMode="External"/><Relationship Id="rId62" Type="http://schemas.openxmlformats.org/officeDocument/2006/relationships/hyperlink" Target="https://api.github.com/repos/openai/gym/forks" TargetMode="External"/><Relationship Id="rId61" Type="http://schemas.openxmlformats.org/officeDocument/2006/relationships/hyperlink" Target="https://github.com/openai/gym" TargetMode="External"/><Relationship Id="rId60" Type="http://schemas.openxmlformats.org/officeDocument/2006/relationships/hyperlink" Target="https://api.github.com/repos/qfettes/DeepRL-Tutorials/languages" TargetMode="External"/><Relationship Id="rId6" Type="http://schemas.openxmlformats.org/officeDocument/2006/relationships/hyperlink" Target="https://api.github.com/repos/hill-a/stable-baselines/languages" TargetMode="External"/><Relationship Id="rId59" Type="http://schemas.openxmlformats.org/officeDocument/2006/relationships/hyperlink" Target="https://api.github.com/repos/qfettes/DeepRL-Tutorials/forks" TargetMode="External"/><Relationship Id="rId58" Type="http://schemas.openxmlformats.org/officeDocument/2006/relationships/hyperlink" Target="https://github.com/qfettes/DeepRL-Tutorials" TargetMode="External"/><Relationship Id="rId57" Type="http://schemas.openxmlformats.org/officeDocument/2006/relationships/hyperlink" Target="https://api.github.com/repos/higgsfield/RL-Adventure/languages" TargetMode="External"/><Relationship Id="rId56" Type="http://schemas.openxmlformats.org/officeDocument/2006/relationships/hyperlink" Target="https://api.github.com/repos/higgsfield/RL-Adventure/forks" TargetMode="External"/><Relationship Id="rId55" Type="http://schemas.openxmlformats.org/officeDocument/2006/relationships/hyperlink" Target="https://github.com/higgsfield/RL-Adventure" TargetMode="External"/><Relationship Id="rId54" Type="http://schemas.openxmlformats.org/officeDocument/2006/relationships/hyperlink" Target="https://api.github.com/repos/catalyst-team/catalyst/languages" TargetMode="External"/><Relationship Id="rId53" Type="http://schemas.openxmlformats.org/officeDocument/2006/relationships/hyperlink" Target="https://api.github.com/repos/catalyst-team/catalyst/forks" TargetMode="External"/><Relationship Id="rId52" Type="http://schemas.openxmlformats.org/officeDocument/2006/relationships/hyperlink" Target="https://github.com/catalyst-team/catalyst" TargetMode="External"/><Relationship Id="rId51" Type="http://schemas.openxmlformats.org/officeDocument/2006/relationships/hyperlink" Target="https://api.github.com/repos/rlworkgroup/garage/languages" TargetMode="External"/><Relationship Id="rId50" Type="http://schemas.openxmlformats.org/officeDocument/2006/relationships/hyperlink" Target="https://api.github.com/repos/rlworkgroup/garage/forks" TargetMode="External"/><Relationship Id="rId5" Type="http://schemas.openxmlformats.org/officeDocument/2006/relationships/hyperlink" Target="https://api.github.com/repos/hill-a/stable-baselines/forks" TargetMode="External"/><Relationship Id="rId49" Type="http://schemas.openxmlformats.org/officeDocument/2006/relationships/hyperlink" Target="https://github.com/rlworkgroup/garage" TargetMode="External"/><Relationship Id="rId48" Type="http://schemas.openxmlformats.org/officeDocument/2006/relationships/hyperlink" Target="https://api.github.com/repos/kengz/SLM-Lab/languages" TargetMode="External"/><Relationship Id="rId47" Type="http://schemas.openxmlformats.org/officeDocument/2006/relationships/hyperlink" Target="https://api.github.com/repos/kengz/SLM-Lab/forks" TargetMode="External"/><Relationship Id="rId46" Type="http://schemas.openxmlformats.org/officeDocument/2006/relationships/hyperlink" Target="https://github.com/kengz/SLM-Lab" TargetMode="External"/><Relationship Id="rId45" Type="http://schemas.openxmlformats.org/officeDocument/2006/relationships/hyperlink" Target="https://api.github.com/repos/tensorforce/tensorforce/languages" TargetMode="External"/><Relationship Id="rId44" Type="http://schemas.openxmlformats.org/officeDocument/2006/relationships/hyperlink" Target="https://api.github.com/repos/tensorforce/tensorforce/forks" TargetMode="External"/><Relationship Id="rId43" Type="http://schemas.openxmlformats.org/officeDocument/2006/relationships/hyperlink" Target="https://github.com/tensorforce/tensorforce" TargetMode="External"/><Relationship Id="rId42" Type="http://schemas.openxmlformats.org/officeDocument/2006/relationships/hyperlink" Target="https://api.github.com/repos/MillionIntegrals/vel/languages" TargetMode="External"/><Relationship Id="rId41" Type="http://schemas.openxmlformats.org/officeDocument/2006/relationships/hyperlink" Target="https://api.github.com/repos/MillionIntegrals/vel/forks" TargetMode="External"/><Relationship Id="rId40" Type="http://schemas.openxmlformats.org/officeDocument/2006/relationships/hyperlink" Target="https://github.com/MillionIntegrals/vel" TargetMode="External"/><Relationship Id="rId4" Type="http://schemas.openxmlformats.org/officeDocument/2006/relationships/hyperlink" Target="https://github.com/hill-a/stable-baselines" TargetMode="External"/><Relationship Id="rId39" Type="http://schemas.openxmlformats.org/officeDocument/2006/relationships/hyperlink" Target="https://api.github.com/repos/Kaixhin/Rainbow/languages" TargetMode="External"/><Relationship Id="rId38" Type="http://schemas.openxmlformats.org/officeDocument/2006/relationships/hyperlink" Target="https://api.github.com/repos/Kaixhin/Rainbow/forks" TargetMode="External"/><Relationship Id="rId37" Type="http://schemas.openxmlformats.org/officeDocument/2006/relationships/hyperlink" Target="https://github.com/Kaixhin/Rainbow" TargetMode="External"/><Relationship Id="rId36" Type="http://schemas.openxmlformats.org/officeDocument/2006/relationships/hyperlink" Target="https://api.github.com/repos/ikostrikov/pytorch-a2c-ppo-acktr-gail/languages" TargetMode="External"/><Relationship Id="rId35" Type="http://schemas.openxmlformats.org/officeDocument/2006/relationships/hyperlink" Target="https://api.github.com/repos/ikostrikov/pytorch-a2c-ppo-acktr-gail/forks" TargetMode="External"/><Relationship Id="rId34" Type="http://schemas.openxmlformats.org/officeDocument/2006/relationships/hyperlink" Target="https://github.com/ikostrikov/pytorch-a2c-ppo-acktr-gail" TargetMode="External"/><Relationship Id="rId33" Type="http://schemas.openxmlformats.org/officeDocument/2006/relationships/hyperlink" Target="https://api.github.com/repos/keras-rl/keras-rl/languages" TargetMode="External"/><Relationship Id="rId32" Type="http://schemas.openxmlformats.org/officeDocument/2006/relationships/hyperlink" Target="https://api.github.com/repos/keras-rl/keras-rl/forks" TargetMode="External"/><Relationship Id="rId31" Type="http://schemas.openxmlformats.org/officeDocument/2006/relationships/hyperlink" Target="https://github.com/keras-rl/keras-rl" TargetMode="External"/><Relationship Id="rId30" Type="http://schemas.openxmlformats.org/officeDocument/2006/relationships/hyperlink" Target="https://api.github.com/repos/ray-project/ray/languages" TargetMode="External"/><Relationship Id="rId3" Type="http://schemas.openxmlformats.org/officeDocument/2006/relationships/hyperlink" Target="https://api.github.com/repos/openai/baselines/languages" TargetMode="External"/><Relationship Id="rId29" Type="http://schemas.openxmlformats.org/officeDocument/2006/relationships/hyperlink" Target="https://api.github.com/repos/ray-project/ray/forks" TargetMode="External"/><Relationship Id="rId28" Type="http://schemas.openxmlformats.org/officeDocument/2006/relationships/hyperlink" Target="https://github.com/ray-project/ray/tree/master/python/ray/rllib" TargetMode="External"/><Relationship Id="rId27" Type="http://schemas.openxmlformats.org/officeDocument/2006/relationships/hyperlink" Target="https://api.github.com/repos/NervanaSystems/coach/languages" TargetMode="External"/><Relationship Id="rId26" Type="http://schemas.openxmlformats.org/officeDocument/2006/relationships/hyperlink" Target="https://api.github.com/repos/NervanaSystems/coach/forks" TargetMode="External"/><Relationship Id="rId25" Type="http://schemas.openxmlformats.org/officeDocument/2006/relationships/hyperlink" Target="https://github.com/NervanaSystems/coach" TargetMode="External"/><Relationship Id="rId24" Type="http://schemas.openxmlformats.org/officeDocument/2006/relationships/hyperlink" Target="https://api.github.com/repos/facebookresearch/ELF/languages" TargetMode="External"/><Relationship Id="rId23" Type="http://schemas.openxmlformats.org/officeDocument/2006/relationships/hyperlink" Target="https://api.github.com/repos/facebookresearch/ELF/forks" TargetMode="External"/><Relationship Id="rId22" Type="http://schemas.openxmlformats.org/officeDocument/2006/relationships/hyperlink" Target="https://github.com/facebookresearch/ELF" TargetMode="External"/><Relationship Id="rId21" Type="http://schemas.openxmlformats.org/officeDocument/2006/relationships/hyperlink" Target="https://api.github.com/repos/facebookresearch/Horizon/languages" TargetMode="External"/><Relationship Id="rId20" Type="http://schemas.openxmlformats.org/officeDocument/2006/relationships/hyperlink" Target="https://api.github.com/repos/facebookresearch/Horizon/forks" TargetMode="External"/><Relationship Id="rId2" Type="http://schemas.openxmlformats.org/officeDocument/2006/relationships/hyperlink" Target="https://api.github.com/repos/openai/baselines/forks" TargetMode="External"/><Relationship Id="rId19" Type="http://schemas.openxmlformats.org/officeDocument/2006/relationships/hyperlink" Target="https://github.com/facebookresearch/Horizon" TargetMode="External"/><Relationship Id="rId18" Type="http://schemas.openxmlformats.org/officeDocument/2006/relationships/hyperlink" Target="https://api.github.com/repos/deepmind/trfl/languages" TargetMode="External"/><Relationship Id="rId17" Type="http://schemas.openxmlformats.org/officeDocument/2006/relationships/hyperlink" Target="https://api.github.com/repos/deepmind/trfl/forks" TargetMode="External"/><Relationship Id="rId16" Type="http://schemas.openxmlformats.org/officeDocument/2006/relationships/hyperlink" Target="https://github.com/deepmind/trfl" TargetMode="External"/><Relationship Id="rId15" Type="http://schemas.openxmlformats.org/officeDocument/2006/relationships/hyperlink" Target="https://api.github.com/repos/tensorflow/agents/languages" TargetMode="External"/><Relationship Id="rId14" Type="http://schemas.openxmlformats.org/officeDocument/2006/relationships/hyperlink" Target="https://api.github.com/repos/tensorflow/agents/forks" TargetMode="External"/><Relationship Id="rId13" Type="http://schemas.openxmlformats.org/officeDocument/2006/relationships/hyperlink" Target="https://github.com/tensorflow/agents" TargetMode="External"/><Relationship Id="rId12" Type="http://schemas.openxmlformats.org/officeDocument/2006/relationships/hyperlink" Target="https://api.github.com/repos/google/dopamine/languages" TargetMode="External"/><Relationship Id="rId11" Type="http://schemas.openxmlformats.org/officeDocument/2006/relationships/hyperlink" Target="https://api.github.com/repos/google/dopamine/forks" TargetMode="External"/><Relationship Id="rId10" Type="http://schemas.openxmlformats.org/officeDocument/2006/relationships/hyperlink" Target="https://github.com/google/dopamine" TargetMode="External"/><Relationship Id="rId1" Type="http://schemas.openxmlformats.org/officeDocument/2006/relationships/hyperlink" Target="https://github.com/openai/base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06"/>
  <sheetViews>
    <sheetView tabSelected="1" workbookViewId="0">
      <selection activeCell="A1" sqref="A1:D1"/>
    </sheetView>
  </sheetViews>
  <sheetFormatPr defaultColWidth="14.4336283185841" defaultRowHeight="15.75" customHeight="1"/>
  <cols>
    <col min="1" max="1" width="17" customWidth="1"/>
    <col min="2" max="2" width="9.70796460176991" hidden="1" customWidth="1"/>
    <col min="3" max="3" width="16.5663716814159" customWidth="1"/>
    <col min="4" max="4" width="11" customWidth="1"/>
    <col min="5" max="5" width="10" customWidth="1"/>
    <col min="6" max="6" width="11" customWidth="1"/>
    <col min="7" max="7" width="5.29203539823009" customWidth="1"/>
    <col min="8" max="8" width="8.85840707964602" customWidth="1"/>
    <col min="9" max="9" width="7.70796460176991" customWidth="1"/>
    <col min="10" max="10" width="4.85840707964602" customWidth="1"/>
    <col min="11" max="12" width="6.56637168141593" customWidth="1"/>
    <col min="13" max="14" width="5" customWidth="1"/>
    <col min="15" max="15" width="7.70796460176991" customWidth="1"/>
    <col min="16" max="16" width="4.85840707964602" customWidth="1"/>
    <col min="17" max="17" width="5" customWidth="1"/>
    <col min="18" max="18" width="6.29203539823009" customWidth="1"/>
    <col min="19" max="19" width="5.56637168141593" customWidth="1"/>
    <col min="20" max="20" width="18.4336283185841" customWidth="1"/>
    <col min="21" max="21" width="8.85840707964602" customWidth="1"/>
    <col min="22" max="23" width="18.2920353982301" customWidth="1"/>
    <col min="24" max="24" width="10.4336283185841" customWidth="1"/>
    <col min="25" max="25" width="2" customWidth="1"/>
    <col min="26" max="26" width="19.858407079646" customWidth="1"/>
    <col min="27" max="27" width="14" customWidth="1"/>
    <col min="28" max="28" width="23" customWidth="1"/>
    <col min="29" max="29" width="17.5663716814159" customWidth="1"/>
  </cols>
  <sheetData>
    <row r="1" ht="13.1" spans="1:26">
      <c r="A1" s="6"/>
      <c r="E1" s="7" t="s">
        <v>0</v>
      </c>
      <c r="F1" s="8"/>
      <c r="G1" s="7" t="s">
        <v>1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8"/>
      <c r="T1" s="7" t="s">
        <v>2</v>
      </c>
      <c r="U1" s="9"/>
      <c r="V1" s="9"/>
      <c r="W1" s="9"/>
      <c r="X1" s="9"/>
      <c r="Y1" s="35"/>
      <c r="Z1" s="16"/>
    </row>
    <row r="2" ht="13.15" spans="1:26">
      <c r="A2" s="6" t="s">
        <v>3</v>
      </c>
      <c r="B2" s="6" t="s">
        <v>4</v>
      </c>
      <c r="C2" s="10" t="s">
        <v>5</v>
      </c>
      <c r="D2" s="6" t="s">
        <v>6</v>
      </c>
      <c r="E2" s="11" t="s">
        <v>7</v>
      </c>
      <c r="F2" s="12" t="s">
        <v>8</v>
      </c>
      <c r="G2" s="11" t="s">
        <v>9</v>
      </c>
      <c r="H2" s="6" t="s">
        <v>10</v>
      </c>
      <c r="I2" s="28" t="s">
        <v>11</v>
      </c>
      <c r="J2" s="6" t="s">
        <v>12</v>
      </c>
      <c r="K2" s="12" t="s">
        <v>13</v>
      </c>
      <c r="L2" s="11" t="s">
        <v>14</v>
      </c>
      <c r="M2" s="6" t="s">
        <v>15</v>
      </c>
      <c r="N2" s="6" t="s">
        <v>16</v>
      </c>
      <c r="O2" s="28" t="s">
        <v>11</v>
      </c>
      <c r="P2" s="6" t="s">
        <v>12</v>
      </c>
      <c r="Q2" s="12" t="s">
        <v>13</v>
      </c>
      <c r="R2" s="6" t="s">
        <v>17</v>
      </c>
      <c r="S2" s="12" t="s">
        <v>18</v>
      </c>
      <c r="T2" s="29" t="s">
        <v>19</v>
      </c>
      <c r="U2" s="30" t="s">
        <v>20</v>
      </c>
      <c r="V2" s="30" t="s">
        <v>21</v>
      </c>
      <c r="W2" s="30" t="s">
        <v>22</v>
      </c>
      <c r="X2" s="30" t="s">
        <v>23</v>
      </c>
      <c r="Y2" s="36" t="s">
        <v>24</v>
      </c>
      <c r="Z2" s="16"/>
    </row>
    <row r="3" ht="13.5" spans="1:29">
      <c r="A3" s="13" t="str">
        <f>HYPERLINK("https://github.com/openai/baselines","OpenAI baselines")</f>
        <v>OpenAI baselines</v>
      </c>
      <c r="B3" s="14" t="s">
        <v>25</v>
      </c>
      <c r="C3" s="15" t="s">
        <v>26</v>
      </c>
      <c r="D3" s="16" t="s">
        <v>27</v>
      </c>
      <c r="E3" s="17" t="s">
        <v>28</v>
      </c>
      <c r="F3" s="18" t="s">
        <v>29</v>
      </c>
      <c r="G3" s="17" t="s">
        <v>28</v>
      </c>
      <c r="H3" s="1" t="s">
        <v>29</v>
      </c>
      <c r="I3" s="1" t="s">
        <v>29</v>
      </c>
      <c r="J3" s="1" t="s">
        <v>28</v>
      </c>
      <c r="K3" s="18" t="s">
        <v>28</v>
      </c>
      <c r="L3" s="17" t="s">
        <v>28</v>
      </c>
      <c r="M3" s="1" t="s">
        <v>29</v>
      </c>
      <c r="N3" s="1" t="s">
        <v>29</v>
      </c>
      <c r="O3" s="1" t="s">
        <v>29</v>
      </c>
      <c r="P3" s="1" t="s">
        <v>28</v>
      </c>
      <c r="Q3" s="18" t="s">
        <v>28</v>
      </c>
      <c r="R3" s="1"/>
      <c r="S3" s="18"/>
      <c r="T3" s="17" t="s">
        <v>29</v>
      </c>
      <c r="U3" s="1" t="s">
        <v>28</v>
      </c>
      <c r="V3" s="1" t="s">
        <v>29</v>
      </c>
      <c r="W3" s="1" t="s">
        <v>29</v>
      </c>
      <c r="X3" s="1" t="s">
        <v>29</v>
      </c>
      <c r="Y3" s="21"/>
      <c r="Z3" s="16" t="str">
        <f>IFERROR(__xludf.DUMMYFUNCTION("image(concat(replace(REGEXEXTRACT($B3, ""^https://github\.com/[^/]+/[^/]+""), 1, 18, ""https://img.shields.io/github/last-commit""), "".svg""), 4, 20, 140)"),"")</f>
        <v/>
      </c>
      <c r="AA3" t="str">
        <f>IFERROR(__xludf.DUMMYFUNCTION("image(concat(replace(REGEXEXTRACT($B3, ""^https://github\.com/[^/]+/[^/]+""), 1, 18, ""https://img.shields.io/github/stars""), "".svg?style=social""))"),"")</f>
        <v/>
      </c>
      <c r="AB3" t="str">
        <f>IFERROR(__xludf.DUMMYFUNCTION("image(concat(replace(REGEXEXTRACT($B3, ""^https://github\.com/[^/]+/[^/]+""), 1, 18, ""https://img.shields.io/github/commit-activity/m""), "".svg?style=flat-square""))"),"")</f>
        <v/>
      </c>
      <c r="AC3" t="str">
        <f>IFERROR(__xludf.DUMMYFUNCTION("image(concat(replace(REGEXEXTRACT($B3, ""^https://github\.com/[^/]+/[^/]+""), 1, 18, ""https://img.shields.io/github/languages/code-size""), "".svg""))"),"")</f>
        <v/>
      </c>
    </row>
    <row r="4" ht="25.5" spans="1:29">
      <c r="A4" s="13" t="str">
        <f>HYPERLINK("https://github.com/hill-a/stable-baselines","stable baselines")</f>
        <v>stable baselines</v>
      </c>
      <c r="B4" s="14" t="s">
        <v>30</v>
      </c>
      <c r="C4" s="15" t="s">
        <v>31</v>
      </c>
      <c r="D4" s="16" t="s">
        <v>27</v>
      </c>
      <c r="E4" s="17" t="s">
        <v>28</v>
      </c>
      <c r="F4" s="18" t="s">
        <v>29</v>
      </c>
      <c r="G4" s="17" t="s">
        <v>28</v>
      </c>
      <c r="H4" s="1" t="s">
        <v>29</v>
      </c>
      <c r="I4" s="1" t="s">
        <v>29</v>
      </c>
      <c r="J4" s="1" t="s">
        <v>28</v>
      </c>
      <c r="K4" s="18" t="s">
        <v>28</v>
      </c>
      <c r="L4" s="17" t="s">
        <v>28</v>
      </c>
      <c r="M4" s="1" t="s">
        <v>28</v>
      </c>
      <c r="N4" s="1" t="s">
        <v>29</v>
      </c>
      <c r="O4" s="1" t="s">
        <v>29</v>
      </c>
      <c r="P4" s="1" t="s">
        <v>28</v>
      </c>
      <c r="Q4" s="18" t="s">
        <v>28</v>
      </c>
      <c r="R4" s="1"/>
      <c r="S4" s="18" t="s">
        <v>28</v>
      </c>
      <c r="T4" s="17" t="s">
        <v>29</v>
      </c>
      <c r="U4" s="1" t="s">
        <v>28</v>
      </c>
      <c r="V4" s="1" t="s">
        <v>29</v>
      </c>
      <c r="W4" s="1" t="s">
        <v>29</v>
      </c>
      <c r="X4" s="1" t="s">
        <v>29</v>
      </c>
      <c r="Y4" s="21"/>
      <c r="Z4" s="16" t="str">
        <f>IFERROR(__xludf.DUMMYFUNCTION("image(concat(replace(REGEXEXTRACT($B4, ""^https://github\.com/[^/]+/[^/]+""), 1, 18, ""https://img.shields.io/github/last-commit""), "".svg""), 4, 20, 140)"),"")</f>
        <v/>
      </c>
      <c r="AA4" t="str">
        <f>IFERROR(__xludf.DUMMYFUNCTION("image(concat(replace(REGEXEXTRACT($B4, ""^https://github\.com/[^/]+/[^/]+""), 1, 18, ""https://img.shields.io/github/stars""), "".svg?style=social""))"),"")</f>
        <v/>
      </c>
      <c r="AB4" t="str">
        <f>IFERROR(__xludf.DUMMYFUNCTION("image(concat(replace(REGEXEXTRACT($B4, ""^https://github\.com/[^/]+/[^/]+""), 1, 18, ""https://img.shields.io/github/commit-activity/m""), "".svg?style=flat-square""))"),"")</f>
        <v/>
      </c>
      <c r="AC4" t="str">
        <f>IFERROR(__xludf.DUMMYFUNCTION("image(concat(replace(REGEXEXTRACT($B4, ""^https://github\.com/[^/]+/[^/]+""), 1, 18, ""https://img.shields.io/github/languages/code-size""), "".svg""))"),"")</f>
        <v/>
      </c>
    </row>
    <row r="5" ht="13.5" spans="1:31">
      <c r="A5" s="13" t="str">
        <f>HYPERLINK("https://github.com/catalyst-team/catalyst","Catalyst")</f>
        <v>Catalyst</v>
      </c>
      <c r="B5" s="19" t="s">
        <v>32</v>
      </c>
      <c r="C5" s="15" t="s">
        <v>33</v>
      </c>
      <c r="D5" s="16" t="s">
        <v>34</v>
      </c>
      <c r="E5" s="17" t="s">
        <v>35</v>
      </c>
      <c r="F5" s="18" t="s">
        <v>28</v>
      </c>
      <c r="G5" s="17" t="s">
        <v>28</v>
      </c>
      <c r="H5" s="1" t="s">
        <v>36</v>
      </c>
      <c r="I5" s="1" t="s">
        <v>28</v>
      </c>
      <c r="J5" s="1" t="s">
        <v>29</v>
      </c>
      <c r="K5" s="18" t="s">
        <v>28</v>
      </c>
      <c r="L5" s="17" t="s">
        <v>28</v>
      </c>
      <c r="M5" s="1" t="s">
        <v>28</v>
      </c>
      <c r="N5" s="1" t="s">
        <v>28</v>
      </c>
      <c r="O5" s="1" t="s">
        <v>28</v>
      </c>
      <c r="P5" s="1" t="s">
        <v>29</v>
      </c>
      <c r="Q5" s="18" t="s">
        <v>28</v>
      </c>
      <c r="R5" s="1"/>
      <c r="S5" s="18"/>
      <c r="T5" s="31" t="s">
        <v>37</v>
      </c>
      <c r="U5" s="1" t="s">
        <v>29</v>
      </c>
      <c r="V5" s="32" t="s">
        <v>37</v>
      </c>
      <c r="W5" s="32" t="s">
        <v>37</v>
      </c>
      <c r="X5" s="1" t="s">
        <v>28</v>
      </c>
      <c r="Y5" s="21"/>
      <c r="Z5" s="16" t="str">
        <f>IFERROR(__xludf.DUMMYFUNCTION("image(concat(replace(REGEXEXTRACT($B5, ""^https://github\.com/[^/]+/[^/]+""), 1, 18, ""https://img.shields.io/github/last-commit""), "".svg""), 4, 20, 140)"),"")</f>
        <v/>
      </c>
      <c r="AA5" t="str">
        <f>IFERROR(__xludf.DUMMYFUNCTION("image(concat(replace(REGEXEXTRACT($B5, ""^https://github\.com/[^/]+/[^/]+""), 1, 18, ""https://img.shields.io/github/stars""), "".svg?style=social""))"),"")</f>
        <v/>
      </c>
      <c r="AB5" t="str">
        <f>IFERROR(__xludf.DUMMYFUNCTION("image(concat(replace(REGEXEXTRACT($B5, ""^https://github\.com/[^/]+/[^/]+""), 1, 18, ""https://img.shields.io/github/commit-activity/m""), "".svg?style=flat-square""))"),"")</f>
        <v/>
      </c>
      <c r="AC5" t="str">
        <f>IFERROR(__xludf.DUMMYFUNCTION("image(concat(replace(REGEXEXTRACT($B5, ""^https://github\.com/[^/]+/[^/]+""), 1, 18, ""https://img.shields.io/github/languages/code-size""), "".svg""))"),"")</f>
        <v/>
      </c>
      <c r="AE5" s="37"/>
    </row>
    <row r="6" ht="13.5" spans="1:29">
      <c r="A6" s="13" t="str">
        <f>HYPERLINK("https://github.com/ray-project/ray/tree/master/python/ray/rllib","Ray.rllib")</f>
        <v>Ray.rllib</v>
      </c>
      <c r="B6" s="19" t="s">
        <v>38</v>
      </c>
      <c r="C6" s="15" t="s">
        <v>39</v>
      </c>
      <c r="D6" s="16" t="s">
        <v>27</v>
      </c>
      <c r="E6" s="17" t="s">
        <v>35</v>
      </c>
      <c r="F6" s="18" t="s">
        <v>28</v>
      </c>
      <c r="G6" s="17" t="s">
        <v>28</v>
      </c>
      <c r="H6" s="1" t="s">
        <v>28</v>
      </c>
      <c r="I6" s="1" t="s">
        <v>28</v>
      </c>
      <c r="J6" s="1" t="s">
        <v>28</v>
      </c>
      <c r="K6" s="18" t="s">
        <v>28</v>
      </c>
      <c r="L6" s="17" t="s">
        <v>28</v>
      </c>
      <c r="M6" s="1" t="s">
        <v>29</v>
      </c>
      <c r="N6" s="1" t="s">
        <v>28</v>
      </c>
      <c r="O6" s="1" t="s">
        <v>28</v>
      </c>
      <c r="P6" s="1" t="s">
        <v>28</v>
      </c>
      <c r="Q6" s="18" t="s">
        <v>28</v>
      </c>
      <c r="R6" s="1"/>
      <c r="S6" s="18"/>
      <c r="T6" s="17" t="s">
        <v>40</v>
      </c>
      <c r="U6" s="1" t="s">
        <v>28</v>
      </c>
      <c r="V6" s="1" t="s">
        <v>41</v>
      </c>
      <c r="W6" s="1" t="s">
        <v>29</v>
      </c>
      <c r="X6" s="1" t="s">
        <v>24</v>
      </c>
      <c r="Y6" s="21"/>
      <c r="Z6" s="16" t="str">
        <f>IFERROR(__xludf.DUMMYFUNCTION("image(concat(replace(REGEXEXTRACT($B6, ""^https://github\.com/[^/]+/[^/]+""), 1, 18, ""https://img.shields.io/github/last-commit""), "".svg""), 4, 20, 140)"),"")</f>
        <v/>
      </c>
      <c r="AA6" t="str">
        <f>IFERROR(__xludf.DUMMYFUNCTION("image(concat(replace(REGEXEXTRACT($B6, ""^https://github\.com/[^/]+/[^/]+""), 1, 18, ""https://img.shields.io/github/stars""), "".svg?style=social""))"),"")</f>
        <v/>
      </c>
      <c r="AB6" t="str">
        <f>IFERROR(__xludf.DUMMYFUNCTION("image(concat(replace(REGEXEXTRACT($B6, ""^https://github\.com/[^/]+/[^/]+""), 1, 18, ""https://img.shields.io/github/commit-activity/m""), "".svg?style=flat-square""))"),"")</f>
        <v/>
      </c>
      <c r="AC6" t="str">
        <f>IFERROR(__xludf.DUMMYFUNCTION("image(concat(replace(REGEXEXTRACT($B6, ""^https://github\.com/[^/]+/[^/]+""), 1, 18, ""https://img.shields.io/github/languages/code-size""), "".svg""))"),"")</f>
        <v/>
      </c>
    </row>
    <row r="7" ht="13.5" spans="1:29">
      <c r="A7" s="13" t="str">
        <f>HYPERLINK("https://github.com/tensorflow/agents","TF agents")</f>
        <v>TF agents</v>
      </c>
      <c r="B7" s="19" t="s">
        <v>42</v>
      </c>
      <c r="C7" s="15" t="s">
        <v>43</v>
      </c>
      <c r="D7" s="16" t="s">
        <v>27</v>
      </c>
      <c r="E7" s="17" t="s">
        <v>29</v>
      </c>
      <c r="F7" s="18" t="s">
        <v>29</v>
      </c>
      <c r="G7" s="17" t="s">
        <v>28</v>
      </c>
      <c r="H7" s="1" t="s">
        <v>29</v>
      </c>
      <c r="I7" s="1" t="s">
        <v>29</v>
      </c>
      <c r="J7" s="1" t="s">
        <v>29</v>
      </c>
      <c r="K7" s="18" t="s">
        <v>28</v>
      </c>
      <c r="L7" s="17" t="s">
        <v>28</v>
      </c>
      <c r="M7" s="1" t="s">
        <v>28</v>
      </c>
      <c r="N7" s="1" t="s">
        <v>28</v>
      </c>
      <c r="O7" s="1" t="s">
        <v>29</v>
      </c>
      <c r="P7" s="1" t="s">
        <v>29</v>
      </c>
      <c r="Q7" s="18" t="s">
        <v>28</v>
      </c>
      <c r="R7" s="1"/>
      <c r="S7" s="18"/>
      <c r="T7" s="17" t="s">
        <v>29</v>
      </c>
      <c r="U7" s="1" t="s">
        <v>29</v>
      </c>
      <c r="V7" s="1" t="s">
        <v>29</v>
      </c>
      <c r="W7" s="1" t="s">
        <v>29</v>
      </c>
      <c r="X7" s="1" t="s">
        <v>29</v>
      </c>
      <c r="Y7" s="21"/>
      <c r="Z7" s="16" t="str">
        <f>IFERROR(__xludf.DUMMYFUNCTION("image(concat(replace(REGEXEXTRACT($B7, ""^https://github\.com/[^/]+/[^/]+""), 1, 18, ""https://img.shields.io/github/last-commit""), "".svg""), 4, 20, 140)"),"")</f>
        <v/>
      </c>
      <c r="AA7" t="str">
        <f>IFERROR(__xludf.DUMMYFUNCTION("image(concat(replace(REGEXEXTRACT($B7, ""^https://github\.com/[^/]+/[^/]+""), 1, 18, ""https://img.shields.io/github/stars""), "".svg?style=social""))"),"")</f>
        <v/>
      </c>
      <c r="AB7" t="str">
        <f>IFERROR(__xludf.DUMMYFUNCTION("image(concat(replace(REGEXEXTRACT($B7, ""^https://github\.com/[^/]+/[^/]+""), 1, 18, ""https://img.shields.io/github/commit-activity/m""), "".svg?style=flat-square""))"),"")</f>
        <v/>
      </c>
      <c r="AC7" t="str">
        <f>IFERROR(__xludf.DUMMYFUNCTION("image(concat(replace(REGEXEXTRACT($B7, ""^https://github\.com/[^/]+/[^/]+""), 1, 18, ""https://img.shields.io/github/languages/code-size""), "".svg""))"),"")</f>
        <v/>
      </c>
    </row>
    <row r="8" ht="13.5" spans="1:29">
      <c r="A8" s="13" t="str">
        <f>HYPERLINK("https://github.com/facebookresearch/Horizon","Horizon")</f>
        <v>Horizon</v>
      </c>
      <c r="B8" s="14" t="s">
        <v>44</v>
      </c>
      <c r="C8" s="15" t="s">
        <v>45</v>
      </c>
      <c r="D8" s="16" t="s">
        <v>34</v>
      </c>
      <c r="E8" s="17" t="s">
        <v>29</v>
      </c>
      <c r="F8" s="18" t="s">
        <v>29</v>
      </c>
      <c r="G8" s="17" t="s">
        <v>28</v>
      </c>
      <c r="H8" s="1" t="s">
        <v>29</v>
      </c>
      <c r="I8" s="1" t="s">
        <v>29</v>
      </c>
      <c r="J8" s="1" t="s">
        <v>29</v>
      </c>
      <c r="K8" s="18" t="s">
        <v>29</v>
      </c>
      <c r="L8" s="17" t="s">
        <v>28</v>
      </c>
      <c r="M8" s="1" t="s">
        <v>28</v>
      </c>
      <c r="N8" s="1" t="s">
        <v>29</v>
      </c>
      <c r="O8" s="1" t="s">
        <v>29</v>
      </c>
      <c r="P8" s="1" t="s">
        <v>29</v>
      </c>
      <c r="Q8" s="18" t="s">
        <v>29</v>
      </c>
      <c r="R8" s="1"/>
      <c r="S8" s="18"/>
      <c r="T8" s="17" t="s">
        <v>29</v>
      </c>
      <c r="U8" s="1" t="s">
        <v>29</v>
      </c>
      <c r="V8" s="1" t="s">
        <v>29</v>
      </c>
      <c r="W8" s="1" t="s">
        <v>29</v>
      </c>
      <c r="X8" s="1" t="s">
        <v>29</v>
      </c>
      <c r="Y8" s="21"/>
      <c r="Z8" s="16" t="str">
        <f>IFERROR(__xludf.DUMMYFUNCTION("image(concat(replace(REGEXEXTRACT($B8, ""^https://github\.com/[^/]+/[^/]+""), 1, 18, ""https://img.shields.io/github/last-commit""), "".svg""), 4, 20, 140)"),"")</f>
        <v/>
      </c>
      <c r="AA8" t="str">
        <f>IFERROR(__xludf.DUMMYFUNCTION("image(concat(replace(REGEXEXTRACT($B8, ""^https://github\.com/[^/]+/[^/]+""), 1, 18, ""https://img.shields.io/github/stars""), "".svg?style=social""))"),"")</f>
        <v/>
      </c>
      <c r="AB8" t="str">
        <f>IFERROR(__xludf.DUMMYFUNCTION("image(concat(replace(REGEXEXTRACT($B8, ""^https://github\.com/[^/]+/[^/]+""), 1, 18, ""https://img.shields.io/github/commit-activity/m""), "".svg?style=flat-square""))"),"")</f>
        <v/>
      </c>
      <c r="AC8" t="str">
        <f>IFERROR(__xludf.DUMMYFUNCTION("image(concat(replace(REGEXEXTRACT($B8, ""^https://github\.com/[^/]+/[^/]+""), 1, 18, ""https://img.shields.io/github/languages/code-size""), "".svg""))"),"")</f>
        <v/>
      </c>
    </row>
    <row r="9" ht="13.5" spans="1:29">
      <c r="A9" s="13" t="str">
        <f>HYPERLINK("https://github.com/NervanaSystems/coach","Coach")</f>
        <v>Coach</v>
      </c>
      <c r="B9" s="19" t="s">
        <v>46</v>
      </c>
      <c r="C9" s="15" t="s">
        <v>47</v>
      </c>
      <c r="D9" s="16" t="s">
        <v>27</v>
      </c>
      <c r="E9" s="17" t="s">
        <v>35</v>
      </c>
      <c r="F9" s="18" t="s">
        <v>35</v>
      </c>
      <c r="G9" s="17" t="s">
        <v>28</v>
      </c>
      <c r="H9" s="1" t="s">
        <v>28</v>
      </c>
      <c r="I9" s="1" t="s">
        <v>29</v>
      </c>
      <c r="J9" s="1" t="s">
        <v>29</v>
      </c>
      <c r="K9" s="18" t="s">
        <v>28</v>
      </c>
      <c r="L9" s="17" t="s">
        <v>28</v>
      </c>
      <c r="M9" s="1" t="s">
        <v>28</v>
      </c>
      <c r="N9" s="1" t="s">
        <v>28</v>
      </c>
      <c r="O9" s="1" t="s">
        <v>29</v>
      </c>
      <c r="P9" s="1" t="s">
        <v>29</v>
      </c>
      <c r="Q9" s="18" t="s">
        <v>28</v>
      </c>
      <c r="R9" s="1"/>
      <c r="S9" s="18"/>
      <c r="T9" s="17" t="s">
        <v>41</v>
      </c>
      <c r="U9" s="1" t="s">
        <v>28</v>
      </c>
      <c r="V9" s="1" t="s">
        <v>41</v>
      </c>
      <c r="W9" s="1" t="s">
        <v>29</v>
      </c>
      <c r="X9" s="1" t="s">
        <v>29</v>
      </c>
      <c r="Y9" s="21"/>
      <c r="Z9" s="16" t="str">
        <f>IFERROR(__xludf.DUMMYFUNCTION("image(concat(replace(REGEXEXTRACT($B9, ""^https://github\.com/[^/]+/[^/]+""), 1, 18, ""https://img.shields.io/github/last-commit""), "".svg""), 4, 20, 140)"),"")</f>
        <v/>
      </c>
      <c r="AA9" t="str">
        <f>IFERROR(__xludf.DUMMYFUNCTION("image(concat(replace(REGEXEXTRACT($B9, ""^https://github\.com/[^/]+/[^/]+""), 1, 18, ""https://img.shields.io/github/stars""), "".svg?style=social""))"),"")</f>
        <v/>
      </c>
      <c r="AB9" t="str">
        <f>IFERROR(__xludf.DUMMYFUNCTION("image(concat(replace(REGEXEXTRACT($B9, ""^https://github\.com/[^/]+/[^/]+""), 1, 18, ""https://img.shields.io/github/commit-activity/m""), "".svg?style=flat-square""))"),"")</f>
        <v/>
      </c>
      <c r="AC9" t="str">
        <f>IFERROR(__xludf.DUMMYFUNCTION("image(concat(replace(REGEXEXTRACT($B9, ""^https://github\.com/[^/]+/[^/]+""), 1, 18, ""https://img.shields.io/github/languages/code-size""), "".svg""))"),"")</f>
        <v/>
      </c>
    </row>
    <row r="10" ht="13.5" spans="1:29">
      <c r="A10" s="13" t="str">
        <f>HYPERLINK("https://github.com/rlworkgroup/garage","Garage")</f>
        <v>Garage</v>
      </c>
      <c r="B10" s="19" t="s">
        <v>48</v>
      </c>
      <c r="C10" s="15" t="s">
        <v>49</v>
      </c>
      <c r="D10" s="16" t="s">
        <v>27</v>
      </c>
      <c r="E10" s="17" t="s">
        <v>28</v>
      </c>
      <c r="F10" s="18" t="s">
        <v>29</v>
      </c>
      <c r="G10" s="17" t="s">
        <v>28</v>
      </c>
      <c r="H10" s="1" t="s">
        <v>29</v>
      </c>
      <c r="I10" s="1" t="s">
        <v>29</v>
      </c>
      <c r="J10" s="1" t="s">
        <v>29</v>
      </c>
      <c r="K10" s="18" t="s">
        <v>28</v>
      </c>
      <c r="L10" s="17" t="s">
        <v>28</v>
      </c>
      <c r="M10" s="1" t="s">
        <v>29</v>
      </c>
      <c r="N10" s="1" t="s">
        <v>29</v>
      </c>
      <c r="O10" s="1" t="s">
        <v>29</v>
      </c>
      <c r="P10" s="1" t="s">
        <v>29</v>
      </c>
      <c r="Q10" s="18" t="s">
        <v>28</v>
      </c>
      <c r="R10" s="1"/>
      <c r="S10" s="18"/>
      <c r="T10" s="17" t="s">
        <v>29</v>
      </c>
      <c r="U10" s="1" t="s">
        <v>29</v>
      </c>
      <c r="V10" s="1" t="s">
        <v>29</v>
      </c>
      <c r="W10" s="1" t="s">
        <v>29</v>
      </c>
      <c r="X10" s="1" t="s">
        <v>29</v>
      </c>
      <c r="Y10" s="21"/>
      <c r="Z10" s="16" t="str">
        <f>IFERROR(__xludf.DUMMYFUNCTION("image(concat(replace(REGEXEXTRACT($B10, ""^https://github\.com/[^/]+/[^/]+""), 1, 18, ""https://img.shields.io/github/last-commit""), "".svg""), 4, 20, 140)"),"")</f>
        <v/>
      </c>
      <c r="AA10" t="str">
        <f>IFERROR(__xludf.DUMMYFUNCTION("image(concat(replace(REGEXEXTRACT($B10, ""^https://github\.com/[^/]+/[^/]+""), 1, 18, ""https://img.shields.io/github/stars""), "".svg?style=social""))"),"")</f>
        <v/>
      </c>
      <c r="AB10" t="str">
        <f>IFERROR(__xludf.DUMMYFUNCTION("image(concat(replace(REGEXEXTRACT($B10, ""^https://github\.com/[^/]+/[^/]+""), 1, 18, ""https://img.shields.io/github/commit-activity/m""), "".svg?style=flat-square""))"),"")</f>
        <v/>
      </c>
      <c r="AC10" t="str">
        <f>IFERROR(__xludf.DUMMYFUNCTION("image(concat(replace(REGEXEXTRACT($B10, ""^https://github\.com/[^/]+/[^/]+""), 1, 18, ""https://img.shields.io/github/languages/code-size""), "".svg""))"),"")</f>
        <v/>
      </c>
    </row>
    <row r="11" ht="25.5" spans="1:29">
      <c r="A11" s="13" t="str">
        <f>HYPERLINK("https://github.com/kengz/SLM-Lab","SLM-Lab")</f>
        <v>SLM-Lab</v>
      </c>
      <c r="B11" s="19" t="s">
        <v>50</v>
      </c>
      <c r="C11" s="15" t="s">
        <v>51</v>
      </c>
      <c r="D11" s="16" t="s">
        <v>34</v>
      </c>
      <c r="E11" s="17" t="s">
        <v>29</v>
      </c>
      <c r="F11" s="18" t="s">
        <v>29</v>
      </c>
      <c r="G11" s="17" t="s">
        <v>28</v>
      </c>
      <c r="H11" s="1" t="s">
        <v>29</v>
      </c>
      <c r="I11" s="1" t="s">
        <v>28</v>
      </c>
      <c r="J11" s="1" t="s">
        <v>28</v>
      </c>
      <c r="K11" s="18" t="s">
        <v>28</v>
      </c>
      <c r="L11" s="17" t="s">
        <v>29</v>
      </c>
      <c r="M11" s="1" t="s">
        <v>29</v>
      </c>
      <c r="N11" s="1" t="s">
        <v>29</v>
      </c>
      <c r="O11" s="1" t="s">
        <v>28</v>
      </c>
      <c r="P11" s="1" t="s">
        <v>28</v>
      </c>
      <c r="Q11" s="18" t="s">
        <v>29</v>
      </c>
      <c r="R11" s="1"/>
      <c r="S11" s="18"/>
      <c r="T11" s="17" t="s">
        <v>29</v>
      </c>
      <c r="U11" s="1" t="s">
        <v>28</v>
      </c>
      <c r="V11" s="1" t="s">
        <v>29</v>
      </c>
      <c r="W11" s="1" t="s">
        <v>29</v>
      </c>
      <c r="X11" s="1" t="s">
        <v>29</v>
      </c>
      <c r="Y11" s="21"/>
      <c r="Z11" s="16" t="str">
        <f>IFERROR(__xludf.DUMMYFUNCTION("image(concat(replace(REGEXEXTRACT($B11, ""^https://github\.com/[^/]+/[^/]+""), 1, 18, ""https://img.shields.io/github/last-commit""), "".svg""), 4, 20, 140)"),"")</f>
        <v/>
      </c>
      <c r="AA11" t="str">
        <f>IFERROR(__xludf.DUMMYFUNCTION("image(concat(replace(REGEXEXTRACT($B11, ""^https://github\.com/[^/]+/[^/]+""), 1, 18, ""https://img.shields.io/github/stars""), "".svg?style=social""))"),"")</f>
        <v/>
      </c>
      <c r="AB11" t="str">
        <f>IFERROR(__xludf.DUMMYFUNCTION("image(concat(replace(REGEXEXTRACT($B11, ""^https://github\.com/[^/]+/[^/]+""), 1, 18, ""https://img.shields.io/github/commit-activity/m""), "".svg?style=flat-square""))"),"")</f>
        <v/>
      </c>
      <c r="AC11" t="str">
        <f>IFERROR(__xludf.DUMMYFUNCTION("image(concat(replace(REGEXEXTRACT($B11, ""^https://github\.com/[^/]+/[^/]+""), 1, 18, ""https://img.shields.io/github/languages/code-size""), "".svg""))"),"")</f>
        <v/>
      </c>
    </row>
    <row r="12" ht="13.5" spans="1:29">
      <c r="A12" s="13" t="str">
        <f>HYPERLINK("https://github.com/google/dopamine","Dopamine")</f>
        <v>Dopamine</v>
      </c>
      <c r="B12" s="19" t="s">
        <v>52</v>
      </c>
      <c r="C12" s="15" t="s">
        <v>43</v>
      </c>
      <c r="D12" s="16" t="s">
        <v>27</v>
      </c>
      <c r="E12" s="17" t="s">
        <v>29</v>
      </c>
      <c r="F12" s="18" t="s">
        <v>29</v>
      </c>
      <c r="G12" s="17" t="s">
        <v>28</v>
      </c>
      <c r="H12" s="1" t="s">
        <v>28</v>
      </c>
      <c r="I12" s="1" t="s">
        <v>29</v>
      </c>
      <c r="J12" s="1" t="s">
        <v>29</v>
      </c>
      <c r="K12" s="18" t="s">
        <v>29</v>
      </c>
      <c r="L12" s="17" t="s">
        <v>29</v>
      </c>
      <c r="M12" s="1" t="s">
        <v>29</v>
      </c>
      <c r="N12" s="1" t="s">
        <v>29</v>
      </c>
      <c r="O12" s="1" t="s">
        <v>29</v>
      </c>
      <c r="P12" s="1" t="s">
        <v>29</v>
      </c>
      <c r="Q12" s="18" t="s">
        <v>29</v>
      </c>
      <c r="R12" s="1"/>
      <c r="S12" s="18"/>
      <c r="T12" s="1" t="s">
        <v>28</v>
      </c>
      <c r="U12" s="1" t="s">
        <v>28</v>
      </c>
      <c r="V12" s="1" t="s">
        <v>28</v>
      </c>
      <c r="W12" s="1" t="s">
        <v>29</v>
      </c>
      <c r="X12" s="1" t="s">
        <v>29</v>
      </c>
      <c r="Y12" s="21"/>
      <c r="Z12" s="16" t="str">
        <f>IFERROR(__xludf.DUMMYFUNCTION("image(concat(replace(REGEXEXTRACT($B12, ""^https://github\.com/[^/]+/[^/]+""), 1, 18, ""https://img.shields.io/github/last-commit""), "".svg""), 4, 20, 140)"),"")</f>
        <v/>
      </c>
      <c r="AA12" t="str">
        <f>IFERROR(__xludf.DUMMYFUNCTION("image(concat(replace(REGEXEXTRACT($B12, ""^https://github\.com/[^/]+/[^/]+""), 1, 18, ""https://img.shields.io/github/stars""), "".svg?style=social""))"),"")</f>
        <v/>
      </c>
      <c r="AB12" t="str">
        <f>IFERROR(__xludf.DUMMYFUNCTION("image(concat(replace(REGEXEXTRACT($B12, ""^https://github\.com/[^/]+/[^/]+""), 1, 18, ""https://img.shields.io/github/commit-activity/m""), "".svg?style=flat-square""))"),"")</f>
        <v/>
      </c>
      <c r="AC12" t="str">
        <f>IFERROR(__xludf.DUMMYFUNCTION("image(concat(replace(REGEXEXTRACT($B12, ""^https://github\.com/[^/]+/[^/]+""), 1, 18, ""https://img.shields.io/github/languages/code-size""), "".svg""))"),"")</f>
        <v/>
      </c>
    </row>
    <row r="13" ht="13.5" spans="1:29">
      <c r="A13" s="13" t="str">
        <f>HYPERLINK("https://github.com/openai/spinningup","OpenAi spinningup")</f>
        <v>OpenAi spinningup</v>
      </c>
      <c r="B13" s="19" t="s">
        <v>53</v>
      </c>
      <c r="C13" s="15" t="s">
        <v>26</v>
      </c>
      <c r="D13" s="16" t="s">
        <v>27</v>
      </c>
      <c r="E13" s="17" t="s">
        <v>29</v>
      </c>
      <c r="F13" s="18" t="s">
        <v>29</v>
      </c>
      <c r="G13" s="17" t="s">
        <v>28</v>
      </c>
      <c r="H13" s="1" t="s">
        <v>29</v>
      </c>
      <c r="I13" s="1" t="s">
        <v>29</v>
      </c>
      <c r="J13" s="1" t="s">
        <v>29</v>
      </c>
      <c r="K13" s="18" t="s">
        <v>28</v>
      </c>
      <c r="L13" s="17" t="s">
        <v>28</v>
      </c>
      <c r="M13" s="1" t="s">
        <v>28</v>
      </c>
      <c r="N13" s="1" t="s">
        <v>28</v>
      </c>
      <c r="O13" s="1" t="s">
        <v>29</v>
      </c>
      <c r="P13" s="1" t="s">
        <v>29</v>
      </c>
      <c r="Q13" s="18" t="s">
        <v>28</v>
      </c>
      <c r="R13" s="1"/>
      <c r="S13" s="18"/>
      <c r="T13" s="17" t="s">
        <v>29</v>
      </c>
      <c r="U13" s="17" t="s">
        <v>29</v>
      </c>
      <c r="V13" s="17" t="s">
        <v>29</v>
      </c>
      <c r="W13" s="17" t="s">
        <v>29</v>
      </c>
      <c r="X13" s="17" t="s">
        <v>29</v>
      </c>
      <c r="Y13" s="21"/>
      <c r="Z13" s="16" t="str">
        <f>IFERROR(__xludf.DUMMYFUNCTION("image(concat(replace(REGEXEXTRACT($B13, ""^https://github\.com/[^/]+/[^/]+""), 1, 18, ""https://img.shields.io/github/last-commit""), "".svg""), 4, 20, 140)"),"")</f>
        <v/>
      </c>
      <c r="AA13" t="str">
        <f>IFERROR(__xludf.DUMMYFUNCTION("image(concat(replace(REGEXEXTRACT($B13, ""^https://github\.com/[^/]+/[^/]+""), 1, 18, ""https://img.shields.io/github/stars""), "".svg?style=social""))"),"")</f>
        <v/>
      </c>
      <c r="AB13" t="str">
        <f>IFERROR(__xludf.DUMMYFUNCTION("image(concat(replace(REGEXEXTRACT($B13, ""^https://github\.com/[^/]+/[^/]+""), 1, 18, ""https://img.shields.io/github/commit-activity/m""), "".svg?style=flat-square""))"),"")</f>
        <v/>
      </c>
      <c r="AC13" t="str">
        <f>IFERROR(__xludf.DUMMYFUNCTION("image(concat(replace(REGEXEXTRACT($B13, ""^https://github\.com/[^/]+/[^/]+""), 1, 18, ""https://img.shields.io/github/languages/code-size""), "".svg""))"),"")</f>
        <v/>
      </c>
    </row>
    <row r="14" ht="13.5" spans="1:29">
      <c r="A14" s="13" t="str">
        <f>HYPERLINK("https://github.com/deepmind/trfl","trfl")</f>
        <v>trfl</v>
      </c>
      <c r="B14" s="19" t="s">
        <v>54</v>
      </c>
      <c r="C14" s="15" t="s">
        <v>55</v>
      </c>
      <c r="D14" s="16" t="s">
        <v>27</v>
      </c>
      <c r="E14" s="17" t="s">
        <v>29</v>
      </c>
      <c r="F14" s="18" t="s">
        <v>29</v>
      </c>
      <c r="G14" s="17"/>
      <c r="I14" s="1"/>
      <c r="J14" s="1"/>
      <c r="K14" s="18"/>
      <c r="L14" s="17"/>
      <c r="N14" s="1"/>
      <c r="O14" s="1"/>
      <c r="P14" s="1"/>
      <c r="Q14" s="18"/>
      <c r="R14" s="1"/>
      <c r="S14" s="18"/>
      <c r="T14" s="27"/>
      <c r="Y14" s="21"/>
      <c r="Z14" s="16" t="str">
        <f>IFERROR(__xludf.DUMMYFUNCTION("image(concat(replace(REGEXEXTRACT($B14, ""^https://github\.com/[^/]+/[^/]+""), 1, 18, ""https://img.shields.io/github/last-commit""), "".svg""), 4, 20, 140)"),"")</f>
        <v/>
      </c>
      <c r="AA14" t="str">
        <f>IFERROR(__xludf.DUMMYFUNCTION("image(concat(replace(REGEXEXTRACT($B14, ""^https://github\.com/[^/]+/[^/]+""), 1, 18, ""https://img.shields.io/github/stars""), "".svg?style=social""))"),"")</f>
        <v/>
      </c>
      <c r="AB14" t="str">
        <f>IFERROR(__xludf.DUMMYFUNCTION("image(concat(replace(REGEXEXTRACT($B14, ""^https://github\.com/[^/]+/[^/]+""), 1, 18, ""https://img.shields.io/github/commit-activity/m""), "".svg?style=flat-square""))"),"")</f>
        <v/>
      </c>
      <c r="AC14" t="str">
        <f>IFERROR(__xludf.DUMMYFUNCTION("image(concat(replace(REGEXEXTRACT($B14, ""^https://github\.com/[^/]+/[^/]+""), 1, 18, ""https://img.shields.io/github/languages/code-size""), "".svg""))"),"")</f>
        <v/>
      </c>
    </row>
    <row r="15" ht="13.5" spans="1:29">
      <c r="A15" s="13" t="str">
        <f>HYPERLINK("https://github.com/deepmind/scalable_agent","scalable_agent")</f>
        <v>scalable_agent</v>
      </c>
      <c r="B15" s="19" t="s">
        <v>56</v>
      </c>
      <c r="C15" s="15" t="s">
        <v>55</v>
      </c>
      <c r="D15" s="16" t="s">
        <v>27</v>
      </c>
      <c r="E15" s="17"/>
      <c r="F15" s="18" t="s">
        <v>28</v>
      </c>
      <c r="G15" s="17"/>
      <c r="I15" s="1"/>
      <c r="J15" s="1"/>
      <c r="K15" s="18"/>
      <c r="L15" s="17"/>
      <c r="N15" s="1"/>
      <c r="O15" s="1"/>
      <c r="P15" s="1"/>
      <c r="Q15" s="18"/>
      <c r="R15" s="1"/>
      <c r="S15" s="18"/>
      <c r="T15" s="27"/>
      <c r="Y15" s="21"/>
      <c r="Z15" s="16" t="str">
        <f>IFERROR(__xludf.DUMMYFUNCTION("image(concat(replace(REGEXEXTRACT($B15, ""^https://github\.com/[^/]+/[^/]+""), 1, 18, ""https://img.shields.io/github/last-commit""), "".svg""), 4, 20, 140)"),"")</f>
        <v/>
      </c>
      <c r="AA15" t="str">
        <f>IFERROR(__xludf.DUMMYFUNCTION("image(concat(replace(REGEXEXTRACT($B15, ""^https://github\.com/[^/]+/[^/]+""), 1, 18, ""https://img.shields.io/github/stars""), "".svg?style=social""))"),"")</f>
        <v/>
      </c>
      <c r="AB15" t="str">
        <f>IFERROR(__xludf.DUMMYFUNCTION("image(concat(replace(REGEXEXTRACT($B15, ""^https://github\.com/[^/]+/[^/]+""), 1, 18, ""https://img.shields.io/github/commit-activity/m""), "".svg?style=flat-square""))"),"")</f>
        <v/>
      </c>
      <c r="AC15" t="str">
        <f>IFERROR(__xludf.DUMMYFUNCTION("image(concat(replace(REGEXEXTRACT($B15, ""^https://github\.com/[^/]+/[^/]+""), 1, 18, ""https://img.shields.io/github/languages/code-size""), "".svg""))"),"")</f>
        <v/>
      </c>
    </row>
    <row r="16" ht="13.5" spans="1:29">
      <c r="A16" s="13" t="str">
        <f>HYPERLINK("https://github.com/facebookresearch/ELF","ELF")</f>
        <v>ELF</v>
      </c>
      <c r="B16" s="19" t="s">
        <v>57</v>
      </c>
      <c r="C16" s="15" t="s">
        <v>45</v>
      </c>
      <c r="D16" s="16" t="s">
        <v>34</v>
      </c>
      <c r="E16" s="17"/>
      <c r="F16" s="18"/>
      <c r="G16" s="17"/>
      <c r="I16" s="1"/>
      <c r="J16" s="1"/>
      <c r="K16" s="18"/>
      <c r="L16" s="17"/>
      <c r="N16" s="1"/>
      <c r="O16" s="1"/>
      <c r="P16" s="1"/>
      <c r="Q16" s="18"/>
      <c r="R16" s="1"/>
      <c r="S16" s="18"/>
      <c r="T16" s="27"/>
      <c r="Y16" s="21"/>
      <c r="Z16" s="16" t="str">
        <f>IFERROR(__xludf.DUMMYFUNCTION("image(concat(replace(REGEXEXTRACT($B16, ""^https://github\.com/[^/]+/[^/]+""), 1, 18, ""https://img.shields.io/github/last-commit""), "".svg""), 4, 20, 140)"),"")</f>
        <v/>
      </c>
      <c r="AA16" t="str">
        <f>IFERROR(__xludf.DUMMYFUNCTION("image(concat(replace(REGEXEXTRACT($B16, ""^https://github\.com/[^/]+/[^/]+""), 1, 18, ""https://img.shields.io/github/stars""), "".svg?style=social""))"),"")</f>
        <v/>
      </c>
      <c r="AB16" t="str">
        <f>IFERROR(__xludf.DUMMYFUNCTION("image(concat(replace(REGEXEXTRACT($B16, ""^https://github\.com/[^/]+/[^/]+""), 1, 18, ""https://img.shields.io/github/commit-activity/m""), "".svg?style=flat-square""))"),"")</f>
        <v/>
      </c>
      <c r="AC16" t="str">
        <f>IFERROR(__xludf.DUMMYFUNCTION("image(concat(replace(REGEXEXTRACT($B16, ""^https://github\.com/[^/]+/[^/]+""), 1, 18, ""https://img.shields.io/github/languages/code-size""), "".svg""))"),"")</f>
        <v/>
      </c>
    </row>
    <row r="17" ht="13.5" spans="1:29">
      <c r="A17" s="13" t="str">
        <f>HYPERLINK("https://github.com/keras-rl/keras-rl","keras-rl")</f>
        <v>keras-rl</v>
      </c>
      <c r="B17" s="19" t="s">
        <v>58</v>
      </c>
      <c r="C17" s="15" t="s">
        <v>59</v>
      </c>
      <c r="D17" s="16" t="s">
        <v>27</v>
      </c>
      <c r="E17" s="17" t="s">
        <v>29</v>
      </c>
      <c r="F17" s="18" t="s">
        <v>29</v>
      </c>
      <c r="G17" s="17" t="s">
        <v>28</v>
      </c>
      <c r="H17" s="1" t="s">
        <v>29</v>
      </c>
      <c r="I17" s="1"/>
      <c r="K17" s="18" t="s">
        <v>29</v>
      </c>
      <c r="L17" s="17" t="s">
        <v>28</v>
      </c>
      <c r="M17" s="1" t="s">
        <v>29</v>
      </c>
      <c r="N17" s="1" t="s">
        <v>29</v>
      </c>
      <c r="O17" s="1"/>
      <c r="Q17" s="18" t="s">
        <v>29</v>
      </c>
      <c r="R17" s="1"/>
      <c r="S17" s="18"/>
      <c r="T17" s="27"/>
      <c r="Y17" s="21"/>
      <c r="Z17" s="16" t="str">
        <f>IFERROR(__xludf.DUMMYFUNCTION("image(concat(replace(REGEXEXTRACT($B17, ""^https://github\.com/[^/]+/[^/]+""), 1, 18, ""https://img.shields.io/github/last-commit""), "".svg""), 4, 20, 140)"),"")</f>
        <v/>
      </c>
      <c r="AA17" t="str">
        <f>IFERROR(__xludf.DUMMYFUNCTION("image(concat(replace(REGEXEXTRACT($B17, ""^https://github\.com/[^/]+/[^/]+""), 1, 18, ""https://img.shields.io/github/stars""), "".svg?style=social""))"),"")</f>
        <v/>
      </c>
      <c r="AB17" t="str">
        <f>IFERROR(__xludf.DUMMYFUNCTION("image(concat(replace(REGEXEXTRACT($B17, ""^https://github\.com/[^/]+/[^/]+""), 1, 18, ""https://img.shields.io/github/commit-activity/m""), "".svg?style=flat-square""))"),"")</f>
        <v/>
      </c>
      <c r="AC17" t="str">
        <f>IFERROR(__xludf.DUMMYFUNCTION("image(concat(replace(REGEXEXTRACT($B17, ""^https://github\.com/[^/]+/[^/]+""), 1, 18, ""https://img.shields.io/github/languages/code-size""), "".svg""))"),"")</f>
        <v/>
      </c>
    </row>
    <row r="18" ht="13.5" spans="1:29">
      <c r="A18" s="13" t="str">
        <f>HYPERLINK("https://github.com/ikostrikov/pytorch-a2c-ppo-acktr-gail","ikostrikov")</f>
        <v>ikostrikov</v>
      </c>
      <c r="B18" s="19" t="s">
        <v>60</v>
      </c>
      <c r="C18" s="15" t="s">
        <v>61</v>
      </c>
      <c r="D18" s="16" t="s">
        <v>34</v>
      </c>
      <c r="E18" s="17" t="s">
        <v>28</v>
      </c>
      <c r="F18" s="18" t="s">
        <v>29</v>
      </c>
      <c r="G18" s="17" t="s">
        <v>29</v>
      </c>
      <c r="H18" s="1" t="s">
        <v>29</v>
      </c>
      <c r="I18" s="1" t="s">
        <v>29</v>
      </c>
      <c r="J18" s="1" t="s">
        <v>28</v>
      </c>
      <c r="K18" s="18" t="s">
        <v>28</v>
      </c>
      <c r="L18" s="17" t="s">
        <v>29</v>
      </c>
      <c r="M18" s="1" t="s">
        <v>29</v>
      </c>
      <c r="N18" s="1" t="s">
        <v>29</v>
      </c>
      <c r="O18" s="1" t="s">
        <v>29</v>
      </c>
      <c r="P18" s="1" t="s">
        <v>28</v>
      </c>
      <c r="Q18" s="18" t="s">
        <v>28</v>
      </c>
      <c r="R18" s="1" t="s">
        <v>29</v>
      </c>
      <c r="S18" s="18" t="s">
        <v>28</v>
      </c>
      <c r="T18" s="17" t="s">
        <v>29</v>
      </c>
      <c r="U18" s="17" t="s">
        <v>29</v>
      </c>
      <c r="V18" s="17" t="s">
        <v>29</v>
      </c>
      <c r="W18" s="17" t="s">
        <v>29</v>
      </c>
      <c r="X18" s="17" t="s">
        <v>29</v>
      </c>
      <c r="Y18" s="21"/>
      <c r="Z18" s="16" t="str">
        <f>IFERROR(__xludf.DUMMYFUNCTION("image(concat(replace(REGEXEXTRACT($B18, ""^https://github\.com/[^/]+/[^/]+""), 1, 18, ""https://img.shields.io/github/last-commit""), "".svg""), 4, 20, 140)"),"")</f>
        <v/>
      </c>
      <c r="AA18" t="str">
        <f>IFERROR(__xludf.DUMMYFUNCTION("image(concat(replace(REGEXEXTRACT($B18, ""^https://github\.com/[^/]+/[^/]+""), 1, 18, ""https://img.shields.io/github/stars""), "".svg?style=social""))"),"")</f>
        <v/>
      </c>
      <c r="AB18" t="str">
        <f>IFERROR(__xludf.DUMMYFUNCTION("image(concat(replace(REGEXEXTRACT($B18, ""^https://github\.com/[^/]+/[^/]+""), 1, 18, ""https://img.shields.io/github/commit-activity/m""), "".svg?style=flat-square""))"),"")</f>
        <v/>
      </c>
      <c r="AC18" t="str">
        <f>IFERROR(__xludf.DUMMYFUNCTION("image(concat(replace(REGEXEXTRACT($B18, ""^https://github\.com/[^/]+/[^/]+""), 1, 18, ""https://img.shields.io/github/languages/code-size""), "".svg""))"),"")</f>
        <v/>
      </c>
    </row>
    <row r="19" ht="13.5" spans="1:29">
      <c r="A19" s="13" t="str">
        <f>HYPERLINK("https://github.com/Kaixhin/Rainbow","Rainbow")</f>
        <v>Rainbow</v>
      </c>
      <c r="B19" s="19" t="s">
        <v>62</v>
      </c>
      <c r="C19" s="15" t="s">
        <v>63</v>
      </c>
      <c r="D19" s="16" t="s">
        <v>34</v>
      </c>
      <c r="E19" s="17" t="s">
        <v>29</v>
      </c>
      <c r="F19" s="18" t="s">
        <v>29</v>
      </c>
      <c r="G19" s="17" t="s">
        <v>28</v>
      </c>
      <c r="H19" s="1" t="s">
        <v>28</v>
      </c>
      <c r="I19" s="1"/>
      <c r="J19" s="1"/>
      <c r="K19" s="18" t="s">
        <v>29</v>
      </c>
      <c r="L19" s="17" t="s">
        <v>29</v>
      </c>
      <c r="M19" s="1" t="s">
        <v>29</v>
      </c>
      <c r="N19" s="1"/>
      <c r="O19" s="1"/>
      <c r="P19" s="1"/>
      <c r="Q19" s="18" t="s">
        <v>29</v>
      </c>
      <c r="R19" s="1"/>
      <c r="S19" s="18"/>
      <c r="T19" s="27"/>
      <c r="Y19" s="21"/>
      <c r="Z19" s="16" t="str">
        <f>IFERROR(__xludf.DUMMYFUNCTION("image(concat(replace(REGEXEXTRACT($B19, ""^https://github\.com/[^/]+/[^/]+""), 1, 18, ""https://img.shields.io/github/last-commit""), "".svg""), 4, 20, 140)"),"")</f>
        <v/>
      </c>
      <c r="AA19" t="str">
        <f>IFERROR(__xludf.DUMMYFUNCTION("image(concat(replace(REGEXEXTRACT($B19, ""^https://github\.com/[^/]+/[^/]+""), 1, 18, ""https://img.shields.io/github/stars""), "".svg?style=social""))"),"")</f>
        <v/>
      </c>
      <c r="AB19" t="str">
        <f>IFERROR(__xludf.DUMMYFUNCTION("image(concat(replace(REGEXEXTRACT($B19, ""^https://github\.com/[^/]+/[^/]+""), 1, 18, ""https://img.shields.io/github/commit-activity/m""), "".svg?style=flat-square""))"),"")</f>
        <v/>
      </c>
      <c r="AC19" t="str">
        <f>IFERROR(__xludf.DUMMYFUNCTION("image(concat(replace(REGEXEXTRACT($B19, ""^https://github\.com/[^/]+/[^/]+""), 1, 18, ""https://img.shields.io/github/languages/code-size""), "".svg""))"),"")</f>
        <v/>
      </c>
    </row>
    <row r="20" ht="13.5" spans="1:29">
      <c r="A20" s="13" t="str">
        <f>HYPERLINK("https://github.com/MillionIntegrals/vel","Vel")</f>
        <v>Vel</v>
      </c>
      <c r="B20" s="19" t="s">
        <v>64</v>
      </c>
      <c r="C20" s="15" t="s">
        <v>65</v>
      </c>
      <c r="D20" s="16" t="s">
        <v>34</v>
      </c>
      <c r="E20" s="17" t="s">
        <v>28</v>
      </c>
      <c r="F20" s="18" t="s">
        <v>29</v>
      </c>
      <c r="G20" s="17" t="s">
        <v>28</v>
      </c>
      <c r="H20" s="1" t="s">
        <v>29</v>
      </c>
      <c r="I20" s="1"/>
      <c r="J20" s="1"/>
      <c r="K20" s="18" t="s">
        <v>28</v>
      </c>
      <c r="L20" s="17" t="s">
        <v>28</v>
      </c>
      <c r="M20" s="1" t="s">
        <v>29</v>
      </c>
      <c r="N20" s="1"/>
      <c r="O20" s="1"/>
      <c r="P20" s="1"/>
      <c r="Q20" s="18" t="s">
        <v>29</v>
      </c>
      <c r="R20" s="1"/>
      <c r="S20" s="18"/>
      <c r="T20" s="27"/>
      <c r="Y20" s="21"/>
      <c r="Z20" s="16" t="str">
        <f>IFERROR(__xludf.DUMMYFUNCTION("image(concat(replace(REGEXEXTRACT($B20, ""^https://github\.com/[^/]+/[^/]+""), 1, 18, ""https://img.shields.io/github/last-commit""), "".svg""), 4, 20, 140)"),"")</f>
        <v/>
      </c>
      <c r="AA20" t="str">
        <f>IFERROR(__xludf.DUMMYFUNCTION("image(concat(replace(REGEXEXTRACT($B20, ""^https://github\.com/[^/]+/[^/]+""), 1, 18, ""https://img.shields.io/github/stars""), "".svg?style=social""))"),"")</f>
        <v/>
      </c>
      <c r="AB20" t="str">
        <f>IFERROR(__xludf.DUMMYFUNCTION("image(concat(replace(REGEXEXTRACT($B20, ""^https://github\.com/[^/]+/[^/]+""), 1, 18, ""https://img.shields.io/github/commit-activity/m""), "".svg?style=flat-square""))"),"")</f>
        <v/>
      </c>
      <c r="AC20" t="str">
        <f>IFERROR(__xludf.DUMMYFUNCTION("image(concat(replace(REGEXEXTRACT($B20, ""^https://github\.com/[^/]+/[^/]+""), 1, 18, ""https://img.shields.io/github/languages/code-size""), "".svg""))"),"")</f>
        <v/>
      </c>
    </row>
    <row r="21" ht="13.5" spans="1:29">
      <c r="A21" s="13" t="str">
        <f>HYPERLINK("https://github.com/Khrylx/PyTorch-RL","PyTorch-RL")</f>
        <v>PyTorch-RL</v>
      </c>
      <c r="B21" s="19" t="s">
        <v>66</v>
      </c>
      <c r="C21" s="15"/>
      <c r="D21" s="16" t="s">
        <v>34</v>
      </c>
      <c r="E21" s="17"/>
      <c r="F21" s="18"/>
      <c r="G21" s="17"/>
      <c r="H21" s="1"/>
      <c r="I21" s="1"/>
      <c r="J21" s="1" t="s">
        <v>28</v>
      </c>
      <c r="K21" s="18" t="s">
        <v>28</v>
      </c>
      <c r="L21" s="17"/>
      <c r="M21" s="1"/>
      <c r="N21" s="1"/>
      <c r="O21" s="1"/>
      <c r="P21" s="1" t="s">
        <v>28</v>
      </c>
      <c r="Q21" s="18" t="s">
        <v>28</v>
      </c>
      <c r="R21" s="18" t="s">
        <v>28</v>
      </c>
      <c r="S21" s="18" t="s">
        <v>28</v>
      </c>
      <c r="T21" s="27"/>
      <c r="Y21" s="21"/>
      <c r="Z21" s="16" t="str">
        <f>IFERROR(__xludf.DUMMYFUNCTION("image(concat(replace(REGEXEXTRACT($B21, ""^https://github\.com/[^/]+/[^/]+""), 1, 18, ""https://img.shields.io/github/last-commit""), "".svg""), 4, 20, 140)"),"")</f>
        <v/>
      </c>
      <c r="AA21" t="str">
        <f>IFERROR(__xludf.DUMMYFUNCTION("image(concat(replace(REGEXEXTRACT($B21, ""^https://github\.com/[^/]+/[^/]+""), 1, 18, ""https://img.shields.io/github/stars""), "".svg?style=social""))"),"")</f>
        <v/>
      </c>
      <c r="AB21" t="str">
        <f>IFERROR(__xludf.DUMMYFUNCTION("image(concat(replace(REGEXEXTRACT($B21, ""^https://github\.com/[^/]+/[^/]+""), 1, 18, ""https://img.shields.io/github/commit-activity/m""), "".svg?style=flat-square""))"),"")</f>
        <v/>
      </c>
      <c r="AC21" t="str">
        <f>IFERROR(__xludf.DUMMYFUNCTION("image(concat(replace(REGEXEXTRACT($B21, ""^https://github\.com/[^/]+/[^/]+""), 1, 18, ""https://img.shields.io/github/languages/code-size""), "".svg""))"),"")</f>
        <v/>
      </c>
    </row>
    <row r="22" ht="13.5" spans="1:29">
      <c r="A22" s="13" t="str">
        <f>HYPERLINK("https://github.com/tensorforce/tensorforce","tensorforce")</f>
        <v>tensorforce</v>
      </c>
      <c r="B22" s="19" t="s">
        <v>67</v>
      </c>
      <c r="C22" s="15"/>
      <c r="D22" s="16" t="s">
        <v>27</v>
      </c>
      <c r="E22" s="17" t="s">
        <v>28</v>
      </c>
      <c r="F22" s="18" t="s">
        <v>28</v>
      </c>
      <c r="G22" s="17" t="s">
        <v>28</v>
      </c>
      <c r="H22" s="1" t="s">
        <v>29</v>
      </c>
      <c r="I22" s="1"/>
      <c r="J22" s="1"/>
      <c r="K22" s="18" t="s">
        <v>28</v>
      </c>
      <c r="L22" s="17" t="s">
        <v>28</v>
      </c>
      <c r="M22" s="1" t="s">
        <v>29</v>
      </c>
      <c r="N22" s="1"/>
      <c r="O22" s="1"/>
      <c r="P22" s="1"/>
      <c r="Q22" s="18" t="s">
        <v>35</v>
      </c>
      <c r="R22" s="1"/>
      <c r="S22" s="18"/>
      <c r="T22" s="27"/>
      <c r="Y22" s="21"/>
      <c r="Z22" s="16" t="str">
        <f>IFERROR(__xludf.DUMMYFUNCTION("image(concat(replace(REGEXEXTRACT($B22, ""^https://github\.com/[^/]+/[^/]+""), 1, 18, ""https://img.shields.io/github/last-commit""), "".svg""), 4, 20, 140)"),"")</f>
        <v/>
      </c>
      <c r="AA22" t="str">
        <f>IFERROR(__xludf.DUMMYFUNCTION("image(concat(replace(REGEXEXTRACT($B22, ""^https://github\.com/[^/]+/[^/]+""), 1, 18, ""https://img.shields.io/github/stars""), "".svg?style=social""))"),"")</f>
        <v/>
      </c>
      <c r="AB22" t="str">
        <f>IFERROR(__xludf.DUMMYFUNCTION("image(concat(replace(REGEXEXTRACT($B22, ""^https://github\.com/[^/]+/[^/]+""), 1, 18, ""https://img.shields.io/github/commit-activity/m""), "".svg?style=flat-square""))"),"")</f>
        <v/>
      </c>
      <c r="AC22" t="str">
        <f>IFERROR(__xludf.DUMMYFUNCTION("image(concat(replace(REGEXEXTRACT($B22, ""^https://github\.com/[^/]+/[^/]+""), 1, 18, ""https://img.shields.io/github/languages/code-size""), "".svg""))"),"")</f>
        <v/>
      </c>
    </row>
    <row r="23" ht="13.5" spans="1:29">
      <c r="A23" s="13" t="str">
        <f>HYPERLINK("https://github.com/higgsfield/RL-Adventure","RL-Adventure")</f>
        <v>RL-Adventure</v>
      </c>
      <c r="B23" s="19" t="s">
        <v>68</v>
      </c>
      <c r="C23" s="15"/>
      <c r="D23" s="16" t="s">
        <v>34</v>
      </c>
      <c r="E23" s="17" t="s">
        <v>29</v>
      </c>
      <c r="F23" s="18" t="s">
        <v>29</v>
      </c>
      <c r="G23" s="17" t="s">
        <v>28</v>
      </c>
      <c r="H23" s="1" t="s">
        <v>28</v>
      </c>
      <c r="I23" s="1"/>
      <c r="J23" s="1"/>
      <c r="K23" s="18" t="s">
        <v>29</v>
      </c>
      <c r="L23" s="17" t="s">
        <v>28</v>
      </c>
      <c r="M23" s="1" t="s">
        <v>28</v>
      </c>
      <c r="N23" s="1"/>
      <c r="O23" s="1"/>
      <c r="P23" s="1"/>
      <c r="Q23" s="18" t="s">
        <v>29</v>
      </c>
      <c r="R23" s="1"/>
      <c r="S23" s="18"/>
      <c r="T23" s="27"/>
      <c r="Y23" s="21"/>
      <c r="Z23" s="16" t="str">
        <f>IFERROR(__xludf.DUMMYFUNCTION("image(concat(replace(REGEXEXTRACT($B23, ""^https://github\.com/[^/]+/[^/]+""), 1, 18, ""https://img.shields.io/github/last-commit""), "".svg""), 4, 20, 140)"),"")</f>
        <v/>
      </c>
      <c r="AA23" t="str">
        <f>IFERROR(__xludf.DUMMYFUNCTION("image(concat(replace(REGEXEXTRACT($B23, ""^https://github\.com/[^/]+/[^/]+""), 1, 18, ""https://img.shields.io/github/stars""), "".svg?style=social""))"),"")</f>
        <v/>
      </c>
      <c r="AB23" t="str">
        <f>IFERROR(__xludf.DUMMYFUNCTION("image(concat(replace(REGEXEXTRACT($B23, ""^https://github\.com/[^/]+/[^/]+""), 1, 18, ""https://img.shields.io/github/commit-activity/m""), "".svg?style=flat-square""))"),"")</f>
        <v/>
      </c>
      <c r="AC23" t="str">
        <f>IFERROR(__xludf.DUMMYFUNCTION("image(concat(replace(REGEXEXTRACT($B23, ""^https://github\.com/[^/]+/[^/]+""), 1, 18, ""https://img.shields.io/github/languages/code-size""), "".svg""))"),"")</f>
        <v/>
      </c>
    </row>
    <row r="24" ht="13.5" spans="1:29">
      <c r="A24" s="13" t="str">
        <f>HYPERLINK("https://github.com/qfettes/DeepRL-Tutorials","DeepRL-Tutorials")</f>
        <v>DeepRL-Tutorials</v>
      </c>
      <c r="B24" s="19" t="s">
        <v>69</v>
      </c>
      <c r="C24" s="15"/>
      <c r="D24" s="16" t="s">
        <v>34</v>
      </c>
      <c r="E24" s="17" t="s">
        <v>29</v>
      </c>
      <c r="F24" s="18" t="s">
        <v>29</v>
      </c>
      <c r="G24" s="17" t="s">
        <v>28</v>
      </c>
      <c r="H24" s="1" t="s">
        <v>28</v>
      </c>
      <c r="I24" s="1"/>
      <c r="J24" s="1"/>
      <c r="K24" s="18" t="s">
        <v>29</v>
      </c>
      <c r="L24" s="17" t="s">
        <v>29</v>
      </c>
      <c r="M24" s="1" t="s">
        <v>29</v>
      </c>
      <c r="N24" s="1"/>
      <c r="O24" s="1"/>
      <c r="P24" s="1"/>
      <c r="Q24" s="18" t="s">
        <v>28</v>
      </c>
      <c r="R24" s="1"/>
      <c r="S24" s="18"/>
      <c r="T24" s="27"/>
      <c r="Y24" s="21"/>
      <c r="Z24" s="16" t="str">
        <f>IFERROR(__xludf.DUMMYFUNCTION("image(concat(replace(REGEXEXTRACT($B24, ""^https://github\.com/[^/]+/[^/]+""), 1, 18, ""https://img.shields.io/github/last-commit""), "".svg""), 4, 20, 140)"),"")</f>
        <v/>
      </c>
      <c r="AA24" t="str">
        <f>IFERROR(__xludf.DUMMYFUNCTION("image(concat(replace(REGEXEXTRACT($B24, ""^https://github\.com/[^/]+/[^/]+""), 1, 18, ""https://img.shields.io/github/stars""), "".svg?style=social""))"),"")</f>
        <v/>
      </c>
      <c r="AB24" t="str">
        <f>IFERROR(__xludf.DUMMYFUNCTION("image(concat(replace(REGEXEXTRACT($B24, ""^https://github\.com/[^/]+/[^/]+""), 1, 18, ""https://img.shields.io/github/commit-activity/m""), "".svg?style=flat-square""))"),"")</f>
        <v/>
      </c>
      <c r="AC24" t="str">
        <f>IFERROR(__xludf.DUMMYFUNCTION("image(concat(replace(REGEXEXTRACT($B24, ""^https://github\.com/[^/]+/[^/]+""), 1, 18, ""https://img.shields.io/github/languages/code-size""), "".svg""))"),"")</f>
        <v/>
      </c>
    </row>
    <row r="25" ht="13.5" spans="1:29">
      <c r="A25" s="13" t="str">
        <f>HYPERLINK("https://github.com/SurrealAI/surreal","surreal")</f>
        <v>surreal</v>
      </c>
      <c r="B25" s="19" t="s">
        <v>70</v>
      </c>
      <c r="C25" s="15"/>
      <c r="D25" s="16" t="s">
        <v>71</v>
      </c>
      <c r="E25" s="17" t="s">
        <v>28</v>
      </c>
      <c r="F25" s="18" t="s">
        <v>28</v>
      </c>
      <c r="G25" s="17" t="s">
        <v>29</v>
      </c>
      <c r="H25" s="1" t="s">
        <v>29</v>
      </c>
      <c r="I25" s="1"/>
      <c r="J25" s="1"/>
      <c r="K25" s="18" t="s">
        <v>29</v>
      </c>
      <c r="L25" s="17" t="s">
        <v>28</v>
      </c>
      <c r="M25" s="1" t="s">
        <v>29</v>
      </c>
      <c r="N25" s="1"/>
      <c r="O25" s="1"/>
      <c r="P25" s="1"/>
      <c r="Q25" s="18" t="s">
        <v>28</v>
      </c>
      <c r="R25" s="1"/>
      <c r="S25" s="18"/>
      <c r="T25" s="27"/>
      <c r="Y25" s="21"/>
      <c r="Z25" s="16" t="str">
        <f>IFERROR(__xludf.DUMMYFUNCTION("image(concat(replace(REGEXEXTRACT($B25, ""^https://github\.com/[^/]+/[^/]+""), 1, 18, ""https://img.shields.io/github/last-commit""), "".svg""), 4, 20, 140)"),"")</f>
        <v/>
      </c>
      <c r="AA25" t="str">
        <f>IFERROR(__xludf.DUMMYFUNCTION("image(concat(replace(REGEXEXTRACT($B25, ""^https://github\.com/[^/]+/[^/]+""), 1, 18, ""https://img.shields.io/github/stars""), "".svg?style=social""))"),"")</f>
        <v/>
      </c>
      <c r="AB25" t="str">
        <f>IFERROR(__xludf.DUMMYFUNCTION("image(concat(replace(REGEXEXTRACT($B25, ""^https://github\.com/[^/]+/[^/]+""), 1, 18, ""https://img.shields.io/github/commit-activity/m""), "".svg?style=flat-square""))"),"")</f>
        <v/>
      </c>
      <c r="AC25" t="str">
        <f>IFERROR(__xludf.DUMMYFUNCTION("image(concat(replace(REGEXEXTRACT($B25, ""^https://github\.com/[^/]+/[^/]+""), 1, 18, ""https://img.shields.io/github/languages/code-size""), "".svg""))"),"")</f>
        <v/>
      </c>
    </row>
    <row r="26" ht="13.5" spans="1:29">
      <c r="A26" s="13" t="str">
        <f>HYPERLINK("https://github.com/zuoxingdong/lagom","lagom")</f>
        <v>lagom</v>
      </c>
      <c r="B26" s="19" t="s">
        <v>72</v>
      </c>
      <c r="C26" s="15"/>
      <c r="D26" s="16" t="s">
        <v>34</v>
      </c>
      <c r="E26" s="17" t="s">
        <v>28</v>
      </c>
      <c r="F26" s="18" t="s">
        <v>29</v>
      </c>
      <c r="G26" s="17" t="s">
        <v>29</v>
      </c>
      <c r="H26" s="1" t="s">
        <v>29</v>
      </c>
      <c r="I26" s="1"/>
      <c r="J26" s="1"/>
      <c r="K26" s="18" t="s">
        <v>29</v>
      </c>
      <c r="L26" s="17" t="s">
        <v>29</v>
      </c>
      <c r="M26" s="1" t="s">
        <v>29</v>
      </c>
      <c r="N26" s="1"/>
      <c r="O26" s="1"/>
      <c r="P26" s="1"/>
      <c r="Q26" s="18" t="s">
        <v>29</v>
      </c>
      <c r="R26" s="1"/>
      <c r="S26" s="18"/>
      <c r="T26" s="27"/>
      <c r="Y26" s="21"/>
      <c r="Z26" s="16" t="str">
        <f>IFERROR(__xludf.DUMMYFUNCTION("image(concat(replace(REGEXEXTRACT($B26, ""^https://github\.com/[^/]+/[^/]+""), 1, 18, ""https://img.shields.io/github/last-commit""), "".svg""), 4, 20, 140)"),"")</f>
        <v/>
      </c>
      <c r="AA26" t="str">
        <f>IFERROR(__xludf.DUMMYFUNCTION("image(concat(replace(REGEXEXTRACT($B26, ""^https://github\.com/[^/]+/[^/]+""), 1, 18, ""https://img.shields.io/github/stars""), "".svg?style=social""))"),"")</f>
        <v/>
      </c>
      <c r="AB26" t="str">
        <f>IFERROR(__xludf.DUMMYFUNCTION("image(concat(replace(REGEXEXTRACT($B26, ""^https://github\.com/[^/]+/[^/]+""), 1, 18, ""https://img.shields.io/github/commit-activity/m""), "".svg?style=flat-square""))"),"")</f>
        <v/>
      </c>
      <c r="AC26" t="str">
        <f>IFERROR(__xludf.DUMMYFUNCTION("image(concat(replace(REGEXEXTRACT($B26, ""^https://github\.com/[^/]+/[^/]+""), 1, 18, ""https://img.shields.io/github/languages/code-size""), "".svg""))"),"")</f>
        <v/>
      </c>
    </row>
    <row r="27" ht="13.5" spans="1:29">
      <c r="A27" s="13" t="str">
        <f>HYPERLINK("https://github.com/dennybritz/reinforcement-learning","dennybritz")</f>
        <v>dennybritz</v>
      </c>
      <c r="B27" s="19" t="s">
        <v>73</v>
      </c>
      <c r="C27" s="15"/>
      <c r="D27" s="16" t="s">
        <v>27</v>
      </c>
      <c r="E27" s="17"/>
      <c r="F27" s="18"/>
      <c r="G27" s="17"/>
      <c r="I27" s="1"/>
      <c r="J27" s="1"/>
      <c r="K27" s="18"/>
      <c r="L27" s="17"/>
      <c r="N27" s="1"/>
      <c r="O27" s="1"/>
      <c r="P27" s="1"/>
      <c r="Q27" s="18"/>
      <c r="R27" s="1"/>
      <c r="S27" s="18"/>
      <c r="T27" s="27"/>
      <c r="Y27" s="21"/>
      <c r="Z27" s="16" t="str">
        <f>IFERROR(__xludf.DUMMYFUNCTION("image(concat(replace(REGEXEXTRACT($B27, ""^https://github\.com/[^/]+/[^/]+""), 1, 18, ""https://img.shields.io/github/last-commit""), "".svg""), 4, 20, 140)"),"")</f>
        <v/>
      </c>
      <c r="AA27" t="str">
        <f>IFERROR(__xludf.DUMMYFUNCTION("image(concat(replace(REGEXEXTRACT($B27, ""^https://github\.com/[^/]+/[^/]+""), 1, 18, ""https://img.shields.io/github/stars""), "".svg?style=social""))"),"")</f>
        <v/>
      </c>
      <c r="AB27" t="str">
        <f>IFERROR(__xludf.DUMMYFUNCTION("image(concat(replace(REGEXEXTRACT($B27, ""^https://github\.com/[^/]+/[^/]+""), 1, 18, ""https://img.shields.io/github/commit-activity/m""), "".svg?style=flat-square""))"),"")</f>
        <v/>
      </c>
      <c r="AC27" t="str">
        <f>IFERROR(__xludf.DUMMYFUNCTION("image(concat(replace(REGEXEXTRACT($B27, ""^https://github\.com/[^/]+/[^/]+""), 1, 18, ""https://img.shields.io/github/languages/code-size""), "".svg""))"),"")</f>
        <v/>
      </c>
    </row>
    <row r="28" ht="13.5" spans="1:29">
      <c r="A28" s="13" t="str">
        <f>HYPERLINK("https://github.com/unixpickle/anyrl-py","anyrl-py")</f>
        <v>anyrl-py</v>
      </c>
      <c r="B28" s="19" t="s">
        <v>73</v>
      </c>
      <c r="C28" s="15"/>
      <c r="D28" s="16" t="s">
        <v>27</v>
      </c>
      <c r="E28" s="17"/>
      <c r="F28" s="18"/>
      <c r="G28" s="17"/>
      <c r="I28" s="1"/>
      <c r="J28" s="1"/>
      <c r="K28" s="18"/>
      <c r="L28" s="17"/>
      <c r="N28" s="1"/>
      <c r="O28" s="1"/>
      <c r="P28" s="1"/>
      <c r="Q28" s="18"/>
      <c r="R28" s="1"/>
      <c r="S28" s="18"/>
      <c r="T28" s="27"/>
      <c r="Y28" s="21"/>
      <c r="Z28" s="16" t="str">
        <f>IFERROR(__xludf.DUMMYFUNCTION("image(concat(replace(REGEXEXTRACT($B28, ""^https://github\.com/[^/]+/[^/]+""), 1, 18, ""https://img.shields.io/github/last-commit""), "".svg""), 4, 20, 140)"),"")</f>
        <v/>
      </c>
      <c r="AA28" t="str">
        <f>IFERROR(__xludf.DUMMYFUNCTION("image(concat(replace(REGEXEXTRACT($B28, ""^https://github\.com/[^/]+/[^/]+""), 1, 18, ""https://img.shields.io/github/stars""), "".svg?style=social""))"),"")</f>
        <v/>
      </c>
      <c r="AB28" t="str">
        <f>IFERROR(__xludf.DUMMYFUNCTION("image(concat(replace(REGEXEXTRACT($B28, ""^https://github\.com/[^/]+/[^/]+""), 1, 18, ""https://img.shields.io/github/commit-activity/m""), "".svg?style=flat-square""))"),"")</f>
        <v/>
      </c>
      <c r="AC28" t="str">
        <f>IFERROR(__xludf.DUMMYFUNCTION("image(concat(replace(REGEXEXTRACT($B28, ""^https://github\.com/[^/]+/[^/]+""), 1, 18, ""https://img.shields.io/github/languages/code-size""), "".svg""))"),"")</f>
        <v/>
      </c>
    </row>
    <row r="29" ht="13.5" spans="1:29">
      <c r="A29" s="13" t="str">
        <f>HYPERLINK("https://github.com/Scitator/rl-course-experiments","scitator")</f>
        <v>scitator</v>
      </c>
      <c r="B29" s="14" t="s">
        <v>74</v>
      </c>
      <c r="C29" s="15"/>
      <c r="D29" s="16" t="s">
        <v>27</v>
      </c>
      <c r="E29" s="17"/>
      <c r="F29" s="18"/>
      <c r="G29" s="17" t="s">
        <v>28</v>
      </c>
      <c r="H29" s="1" t="s">
        <v>29</v>
      </c>
      <c r="I29" s="1" t="s">
        <v>28</v>
      </c>
      <c r="J29" s="1" t="s">
        <v>28</v>
      </c>
      <c r="K29" s="18" t="s">
        <v>29</v>
      </c>
      <c r="L29" s="17" t="s">
        <v>29</v>
      </c>
      <c r="M29" s="1" t="s">
        <v>29</v>
      </c>
      <c r="N29" s="1" t="s">
        <v>29</v>
      </c>
      <c r="O29" s="1" t="s">
        <v>29</v>
      </c>
      <c r="P29" s="1" t="s">
        <v>29</v>
      </c>
      <c r="Q29" s="18" t="s">
        <v>29</v>
      </c>
      <c r="R29" s="1"/>
      <c r="S29" s="18"/>
      <c r="T29" s="17" t="s">
        <v>29</v>
      </c>
      <c r="U29" s="1" t="s">
        <v>28</v>
      </c>
      <c r="V29" s="1" t="s">
        <v>29</v>
      </c>
      <c r="W29" s="1" t="s">
        <v>29</v>
      </c>
      <c r="X29" s="1" t="s">
        <v>29</v>
      </c>
      <c r="Y29" s="21"/>
      <c r="Z29" s="16" t="str">
        <f>IFERROR(__xludf.DUMMYFUNCTION("image(concat(replace(REGEXEXTRACT($B29, ""^https://github\.com/[^/]+/[^/]+""), 1, 18, ""https://img.shields.io/github/last-commit""), "".svg""), 4, 20, 140)"),"")</f>
        <v/>
      </c>
      <c r="AA29" t="str">
        <f>IFERROR(__xludf.DUMMYFUNCTION("image(concat(replace(REGEXEXTRACT($B29, ""^https://github\.com/[^/]+/[^/]+""), 1, 18, ""https://img.shields.io/github/stars""), "".svg?style=social""))"),"")</f>
        <v/>
      </c>
      <c r="AB29" t="str">
        <f>IFERROR(__xludf.DUMMYFUNCTION("image(concat(replace(REGEXEXTRACT($B29, ""^https://github\.com/[^/]+/[^/]+""), 1, 18, ""https://img.shields.io/github/commit-activity/m""), "".svg?style=flat-square""))"),"")</f>
        <v/>
      </c>
      <c r="AC29" t="str">
        <f>IFERROR(__xludf.DUMMYFUNCTION("image(concat(replace(REGEXEXTRACT($B29, ""^https://github\.com/[^/]+/[^/]+""), 1, 18, ""https://img.shields.io/github/languages/code-size""), "".svg""))"),"")</f>
        <v/>
      </c>
    </row>
    <row r="30" ht="13.5" spans="1:29">
      <c r="A30" s="13" t="str">
        <f>HYPERLINK("https://github.com/oxwhirl/pymarl","pymarl")</f>
        <v>pymarl</v>
      </c>
      <c r="B30" s="19" t="s">
        <v>75</v>
      </c>
      <c r="C30" s="15" t="s">
        <v>76</v>
      </c>
      <c r="D30" s="16" t="s">
        <v>34</v>
      </c>
      <c r="E30" s="20"/>
      <c r="F30" s="21"/>
      <c r="G30" s="20" t="s">
        <v>77</v>
      </c>
      <c r="R30" s="33"/>
      <c r="S30" s="34"/>
      <c r="T30" s="27"/>
      <c r="Y30" s="21"/>
      <c r="Z30" s="16" t="str">
        <f>IFERROR(__xludf.DUMMYFUNCTION("image(concat(replace(REGEXEXTRACT($B30, ""^https://github\.com/[^/]+/[^/]+""), 1, 18, ""https://img.shields.io/github/last-commit""), "".svg""), 4, 20, 140)"),"")</f>
        <v/>
      </c>
      <c r="AA30" t="str">
        <f>IFERROR(__xludf.DUMMYFUNCTION("image(concat(replace(REGEXEXTRACT($B30, ""^https://github\.com/[^/]+/[^/]+""), 1, 18, ""https://img.shields.io/github/stars""), "".svg?style=social""))"),"")</f>
        <v/>
      </c>
      <c r="AB30" t="str">
        <f>IFERROR(__xludf.DUMMYFUNCTION("image(concat(replace(REGEXEXTRACT($B30, ""^https://github\.com/[^/]+/[^/]+""), 1, 18, ""https://img.shields.io/github/commit-activity/m""), "".svg?style=flat-square""))"),"")</f>
        <v/>
      </c>
      <c r="AC30" t="str">
        <f>IFERROR(__xludf.DUMMYFUNCTION("image(concat(replace(REGEXEXTRACT($B30, ""^https://github\.com/[^/]+/[^/]+""), 1, 18, ""https://img.shields.io/github/languages/code-size""), "".svg""))"),"")</f>
        <v/>
      </c>
    </row>
    <row r="31" ht="12.75" spans="1:47">
      <c r="A31" s="22" t="s">
        <v>78</v>
      </c>
      <c r="E31" s="23"/>
      <c r="F31" s="24"/>
      <c r="G31" s="23"/>
      <c r="H31" s="25"/>
      <c r="I31" s="25"/>
      <c r="J31" s="25"/>
      <c r="K31" s="24"/>
      <c r="L31" s="23"/>
      <c r="M31" s="25"/>
      <c r="N31" s="25"/>
      <c r="O31" s="25"/>
      <c r="P31" s="25"/>
      <c r="Q31" s="24"/>
      <c r="R31" s="25"/>
      <c r="S31" s="24"/>
      <c r="T31" s="23"/>
      <c r="U31" s="25"/>
      <c r="V31" s="25"/>
      <c r="W31" s="25"/>
      <c r="X31" s="25"/>
      <c r="Y31" s="24"/>
      <c r="Z31" s="22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</row>
    <row r="32" ht="12.75" spans="5:47">
      <c r="E32" s="23"/>
      <c r="F32" s="24"/>
      <c r="G32" s="23"/>
      <c r="H32" s="25"/>
      <c r="I32" s="25"/>
      <c r="J32" s="25"/>
      <c r="K32" s="24"/>
      <c r="L32" s="23"/>
      <c r="M32" s="25"/>
      <c r="N32" s="25"/>
      <c r="O32" s="25"/>
      <c r="P32" s="25"/>
      <c r="Q32" s="24"/>
      <c r="R32" s="25"/>
      <c r="S32" s="24"/>
      <c r="T32" s="23"/>
      <c r="U32" s="25"/>
      <c r="V32" s="25"/>
      <c r="W32" s="25"/>
      <c r="X32" s="25"/>
      <c r="Y32" s="24"/>
      <c r="Z32" s="22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</row>
    <row r="33" ht="12.75" spans="5:47">
      <c r="E33" s="23"/>
      <c r="F33" s="24"/>
      <c r="G33" s="23"/>
      <c r="H33" s="25"/>
      <c r="I33" s="25"/>
      <c r="J33" s="25"/>
      <c r="K33" s="24"/>
      <c r="L33" s="23"/>
      <c r="M33" s="25"/>
      <c r="N33" s="25"/>
      <c r="O33" s="25"/>
      <c r="P33" s="25"/>
      <c r="Q33" s="24"/>
      <c r="R33" s="25"/>
      <c r="S33" s="24"/>
      <c r="T33" s="23"/>
      <c r="U33" s="25"/>
      <c r="V33" s="25"/>
      <c r="W33" s="25"/>
      <c r="X33" s="25"/>
      <c r="Y33" s="24"/>
      <c r="Z33" s="22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</row>
    <row r="34" ht="12.75" spans="5:47">
      <c r="E34" s="23"/>
      <c r="F34" s="24"/>
      <c r="G34" s="23"/>
      <c r="H34" s="25"/>
      <c r="I34" s="25"/>
      <c r="J34" s="25"/>
      <c r="K34" s="24"/>
      <c r="L34" s="23"/>
      <c r="M34" s="25"/>
      <c r="N34" s="25"/>
      <c r="O34" s="25"/>
      <c r="P34" s="25"/>
      <c r="Q34" s="24"/>
      <c r="R34" s="25"/>
      <c r="S34" s="24"/>
      <c r="T34" s="23"/>
      <c r="U34" s="25"/>
      <c r="V34" s="25"/>
      <c r="W34" s="25"/>
      <c r="X34" s="25"/>
      <c r="Y34" s="24"/>
      <c r="Z34" s="22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</row>
    <row r="35" ht="12.75" spans="1:47">
      <c r="A35" s="26" t="str">
        <f>HYPERLINK("https://twitter.com/Scitator","contacts")</f>
        <v>contacts</v>
      </c>
      <c r="E35" s="23"/>
      <c r="F35" s="24"/>
      <c r="G35" s="23"/>
      <c r="H35" s="25"/>
      <c r="I35" s="25"/>
      <c r="J35" s="25"/>
      <c r="K35" s="24"/>
      <c r="L35" s="23"/>
      <c r="M35" s="25"/>
      <c r="N35" s="25"/>
      <c r="O35" s="25"/>
      <c r="P35" s="25"/>
      <c r="Q35" s="24"/>
      <c r="R35" s="25"/>
      <c r="S35" s="24"/>
      <c r="T35" s="23"/>
      <c r="U35" s="25"/>
      <c r="V35" s="25"/>
      <c r="W35" s="25"/>
      <c r="X35" s="25"/>
      <c r="Y35" s="24"/>
      <c r="Z35" s="22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</row>
    <row r="36" ht="12.75" spans="1:47">
      <c r="A36" s="26" t="str">
        <f>HYPERLINK("https://docs.google.com/spreadsheets/d/1ZWhViAwCpRqupA5E_xFHSaBaaBZ1wAjO6PvmmEEpXGI/edit#gid=0","original list")</f>
        <v>original list</v>
      </c>
      <c r="E36" s="23"/>
      <c r="F36" s="24"/>
      <c r="G36" s="23"/>
      <c r="H36" s="25"/>
      <c r="I36" s="25"/>
      <c r="J36" s="25"/>
      <c r="K36" s="24"/>
      <c r="L36" s="23"/>
      <c r="M36" s="25"/>
      <c r="N36" s="25"/>
      <c r="O36" s="25"/>
      <c r="P36" s="25"/>
      <c r="Q36" s="24"/>
      <c r="R36" s="25"/>
      <c r="S36" s="24"/>
      <c r="T36" s="23"/>
      <c r="U36" s="25"/>
      <c r="V36" s="25"/>
      <c r="W36" s="25"/>
      <c r="X36" s="25"/>
      <c r="Y36" s="24"/>
      <c r="Z36" s="22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</row>
    <row r="37" ht="12.75" spans="1:26">
      <c r="A37" s="16"/>
      <c r="B37" s="1"/>
      <c r="C37" s="15"/>
      <c r="D37" s="16"/>
      <c r="E37" s="27"/>
      <c r="F37" s="21"/>
      <c r="G37" s="27"/>
      <c r="K37" s="21"/>
      <c r="L37" s="27"/>
      <c r="Q37" s="21"/>
      <c r="S37" s="21"/>
      <c r="T37" s="27"/>
      <c r="Y37" s="21"/>
      <c r="Z37" s="16"/>
    </row>
    <row r="38" ht="12.75" spans="1:26">
      <c r="A38" s="13" t="s">
        <v>79</v>
      </c>
      <c r="B38" s="1"/>
      <c r="C38" s="15"/>
      <c r="D38" s="16"/>
      <c r="E38" s="27"/>
      <c r="F38" s="21"/>
      <c r="G38" s="27"/>
      <c r="K38" s="21"/>
      <c r="L38" s="27"/>
      <c r="Q38" s="21"/>
      <c r="S38" s="21"/>
      <c r="T38" s="27"/>
      <c r="Y38" s="21"/>
      <c r="Z38" s="16"/>
    </row>
    <row r="39" ht="12.75" spans="1:26">
      <c r="A39" s="13" t="s">
        <v>80</v>
      </c>
      <c r="B39" s="1"/>
      <c r="C39" s="15"/>
      <c r="D39" s="16"/>
      <c r="E39" s="27"/>
      <c r="F39" s="21"/>
      <c r="G39" s="27"/>
      <c r="K39" s="21"/>
      <c r="L39" s="27"/>
      <c r="Q39" s="21"/>
      <c r="S39" s="21"/>
      <c r="T39" s="27"/>
      <c r="Y39" s="21"/>
      <c r="Z39" s="16"/>
    </row>
    <row r="40" ht="12.75" spans="1:26">
      <c r="A40" s="16"/>
      <c r="B40" s="1"/>
      <c r="C40" s="15"/>
      <c r="D40" s="16"/>
      <c r="E40" s="27"/>
      <c r="F40" s="21"/>
      <c r="G40" s="27"/>
      <c r="K40" s="21"/>
      <c r="L40" s="27"/>
      <c r="Q40" s="21"/>
      <c r="S40" s="21"/>
      <c r="T40" s="27"/>
      <c r="Y40" s="21"/>
      <c r="Z40" s="16"/>
    </row>
    <row r="41" ht="12.75" spans="1:26">
      <c r="A41" s="16"/>
      <c r="B41" s="1"/>
      <c r="C41" s="15"/>
      <c r="D41" s="16"/>
      <c r="E41" s="27"/>
      <c r="F41" s="21"/>
      <c r="G41" s="27"/>
      <c r="K41" s="21"/>
      <c r="L41" s="27"/>
      <c r="Q41" s="21"/>
      <c r="S41" s="21"/>
      <c r="T41" s="27"/>
      <c r="Y41" s="21"/>
      <c r="Z41" s="16"/>
    </row>
    <row r="42" ht="12.75" spans="1:26">
      <c r="A42" s="16"/>
      <c r="B42" s="1"/>
      <c r="C42" s="15"/>
      <c r="D42" s="16"/>
      <c r="E42" s="27"/>
      <c r="F42" s="21"/>
      <c r="G42" s="27"/>
      <c r="K42" s="21"/>
      <c r="L42" s="27"/>
      <c r="Q42" s="21"/>
      <c r="S42" s="21"/>
      <c r="T42" s="27"/>
      <c r="Y42" s="21"/>
      <c r="Z42" s="16"/>
    </row>
    <row r="43" ht="12.75" spans="1:26">
      <c r="A43" s="16"/>
      <c r="B43" s="1"/>
      <c r="C43" s="15"/>
      <c r="D43" s="16"/>
      <c r="E43" s="27"/>
      <c r="F43" s="21"/>
      <c r="G43" s="27"/>
      <c r="K43" s="21"/>
      <c r="L43" s="27"/>
      <c r="Q43" s="21"/>
      <c r="S43" s="21"/>
      <c r="T43" s="27"/>
      <c r="Y43" s="21"/>
      <c r="Z43" s="16"/>
    </row>
    <row r="44" ht="12.75" spans="1:26">
      <c r="A44" s="16"/>
      <c r="B44" s="1"/>
      <c r="C44" s="15"/>
      <c r="D44" s="16"/>
      <c r="E44" s="27"/>
      <c r="F44" s="21"/>
      <c r="G44" s="27"/>
      <c r="K44" s="21"/>
      <c r="L44" s="27"/>
      <c r="Q44" s="21"/>
      <c r="S44" s="21"/>
      <c r="T44" s="27"/>
      <c r="Y44" s="21"/>
      <c r="Z44" s="16"/>
    </row>
    <row r="45" ht="12.75" spans="1:26">
      <c r="A45" s="16"/>
      <c r="B45" s="1"/>
      <c r="C45" s="15"/>
      <c r="D45" s="16"/>
      <c r="E45" s="27"/>
      <c r="F45" s="21"/>
      <c r="G45" s="27"/>
      <c r="K45" s="21"/>
      <c r="L45" s="27"/>
      <c r="Q45" s="21"/>
      <c r="S45" s="21"/>
      <c r="T45" s="27"/>
      <c r="Y45" s="21"/>
      <c r="Z45" s="16"/>
    </row>
    <row r="46" ht="12.75" spans="1:26">
      <c r="A46" s="16"/>
      <c r="B46" s="1"/>
      <c r="C46" s="15"/>
      <c r="D46" s="16"/>
      <c r="E46" s="27"/>
      <c r="F46" s="21"/>
      <c r="G46" s="27"/>
      <c r="K46" s="21"/>
      <c r="L46" s="27"/>
      <c r="Q46" s="21"/>
      <c r="S46" s="21"/>
      <c r="T46" s="27"/>
      <c r="Y46" s="21"/>
      <c r="Z46" s="16"/>
    </row>
    <row r="47" ht="12.75" spans="1:26">
      <c r="A47" s="16"/>
      <c r="B47" s="1"/>
      <c r="C47" s="15"/>
      <c r="D47" s="16"/>
      <c r="E47" s="27"/>
      <c r="F47" s="21"/>
      <c r="G47" s="27"/>
      <c r="K47" s="21"/>
      <c r="L47" s="27"/>
      <c r="Q47" s="21"/>
      <c r="S47" s="21"/>
      <c r="T47" s="27"/>
      <c r="Y47" s="21"/>
      <c r="Z47" s="16"/>
    </row>
    <row r="48" ht="12.75" spans="1:26">
      <c r="A48" s="16"/>
      <c r="B48" s="1"/>
      <c r="C48" s="15"/>
      <c r="D48" s="16"/>
      <c r="E48" s="27"/>
      <c r="F48" s="21"/>
      <c r="G48" s="27"/>
      <c r="K48" s="21"/>
      <c r="L48" s="27"/>
      <c r="Q48" s="21"/>
      <c r="S48" s="21"/>
      <c r="T48" s="27"/>
      <c r="Y48" s="21"/>
      <c r="Z48" s="16"/>
    </row>
    <row r="49" ht="12.75" spans="1:26">
      <c r="A49" s="16"/>
      <c r="B49" s="1"/>
      <c r="C49" s="15"/>
      <c r="D49" s="16"/>
      <c r="E49" s="27"/>
      <c r="F49" s="21"/>
      <c r="G49" s="27"/>
      <c r="K49" s="21"/>
      <c r="L49" s="27"/>
      <c r="Q49" s="21"/>
      <c r="S49" s="21"/>
      <c r="T49" s="27"/>
      <c r="Y49" s="21"/>
      <c r="Z49" s="16"/>
    </row>
    <row r="50" ht="12.75" spans="1:26">
      <c r="A50" s="16"/>
      <c r="B50" s="1"/>
      <c r="C50" s="15"/>
      <c r="D50" s="16"/>
      <c r="E50" s="27"/>
      <c r="F50" s="21"/>
      <c r="G50" s="27"/>
      <c r="K50" s="21"/>
      <c r="L50" s="27"/>
      <c r="Q50" s="21"/>
      <c r="S50" s="21"/>
      <c r="T50" s="27"/>
      <c r="Y50" s="21"/>
      <c r="Z50" s="16"/>
    </row>
    <row r="51" ht="12.75" spans="1:26">
      <c r="A51" s="16"/>
      <c r="B51" s="1"/>
      <c r="C51" s="15"/>
      <c r="D51" s="16"/>
      <c r="E51" s="27"/>
      <c r="F51" s="21"/>
      <c r="G51" s="27"/>
      <c r="K51" s="21"/>
      <c r="L51" s="27"/>
      <c r="Q51" s="21"/>
      <c r="S51" s="21"/>
      <c r="T51" s="27"/>
      <c r="Y51" s="21"/>
      <c r="Z51" s="16"/>
    </row>
    <row r="52" ht="12.75" spans="1:26">
      <c r="A52" s="16"/>
      <c r="B52" s="1"/>
      <c r="C52" s="15"/>
      <c r="D52" s="16"/>
      <c r="E52" s="27"/>
      <c r="F52" s="21"/>
      <c r="G52" s="27"/>
      <c r="K52" s="21"/>
      <c r="L52" s="27"/>
      <c r="Q52" s="21"/>
      <c r="S52" s="21"/>
      <c r="T52" s="27"/>
      <c r="Y52" s="21"/>
      <c r="Z52" s="16"/>
    </row>
    <row r="53" ht="12.75" spans="1:26">
      <c r="A53" s="16"/>
      <c r="B53" s="1"/>
      <c r="C53" s="15"/>
      <c r="D53" s="16"/>
      <c r="E53" s="27"/>
      <c r="F53" s="21"/>
      <c r="G53" s="27"/>
      <c r="K53" s="21"/>
      <c r="L53" s="27"/>
      <c r="Q53" s="21"/>
      <c r="S53" s="21"/>
      <c r="T53" s="27"/>
      <c r="Y53" s="21"/>
      <c r="Z53" s="16"/>
    </row>
    <row r="54" ht="12.75" spans="1:26">
      <c r="A54" s="16"/>
      <c r="B54" s="1"/>
      <c r="C54" s="15"/>
      <c r="D54" s="16"/>
      <c r="E54" s="27"/>
      <c r="F54" s="21"/>
      <c r="G54" s="27"/>
      <c r="K54" s="21"/>
      <c r="L54" s="27"/>
      <c r="Q54" s="21"/>
      <c r="S54" s="21"/>
      <c r="T54" s="27"/>
      <c r="Y54" s="21"/>
      <c r="Z54" s="16"/>
    </row>
    <row r="55" ht="12.75" spans="1:26">
      <c r="A55" s="16"/>
      <c r="B55" s="1"/>
      <c r="C55" s="15"/>
      <c r="D55" s="16"/>
      <c r="E55" s="27"/>
      <c r="F55" s="21"/>
      <c r="G55" s="27"/>
      <c r="K55" s="21"/>
      <c r="L55" s="27"/>
      <c r="Q55" s="21"/>
      <c r="S55" s="21"/>
      <c r="T55" s="27"/>
      <c r="Y55" s="21"/>
      <c r="Z55" s="16"/>
    </row>
    <row r="56" ht="12.75" spans="1:26">
      <c r="A56" s="16"/>
      <c r="B56" s="1"/>
      <c r="C56" s="15"/>
      <c r="D56" s="16"/>
      <c r="E56" s="27"/>
      <c r="F56" s="21"/>
      <c r="G56" s="27"/>
      <c r="K56" s="21"/>
      <c r="L56" s="27"/>
      <c r="Q56" s="21"/>
      <c r="S56" s="21"/>
      <c r="T56" s="27"/>
      <c r="Y56" s="21"/>
      <c r="Z56" s="16"/>
    </row>
    <row r="57" ht="12.75" spans="1:26">
      <c r="A57" s="16"/>
      <c r="B57" s="1"/>
      <c r="C57" s="15"/>
      <c r="D57" s="16"/>
      <c r="E57" s="27"/>
      <c r="F57" s="21"/>
      <c r="G57" s="27"/>
      <c r="K57" s="21"/>
      <c r="L57" s="27"/>
      <c r="Q57" s="21"/>
      <c r="S57" s="21"/>
      <c r="T57" s="27"/>
      <c r="Y57" s="21"/>
      <c r="Z57" s="16"/>
    </row>
    <row r="58" ht="12.75" spans="1:26">
      <c r="A58" s="16"/>
      <c r="B58" s="1"/>
      <c r="C58" s="15"/>
      <c r="D58" s="16"/>
      <c r="E58" s="27"/>
      <c r="F58" s="21"/>
      <c r="G58" s="27"/>
      <c r="K58" s="21"/>
      <c r="L58" s="27"/>
      <c r="Q58" s="21"/>
      <c r="S58" s="21"/>
      <c r="T58" s="27"/>
      <c r="Y58" s="21"/>
      <c r="Z58" s="16"/>
    </row>
    <row r="59" ht="12.75" spans="1:26">
      <c r="A59" s="16"/>
      <c r="B59" s="1"/>
      <c r="C59" s="15"/>
      <c r="D59" s="16"/>
      <c r="E59" s="27"/>
      <c r="F59" s="21"/>
      <c r="G59" s="27"/>
      <c r="K59" s="21"/>
      <c r="L59" s="27"/>
      <c r="Q59" s="21"/>
      <c r="S59" s="21"/>
      <c r="T59" s="27"/>
      <c r="Y59" s="21"/>
      <c r="Z59" s="16"/>
    </row>
    <row r="60" ht="12.75" spans="1:26">
      <c r="A60" s="16"/>
      <c r="B60" s="1"/>
      <c r="C60" s="15"/>
      <c r="D60" s="16"/>
      <c r="E60" s="27"/>
      <c r="F60" s="21"/>
      <c r="G60" s="27"/>
      <c r="K60" s="21"/>
      <c r="L60" s="27"/>
      <c r="Q60" s="21"/>
      <c r="S60" s="21"/>
      <c r="T60" s="27"/>
      <c r="Y60" s="21"/>
      <c r="Z60" s="16"/>
    </row>
    <row r="61" ht="12.75" spans="1:26">
      <c r="A61" s="16"/>
      <c r="B61" s="1"/>
      <c r="C61" s="15"/>
      <c r="D61" s="16"/>
      <c r="E61" s="27"/>
      <c r="F61" s="21"/>
      <c r="G61" s="27"/>
      <c r="K61" s="21"/>
      <c r="L61" s="27"/>
      <c r="Q61" s="21"/>
      <c r="S61" s="21"/>
      <c r="T61" s="27"/>
      <c r="Y61" s="21"/>
      <c r="Z61" s="16"/>
    </row>
    <row r="62" ht="12.75" spans="1:26">
      <c r="A62" s="16"/>
      <c r="B62" s="1"/>
      <c r="C62" s="15"/>
      <c r="D62" s="16"/>
      <c r="E62" s="27"/>
      <c r="F62" s="21"/>
      <c r="G62" s="27"/>
      <c r="K62" s="21"/>
      <c r="L62" s="27"/>
      <c r="Q62" s="21"/>
      <c r="S62" s="21"/>
      <c r="T62" s="27"/>
      <c r="Y62" s="21"/>
      <c r="Z62" s="16"/>
    </row>
    <row r="63" ht="12.75" spans="1:26">
      <c r="A63" s="16"/>
      <c r="B63" s="1"/>
      <c r="C63" s="15"/>
      <c r="D63" s="16"/>
      <c r="E63" s="27"/>
      <c r="F63" s="21"/>
      <c r="G63" s="27"/>
      <c r="K63" s="21"/>
      <c r="L63" s="27"/>
      <c r="Q63" s="21"/>
      <c r="S63" s="21"/>
      <c r="T63" s="27"/>
      <c r="Y63" s="21"/>
      <c r="Z63" s="16"/>
    </row>
    <row r="64" ht="12.75" spans="1:26">
      <c r="A64" s="16"/>
      <c r="B64" s="1"/>
      <c r="C64" s="15"/>
      <c r="D64" s="16"/>
      <c r="E64" s="27"/>
      <c r="F64" s="21"/>
      <c r="G64" s="27"/>
      <c r="K64" s="21"/>
      <c r="L64" s="27"/>
      <c r="Q64" s="21"/>
      <c r="S64" s="21"/>
      <c r="T64" s="27"/>
      <c r="Y64" s="21"/>
      <c r="Z64" s="16"/>
    </row>
    <row r="65" ht="12.75" spans="1:26">
      <c r="A65" s="16"/>
      <c r="B65" s="1"/>
      <c r="C65" s="15"/>
      <c r="D65" s="16"/>
      <c r="E65" s="27"/>
      <c r="F65" s="21"/>
      <c r="G65" s="27"/>
      <c r="K65" s="21"/>
      <c r="L65" s="27"/>
      <c r="Q65" s="21"/>
      <c r="S65" s="21"/>
      <c r="T65" s="27"/>
      <c r="Y65" s="21"/>
      <c r="Z65" s="16"/>
    </row>
    <row r="66" ht="12.75" spans="1:26">
      <c r="A66" s="16"/>
      <c r="B66" s="1"/>
      <c r="C66" s="15"/>
      <c r="D66" s="16"/>
      <c r="E66" s="27"/>
      <c r="F66" s="21"/>
      <c r="G66" s="27"/>
      <c r="K66" s="21"/>
      <c r="L66" s="27"/>
      <c r="Q66" s="21"/>
      <c r="S66" s="21"/>
      <c r="T66" s="27"/>
      <c r="Y66" s="21"/>
      <c r="Z66" s="16"/>
    </row>
    <row r="67" ht="12.75" spans="1:26">
      <c r="A67" s="16"/>
      <c r="B67" s="1"/>
      <c r="C67" s="15"/>
      <c r="D67" s="16"/>
      <c r="E67" s="27"/>
      <c r="F67" s="21"/>
      <c r="G67" s="27"/>
      <c r="K67" s="21"/>
      <c r="L67" s="27"/>
      <c r="Q67" s="21"/>
      <c r="S67" s="21"/>
      <c r="T67" s="27"/>
      <c r="Y67" s="21"/>
      <c r="Z67" s="16"/>
    </row>
    <row r="68" ht="12.75" spans="1:26">
      <c r="A68" s="16"/>
      <c r="B68" s="1"/>
      <c r="C68" s="15"/>
      <c r="D68" s="16"/>
      <c r="E68" s="27"/>
      <c r="F68" s="21"/>
      <c r="G68" s="27"/>
      <c r="K68" s="21"/>
      <c r="L68" s="27"/>
      <c r="Q68" s="21"/>
      <c r="S68" s="21"/>
      <c r="T68" s="27"/>
      <c r="Y68" s="21"/>
      <c r="Z68" s="16"/>
    </row>
    <row r="69" ht="12.75" spans="1:26">
      <c r="A69" s="16"/>
      <c r="B69" s="1"/>
      <c r="C69" s="15"/>
      <c r="D69" s="16"/>
      <c r="E69" s="27"/>
      <c r="F69" s="21"/>
      <c r="G69" s="27"/>
      <c r="K69" s="21"/>
      <c r="L69" s="27"/>
      <c r="Q69" s="21"/>
      <c r="S69" s="21"/>
      <c r="T69" s="27"/>
      <c r="Y69" s="21"/>
      <c r="Z69" s="16"/>
    </row>
    <row r="70" ht="12.75" spans="1:26">
      <c r="A70" s="16"/>
      <c r="B70" s="1"/>
      <c r="C70" s="15"/>
      <c r="D70" s="16"/>
      <c r="E70" s="27"/>
      <c r="F70" s="21"/>
      <c r="G70" s="27"/>
      <c r="K70" s="21"/>
      <c r="L70" s="27"/>
      <c r="Q70" s="21"/>
      <c r="S70" s="21"/>
      <c r="T70" s="27"/>
      <c r="Y70" s="21"/>
      <c r="Z70" s="16"/>
    </row>
    <row r="71" ht="12.75" spans="1:26">
      <c r="A71" s="16"/>
      <c r="B71" s="1"/>
      <c r="C71" s="15"/>
      <c r="D71" s="16"/>
      <c r="E71" s="27"/>
      <c r="F71" s="21"/>
      <c r="G71" s="27"/>
      <c r="K71" s="21"/>
      <c r="L71" s="27"/>
      <c r="Q71" s="21"/>
      <c r="S71" s="21"/>
      <c r="T71" s="27"/>
      <c r="Y71" s="21"/>
      <c r="Z71" s="16"/>
    </row>
    <row r="72" ht="12.75" spans="1:26">
      <c r="A72" s="16"/>
      <c r="B72" s="1"/>
      <c r="C72" s="15"/>
      <c r="D72" s="16"/>
      <c r="E72" s="27"/>
      <c r="F72" s="21"/>
      <c r="G72" s="27"/>
      <c r="K72" s="21"/>
      <c r="L72" s="27"/>
      <c r="Q72" s="21"/>
      <c r="S72" s="21"/>
      <c r="T72" s="27"/>
      <c r="Y72" s="21"/>
      <c r="Z72" s="16"/>
    </row>
    <row r="73" ht="12.75" spans="1:26">
      <c r="A73" s="16"/>
      <c r="B73" s="1"/>
      <c r="C73" s="15"/>
      <c r="D73" s="16"/>
      <c r="E73" s="27"/>
      <c r="F73" s="21"/>
      <c r="G73" s="27"/>
      <c r="K73" s="21"/>
      <c r="L73" s="27"/>
      <c r="Q73" s="21"/>
      <c r="S73" s="21"/>
      <c r="T73" s="27"/>
      <c r="Y73" s="21"/>
      <c r="Z73" s="16"/>
    </row>
    <row r="74" ht="12.75" spans="1:26">
      <c r="A74" s="16"/>
      <c r="B74" s="1"/>
      <c r="C74" s="15"/>
      <c r="D74" s="16"/>
      <c r="E74" s="27"/>
      <c r="F74" s="21"/>
      <c r="G74" s="27"/>
      <c r="K74" s="21"/>
      <c r="L74" s="27"/>
      <c r="Q74" s="21"/>
      <c r="S74" s="21"/>
      <c r="T74" s="27"/>
      <c r="Y74" s="21"/>
      <c r="Z74" s="16"/>
    </row>
    <row r="75" ht="12.75" spans="1:26">
      <c r="A75" s="16"/>
      <c r="B75" s="1"/>
      <c r="C75" s="15"/>
      <c r="D75" s="16"/>
      <c r="E75" s="27"/>
      <c r="F75" s="21"/>
      <c r="G75" s="27"/>
      <c r="K75" s="21"/>
      <c r="L75" s="27"/>
      <c r="Q75" s="21"/>
      <c r="S75" s="21"/>
      <c r="T75" s="27"/>
      <c r="Y75" s="21"/>
      <c r="Z75" s="16"/>
    </row>
    <row r="76" ht="12.75" spans="1:26">
      <c r="A76" s="16"/>
      <c r="B76" s="1"/>
      <c r="C76" s="15"/>
      <c r="D76" s="16"/>
      <c r="E76" s="27"/>
      <c r="F76" s="21"/>
      <c r="G76" s="27"/>
      <c r="K76" s="21"/>
      <c r="L76" s="27"/>
      <c r="Q76" s="21"/>
      <c r="S76" s="21"/>
      <c r="T76" s="27"/>
      <c r="Y76" s="21"/>
      <c r="Z76" s="16"/>
    </row>
    <row r="77" ht="12.75" spans="1:26">
      <c r="A77" s="16"/>
      <c r="B77" s="1"/>
      <c r="C77" s="15"/>
      <c r="D77" s="16"/>
      <c r="E77" s="27"/>
      <c r="F77" s="21"/>
      <c r="G77" s="27"/>
      <c r="K77" s="21"/>
      <c r="L77" s="27"/>
      <c r="Q77" s="21"/>
      <c r="S77" s="21"/>
      <c r="T77" s="27"/>
      <c r="Y77" s="21"/>
      <c r="Z77" s="16"/>
    </row>
    <row r="78" ht="12.75" spans="1:26">
      <c r="A78" s="16"/>
      <c r="B78" s="1"/>
      <c r="C78" s="15"/>
      <c r="D78" s="16"/>
      <c r="E78" s="27"/>
      <c r="F78" s="21"/>
      <c r="G78" s="27"/>
      <c r="K78" s="21"/>
      <c r="L78" s="27"/>
      <c r="Q78" s="21"/>
      <c r="S78" s="21"/>
      <c r="T78" s="27"/>
      <c r="Y78" s="21"/>
      <c r="Z78" s="16"/>
    </row>
    <row r="79" ht="12.75" spans="1:26">
      <c r="A79" s="16"/>
      <c r="B79" s="1"/>
      <c r="C79" s="15"/>
      <c r="D79" s="16"/>
      <c r="E79" s="27"/>
      <c r="F79" s="21"/>
      <c r="G79" s="27"/>
      <c r="K79" s="21"/>
      <c r="L79" s="27"/>
      <c r="Q79" s="21"/>
      <c r="S79" s="21"/>
      <c r="T79" s="27"/>
      <c r="Y79" s="21"/>
      <c r="Z79" s="16"/>
    </row>
    <row r="80" ht="12.75" spans="1:26">
      <c r="A80" s="16"/>
      <c r="B80" s="1"/>
      <c r="C80" s="15"/>
      <c r="D80" s="16"/>
      <c r="E80" s="27"/>
      <c r="F80" s="21"/>
      <c r="G80" s="27"/>
      <c r="K80" s="21"/>
      <c r="L80" s="27"/>
      <c r="Q80" s="21"/>
      <c r="S80" s="21"/>
      <c r="T80" s="27"/>
      <c r="Y80" s="21"/>
      <c r="Z80" s="16"/>
    </row>
    <row r="81" ht="12.75" spans="1:26">
      <c r="A81" s="16"/>
      <c r="B81" s="1"/>
      <c r="C81" s="15"/>
      <c r="D81" s="16"/>
      <c r="E81" s="27"/>
      <c r="F81" s="21"/>
      <c r="G81" s="27"/>
      <c r="K81" s="21"/>
      <c r="L81" s="27"/>
      <c r="Q81" s="21"/>
      <c r="S81" s="21"/>
      <c r="T81" s="27"/>
      <c r="Y81" s="21"/>
      <c r="Z81" s="16"/>
    </row>
    <row r="82" ht="12.75" spans="1:26">
      <c r="A82" s="16"/>
      <c r="B82" s="1"/>
      <c r="C82" s="15"/>
      <c r="D82" s="16"/>
      <c r="E82" s="27"/>
      <c r="F82" s="21"/>
      <c r="G82" s="27"/>
      <c r="K82" s="21"/>
      <c r="L82" s="27"/>
      <c r="Q82" s="21"/>
      <c r="S82" s="21"/>
      <c r="T82" s="27"/>
      <c r="Y82" s="21"/>
      <c r="Z82" s="16"/>
    </row>
    <row r="83" ht="12.75" spans="1:26">
      <c r="A83" s="16"/>
      <c r="B83" s="1"/>
      <c r="C83" s="15"/>
      <c r="D83" s="16"/>
      <c r="E83" s="27"/>
      <c r="F83" s="21"/>
      <c r="G83" s="27"/>
      <c r="K83" s="21"/>
      <c r="L83" s="27"/>
      <c r="Q83" s="21"/>
      <c r="S83" s="21"/>
      <c r="T83" s="27"/>
      <c r="Y83" s="21"/>
      <c r="Z83" s="16"/>
    </row>
    <row r="84" ht="12.75" spans="1:26">
      <c r="A84" s="16"/>
      <c r="B84" s="1"/>
      <c r="C84" s="15"/>
      <c r="D84" s="16"/>
      <c r="E84" s="27"/>
      <c r="F84" s="21"/>
      <c r="G84" s="27"/>
      <c r="K84" s="21"/>
      <c r="L84" s="27"/>
      <c r="Q84" s="21"/>
      <c r="S84" s="21"/>
      <c r="T84" s="27"/>
      <c r="Y84" s="21"/>
      <c r="Z84" s="16"/>
    </row>
    <row r="85" ht="12.75" spans="1:26">
      <c r="A85" s="16"/>
      <c r="B85" s="1"/>
      <c r="C85" s="15"/>
      <c r="D85" s="16"/>
      <c r="E85" s="27"/>
      <c r="F85" s="21"/>
      <c r="G85" s="27"/>
      <c r="K85" s="21"/>
      <c r="L85" s="27"/>
      <c r="Q85" s="21"/>
      <c r="S85" s="21"/>
      <c r="T85" s="27"/>
      <c r="Y85" s="21"/>
      <c r="Z85" s="16"/>
    </row>
    <row r="86" ht="12.75" spans="1:26">
      <c r="A86" s="16"/>
      <c r="B86" s="1"/>
      <c r="C86" s="15"/>
      <c r="D86" s="16"/>
      <c r="E86" s="27"/>
      <c r="F86" s="21"/>
      <c r="G86" s="27"/>
      <c r="K86" s="21"/>
      <c r="L86" s="27"/>
      <c r="Q86" s="21"/>
      <c r="S86" s="21"/>
      <c r="T86" s="27"/>
      <c r="Y86" s="21"/>
      <c r="Z86" s="16"/>
    </row>
    <row r="87" ht="12.75" spans="1:26">
      <c r="A87" s="16"/>
      <c r="B87" s="1"/>
      <c r="C87" s="15"/>
      <c r="D87" s="16"/>
      <c r="E87" s="27"/>
      <c r="F87" s="21"/>
      <c r="G87" s="27"/>
      <c r="K87" s="21"/>
      <c r="L87" s="27"/>
      <c r="Q87" s="21"/>
      <c r="S87" s="21"/>
      <c r="T87" s="27"/>
      <c r="Y87" s="21"/>
      <c r="Z87" s="16"/>
    </row>
    <row r="88" ht="12.75" spans="1:26">
      <c r="A88" s="16"/>
      <c r="B88" s="1"/>
      <c r="C88" s="15"/>
      <c r="D88" s="16"/>
      <c r="E88" s="27"/>
      <c r="F88" s="21"/>
      <c r="G88" s="27"/>
      <c r="K88" s="21"/>
      <c r="L88" s="27"/>
      <c r="Q88" s="21"/>
      <c r="S88" s="21"/>
      <c r="T88" s="27"/>
      <c r="Y88" s="21"/>
      <c r="Z88" s="16"/>
    </row>
    <row r="89" ht="12.75" spans="1:26">
      <c r="A89" s="16"/>
      <c r="B89" s="1"/>
      <c r="C89" s="15"/>
      <c r="D89" s="16"/>
      <c r="E89" s="27"/>
      <c r="F89" s="21"/>
      <c r="G89" s="27"/>
      <c r="K89" s="21"/>
      <c r="L89" s="27"/>
      <c r="Q89" s="21"/>
      <c r="S89" s="21"/>
      <c r="T89" s="27"/>
      <c r="Y89" s="21"/>
      <c r="Z89" s="16"/>
    </row>
    <row r="90" ht="12.75" spans="1:26">
      <c r="A90" s="16"/>
      <c r="B90" s="1"/>
      <c r="C90" s="15"/>
      <c r="D90" s="16"/>
      <c r="E90" s="27"/>
      <c r="F90" s="21"/>
      <c r="G90" s="27"/>
      <c r="K90" s="21"/>
      <c r="L90" s="27"/>
      <c r="Q90" s="21"/>
      <c r="S90" s="21"/>
      <c r="T90" s="27"/>
      <c r="Y90" s="21"/>
      <c r="Z90" s="16"/>
    </row>
    <row r="91" ht="12.75" spans="1:26">
      <c r="A91" s="16"/>
      <c r="B91" s="1"/>
      <c r="C91" s="15"/>
      <c r="D91" s="16"/>
      <c r="E91" s="27"/>
      <c r="F91" s="21"/>
      <c r="G91" s="27"/>
      <c r="K91" s="21"/>
      <c r="L91" s="27"/>
      <c r="Q91" s="21"/>
      <c r="S91" s="21"/>
      <c r="T91" s="27"/>
      <c r="Y91" s="21"/>
      <c r="Z91" s="16"/>
    </row>
    <row r="92" ht="12.75" spans="1:26">
      <c r="A92" s="16"/>
      <c r="B92" s="1"/>
      <c r="C92" s="15"/>
      <c r="D92" s="16"/>
      <c r="E92" s="27"/>
      <c r="F92" s="21"/>
      <c r="G92" s="27"/>
      <c r="K92" s="21"/>
      <c r="L92" s="27"/>
      <c r="Q92" s="21"/>
      <c r="S92" s="21"/>
      <c r="T92" s="27"/>
      <c r="Y92" s="21"/>
      <c r="Z92" s="16"/>
    </row>
    <row r="93" ht="12.75" spans="1:26">
      <c r="A93" s="16"/>
      <c r="B93" s="1"/>
      <c r="C93" s="15"/>
      <c r="D93" s="16"/>
      <c r="E93" s="27"/>
      <c r="F93" s="21"/>
      <c r="G93" s="27"/>
      <c r="K93" s="21"/>
      <c r="L93" s="27"/>
      <c r="Q93" s="21"/>
      <c r="S93" s="21"/>
      <c r="T93" s="27"/>
      <c r="Y93" s="21"/>
      <c r="Z93" s="16"/>
    </row>
    <row r="94" ht="12.75" spans="1:26">
      <c r="A94" s="16"/>
      <c r="B94" s="1"/>
      <c r="C94" s="15"/>
      <c r="D94" s="16"/>
      <c r="E94" s="27"/>
      <c r="F94" s="21"/>
      <c r="G94" s="27"/>
      <c r="K94" s="21"/>
      <c r="L94" s="27"/>
      <c r="Q94" s="21"/>
      <c r="S94" s="21"/>
      <c r="T94" s="27"/>
      <c r="Y94" s="21"/>
      <c r="Z94" s="16"/>
    </row>
    <row r="95" ht="12.75" spans="1:26">
      <c r="A95" s="16"/>
      <c r="B95" s="1"/>
      <c r="C95" s="15"/>
      <c r="D95" s="16"/>
      <c r="E95" s="27"/>
      <c r="F95" s="21"/>
      <c r="G95" s="27"/>
      <c r="K95" s="21"/>
      <c r="L95" s="27"/>
      <c r="Q95" s="21"/>
      <c r="S95" s="21"/>
      <c r="T95" s="27"/>
      <c r="Y95" s="21"/>
      <c r="Z95" s="16"/>
    </row>
    <row r="96" ht="12.75" spans="1:26">
      <c r="A96" s="16"/>
      <c r="B96" s="1"/>
      <c r="C96" s="15"/>
      <c r="D96" s="16"/>
      <c r="E96" s="27"/>
      <c r="F96" s="21"/>
      <c r="G96" s="27"/>
      <c r="K96" s="21"/>
      <c r="L96" s="27"/>
      <c r="Q96" s="21"/>
      <c r="S96" s="21"/>
      <c r="T96" s="27"/>
      <c r="Y96" s="21"/>
      <c r="Z96" s="16"/>
    </row>
    <row r="97" ht="12.75" spans="1:26">
      <c r="A97" s="16"/>
      <c r="B97" s="1"/>
      <c r="C97" s="15"/>
      <c r="D97" s="16"/>
      <c r="E97" s="27"/>
      <c r="F97" s="21"/>
      <c r="G97" s="27"/>
      <c r="K97" s="21"/>
      <c r="L97" s="27"/>
      <c r="Q97" s="21"/>
      <c r="S97" s="21"/>
      <c r="T97" s="27"/>
      <c r="Y97" s="21"/>
      <c r="Z97" s="16"/>
    </row>
    <row r="98" ht="12.75" spans="1:26">
      <c r="A98" s="16"/>
      <c r="B98" s="1"/>
      <c r="C98" s="15"/>
      <c r="D98" s="16"/>
      <c r="E98" s="27"/>
      <c r="F98" s="21"/>
      <c r="G98" s="27"/>
      <c r="K98" s="21"/>
      <c r="L98" s="27"/>
      <c r="Q98" s="21"/>
      <c r="S98" s="21"/>
      <c r="T98" s="27"/>
      <c r="Y98" s="21"/>
      <c r="Z98" s="16"/>
    </row>
    <row r="99" ht="12.75" spans="1:26">
      <c r="A99" s="16"/>
      <c r="B99" s="1"/>
      <c r="C99" s="15"/>
      <c r="D99" s="16"/>
      <c r="E99" s="27"/>
      <c r="F99" s="21"/>
      <c r="G99" s="27"/>
      <c r="K99" s="21"/>
      <c r="L99" s="27"/>
      <c r="Q99" s="21"/>
      <c r="S99" s="21"/>
      <c r="T99" s="27"/>
      <c r="Y99" s="21"/>
      <c r="Z99" s="16"/>
    </row>
    <row r="100" ht="12.75" spans="1:26">
      <c r="A100" s="16"/>
      <c r="B100" s="1"/>
      <c r="C100" s="15"/>
      <c r="D100" s="16"/>
      <c r="E100" s="27"/>
      <c r="F100" s="21"/>
      <c r="G100" s="27"/>
      <c r="K100" s="21"/>
      <c r="L100" s="27"/>
      <c r="Q100" s="21"/>
      <c r="S100" s="21"/>
      <c r="T100" s="27"/>
      <c r="Y100" s="21"/>
      <c r="Z100" s="16"/>
    </row>
    <row r="101" ht="12.75" spans="1:26">
      <c r="A101" s="16"/>
      <c r="B101" s="1"/>
      <c r="C101" s="15"/>
      <c r="D101" s="16"/>
      <c r="E101" s="27"/>
      <c r="F101" s="21"/>
      <c r="G101" s="27"/>
      <c r="K101" s="21"/>
      <c r="L101" s="27"/>
      <c r="Q101" s="21"/>
      <c r="S101" s="21"/>
      <c r="T101" s="27"/>
      <c r="Y101" s="21"/>
      <c r="Z101" s="16"/>
    </row>
    <row r="102" ht="12.75" spans="1:26">
      <c r="A102" s="16"/>
      <c r="B102" s="1"/>
      <c r="C102" s="15"/>
      <c r="D102" s="16"/>
      <c r="E102" s="27"/>
      <c r="F102" s="21"/>
      <c r="G102" s="27"/>
      <c r="K102" s="21"/>
      <c r="L102" s="27"/>
      <c r="Q102" s="21"/>
      <c r="S102" s="21"/>
      <c r="T102" s="27"/>
      <c r="Y102" s="21"/>
      <c r="Z102" s="16"/>
    </row>
    <row r="103" ht="12.75" spans="1:26">
      <c r="A103" s="16"/>
      <c r="B103" s="1"/>
      <c r="C103" s="15"/>
      <c r="D103" s="16"/>
      <c r="E103" s="27"/>
      <c r="F103" s="21"/>
      <c r="G103" s="27"/>
      <c r="K103" s="21"/>
      <c r="L103" s="27"/>
      <c r="Q103" s="21"/>
      <c r="S103" s="21"/>
      <c r="T103" s="27"/>
      <c r="Y103" s="21"/>
      <c r="Z103" s="16"/>
    </row>
    <row r="104" ht="12.75" spans="1:26">
      <c r="A104" s="16"/>
      <c r="B104" s="1"/>
      <c r="C104" s="15"/>
      <c r="D104" s="16"/>
      <c r="E104" s="27"/>
      <c r="F104" s="21"/>
      <c r="G104" s="27"/>
      <c r="K104" s="21"/>
      <c r="L104" s="27"/>
      <c r="Q104" s="21"/>
      <c r="S104" s="21"/>
      <c r="T104" s="27"/>
      <c r="Y104" s="21"/>
      <c r="Z104" s="16"/>
    </row>
    <row r="105" ht="12.75" spans="1:26">
      <c r="A105" s="16"/>
      <c r="B105" s="1"/>
      <c r="C105" s="15"/>
      <c r="D105" s="16"/>
      <c r="E105" s="27"/>
      <c r="F105" s="21"/>
      <c r="G105" s="27"/>
      <c r="K105" s="21"/>
      <c r="L105" s="27"/>
      <c r="Q105" s="21"/>
      <c r="S105" s="21"/>
      <c r="T105" s="27"/>
      <c r="Y105" s="21"/>
      <c r="Z105" s="16"/>
    </row>
    <row r="106" ht="12.75" spans="1:26">
      <c r="A106" s="16"/>
      <c r="B106" s="1"/>
      <c r="C106" s="15"/>
      <c r="D106" s="16"/>
      <c r="E106" s="27"/>
      <c r="F106" s="21"/>
      <c r="G106" s="27"/>
      <c r="K106" s="21"/>
      <c r="L106" s="27"/>
      <c r="Q106" s="21"/>
      <c r="S106" s="21"/>
      <c r="T106" s="27"/>
      <c r="Y106" s="21"/>
      <c r="Z106" s="16"/>
    </row>
    <row r="107" ht="12.75" spans="1:26">
      <c r="A107" s="16"/>
      <c r="B107" s="1"/>
      <c r="C107" s="15"/>
      <c r="D107" s="16"/>
      <c r="E107" s="27"/>
      <c r="F107" s="21"/>
      <c r="G107" s="27"/>
      <c r="K107" s="21"/>
      <c r="L107" s="27"/>
      <c r="Q107" s="21"/>
      <c r="S107" s="21"/>
      <c r="T107" s="27"/>
      <c r="Y107" s="21"/>
      <c r="Z107" s="16"/>
    </row>
    <row r="108" ht="12.75" spans="1:26">
      <c r="A108" s="16"/>
      <c r="B108" s="1"/>
      <c r="C108" s="15"/>
      <c r="D108" s="16"/>
      <c r="E108" s="27"/>
      <c r="F108" s="21"/>
      <c r="G108" s="27"/>
      <c r="K108" s="21"/>
      <c r="L108" s="27"/>
      <c r="Q108" s="21"/>
      <c r="S108" s="21"/>
      <c r="T108" s="27"/>
      <c r="Y108" s="21"/>
      <c r="Z108" s="16"/>
    </row>
    <row r="109" ht="12.75" spans="1:26">
      <c r="A109" s="16"/>
      <c r="B109" s="1"/>
      <c r="C109" s="15"/>
      <c r="D109" s="16"/>
      <c r="E109" s="27"/>
      <c r="F109" s="21"/>
      <c r="G109" s="27"/>
      <c r="K109" s="21"/>
      <c r="L109" s="27"/>
      <c r="Q109" s="21"/>
      <c r="S109" s="21"/>
      <c r="T109" s="27"/>
      <c r="Y109" s="21"/>
      <c r="Z109" s="16"/>
    </row>
    <row r="110" ht="12.75" spans="1:26">
      <c r="A110" s="16"/>
      <c r="B110" s="1"/>
      <c r="C110" s="15"/>
      <c r="D110" s="16"/>
      <c r="E110" s="27"/>
      <c r="F110" s="21"/>
      <c r="G110" s="27"/>
      <c r="K110" s="21"/>
      <c r="L110" s="27"/>
      <c r="Q110" s="21"/>
      <c r="S110" s="21"/>
      <c r="T110" s="27"/>
      <c r="Y110" s="21"/>
      <c r="Z110" s="16"/>
    </row>
    <row r="111" ht="12.75" spans="1:26">
      <c r="A111" s="16"/>
      <c r="B111" s="1"/>
      <c r="C111" s="15"/>
      <c r="D111" s="16"/>
      <c r="E111" s="27"/>
      <c r="F111" s="21"/>
      <c r="G111" s="27"/>
      <c r="K111" s="21"/>
      <c r="L111" s="27"/>
      <c r="Q111" s="21"/>
      <c r="S111" s="21"/>
      <c r="T111" s="27"/>
      <c r="Y111" s="21"/>
      <c r="Z111" s="16"/>
    </row>
    <row r="112" ht="12.75" spans="1:26">
      <c r="A112" s="16"/>
      <c r="B112" s="1"/>
      <c r="C112" s="15"/>
      <c r="D112" s="16"/>
      <c r="E112" s="27"/>
      <c r="F112" s="21"/>
      <c r="G112" s="27"/>
      <c r="K112" s="21"/>
      <c r="L112" s="27"/>
      <c r="Q112" s="21"/>
      <c r="S112" s="21"/>
      <c r="T112" s="27"/>
      <c r="Y112" s="21"/>
      <c r="Z112" s="16"/>
    </row>
    <row r="113" ht="12.75" spans="1:26">
      <c r="A113" s="16"/>
      <c r="B113" s="1"/>
      <c r="C113" s="15"/>
      <c r="D113" s="16"/>
      <c r="E113" s="27"/>
      <c r="F113" s="21"/>
      <c r="G113" s="27"/>
      <c r="K113" s="21"/>
      <c r="L113" s="27"/>
      <c r="Q113" s="21"/>
      <c r="S113" s="21"/>
      <c r="T113" s="27"/>
      <c r="Y113" s="21"/>
      <c r="Z113" s="16"/>
    </row>
    <row r="114" ht="12.75" spans="1:26">
      <c r="A114" s="16"/>
      <c r="B114" s="1"/>
      <c r="C114" s="15"/>
      <c r="D114" s="16"/>
      <c r="E114" s="27"/>
      <c r="F114" s="21"/>
      <c r="G114" s="27"/>
      <c r="K114" s="21"/>
      <c r="L114" s="27"/>
      <c r="Q114" s="21"/>
      <c r="S114" s="21"/>
      <c r="T114" s="27"/>
      <c r="Y114" s="21"/>
      <c r="Z114" s="16"/>
    </row>
    <row r="115" ht="12.75" spans="1:26">
      <c r="A115" s="16"/>
      <c r="B115" s="1"/>
      <c r="C115" s="15"/>
      <c r="D115" s="16"/>
      <c r="E115" s="27"/>
      <c r="F115" s="21"/>
      <c r="G115" s="27"/>
      <c r="K115" s="21"/>
      <c r="L115" s="27"/>
      <c r="Q115" s="21"/>
      <c r="S115" s="21"/>
      <c r="T115" s="27"/>
      <c r="Y115" s="21"/>
      <c r="Z115" s="16"/>
    </row>
    <row r="116" ht="12.75" spans="1:26">
      <c r="A116" s="16"/>
      <c r="B116" s="1"/>
      <c r="C116" s="15"/>
      <c r="D116" s="16"/>
      <c r="E116" s="27"/>
      <c r="F116" s="21"/>
      <c r="G116" s="27"/>
      <c r="K116" s="21"/>
      <c r="L116" s="27"/>
      <c r="Q116" s="21"/>
      <c r="S116" s="21"/>
      <c r="T116" s="27"/>
      <c r="Y116" s="21"/>
      <c r="Z116" s="16"/>
    </row>
    <row r="117" ht="12.75" spans="1:26">
      <c r="A117" s="16"/>
      <c r="B117" s="1"/>
      <c r="C117" s="15"/>
      <c r="D117" s="16"/>
      <c r="E117" s="27"/>
      <c r="F117" s="21"/>
      <c r="G117" s="27"/>
      <c r="K117" s="21"/>
      <c r="L117" s="27"/>
      <c r="Q117" s="21"/>
      <c r="S117" s="21"/>
      <c r="T117" s="27"/>
      <c r="Y117" s="21"/>
      <c r="Z117" s="16"/>
    </row>
    <row r="118" ht="12.75" spans="1:26">
      <c r="A118" s="16"/>
      <c r="B118" s="1"/>
      <c r="C118" s="15"/>
      <c r="D118" s="16"/>
      <c r="E118" s="27"/>
      <c r="F118" s="21"/>
      <c r="G118" s="27"/>
      <c r="K118" s="21"/>
      <c r="L118" s="27"/>
      <c r="Q118" s="21"/>
      <c r="S118" s="21"/>
      <c r="T118" s="27"/>
      <c r="Y118" s="21"/>
      <c r="Z118" s="16"/>
    </row>
    <row r="119" ht="12.75" spans="1:26">
      <c r="A119" s="16"/>
      <c r="B119" s="1"/>
      <c r="C119" s="15"/>
      <c r="D119" s="16"/>
      <c r="E119" s="27"/>
      <c r="F119" s="21"/>
      <c r="G119" s="27"/>
      <c r="K119" s="21"/>
      <c r="L119" s="27"/>
      <c r="Q119" s="21"/>
      <c r="S119" s="21"/>
      <c r="T119" s="27"/>
      <c r="Y119" s="21"/>
      <c r="Z119" s="16"/>
    </row>
    <row r="120" ht="12.75" spans="1:26">
      <c r="A120" s="16"/>
      <c r="B120" s="1"/>
      <c r="C120" s="15"/>
      <c r="D120" s="16"/>
      <c r="E120" s="27"/>
      <c r="F120" s="21"/>
      <c r="G120" s="27"/>
      <c r="K120" s="21"/>
      <c r="L120" s="27"/>
      <c r="Q120" s="21"/>
      <c r="S120" s="21"/>
      <c r="T120" s="27"/>
      <c r="Y120" s="21"/>
      <c r="Z120" s="16"/>
    </row>
    <row r="121" ht="12.75" spans="1:26">
      <c r="A121" s="16"/>
      <c r="B121" s="1"/>
      <c r="C121" s="15"/>
      <c r="D121" s="16"/>
      <c r="E121" s="27"/>
      <c r="F121" s="21"/>
      <c r="G121" s="27"/>
      <c r="K121" s="21"/>
      <c r="L121" s="27"/>
      <c r="Q121" s="21"/>
      <c r="S121" s="21"/>
      <c r="T121" s="27"/>
      <c r="Y121" s="21"/>
      <c r="Z121" s="16"/>
    </row>
    <row r="122" ht="12.75" spans="1:26">
      <c r="A122" s="16"/>
      <c r="B122" s="1"/>
      <c r="C122" s="15"/>
      <c r="D122" s="16"/>
      <c r="E122" s="27"/>
      <c r="F122" s="21"/>
      <c r="G122" s="27"/>
      <c r="K122" s="21"/>
      <c r="L122" s="27"/>
      <c r="Q122" s="21"/>
      <c r="S122" s="21"/>
      <c r="T122" s="27"/>
      <c r="Y122" s="21"/>
      <c r="Z122" s="16"/>
    </row>
    <row r="123" ht="12.75" spans="1:26">
      <c r="A123" s="16"/>
      <c r="B123" s="1"/>
      <c r="C123" s="15"/>
      <c r="D123" s="16"/>
      <c r="E123" s="27"/>
      <c r="F123" s="21"/>
      <c r="G123" s="27"/>
      <c r="K123" s="21"/>
      <c r="L123" s="27"/>
      <c r="Q123" s="21"/>
      <c r="S123" s="21"/>
      <c r="T123" s="27"/>
      <c r="Y123" s="21"/>
      <c r="Z123" s="16"/>
    </row>
    <row r="124" ht="12.75" spans="1:26">
      <c r="A124" s="16"/>
      <c r="B124" s="1"/>
      <c r="C124" s="15"/>
      <c r="D124" s="16"/>
      <c r="E124" s="27"/>
      <c r="F124" s="21"/>
      <c r="G124" s="27"/>
      <c r="K124" s="21"/>
      <c r="L124" s="27"/>
      <c r="Q124" s="21"/>
      <c r="S124" s="21"/>
      <c r="T124" s="27"/>
      <c r="Y124" s="21"/>
      <c r="Z124" s="16"/>
    </row>
    <row r="125" ht="12.75" spans="1:26">
      <c r="A125" s="16"/>
      <c r="B125" s="1"/>
      <c r="C125" s="15"/>
      <c r="D125" s="16"/>
      <c r="E125" s="27"/>
      <c r="F125" s="21"/>
      <c r="G125" s="27"/>
      <c r="K125" s="21"/>
      <c r="L125" s="27"/>
      <c r="Q125" s="21"/>
      <c r="S125" s="21"/>
      <c r="T125" s="27"/>
      <c r="Y125" s="21"/>
      <c r="Z125" s="16"/>
    </row>
    <row r="126" ht="12.75" spans="1:26">
      <c r="A126" s="16"/>
      <c r="B126" s="1"/>
      <c r="C126" s="15"/>
      <c r="D126" s="16"/>
      <c r="E126" s="27"/>
      <c r="F126" s="21"/>
      <c r="G126" s="27"/>
      <c r="K126" s="21"/>
      <c r="L126" s="27"/>
      <c r="Q126" s="21"/>
      <c r="S126" s="21"/>
      <c r="T126" s="27"/>
      <c r="Y126" s="21"/>
      <c r="Z126" s="16"/>
    </row>
    <row r="127" ht="12.75" spans="1:26">
      <c r="A127" s="16"/>
      <c r="B127" s="1"/>
      <c r="C127" s="15"/>
      <c r="D127" s="16"/>
      <c r="E127" s="27"/>
      <c r="F127" s="21"/>
      <c r="G127" s="27"/>
      <c r="K127" s="21"/>
      <c r="L127" s="27"/>
      <c r="Q127" s="21"/>
      <c r="S127" s="21"/>
      <c r="T127" s="27"/>
      <c r="Y127" s="21"/>
      <c r="Z127" s="16"/>
    </row>
    <row r="128" ht="12.75" spans="1:26">
      <c r="A128" s="16"/>
      <c r="B128" s="1"/>
      <c r="C128" s="15"/>
      <c r="D128" s="16"/>
      <c r="E128" s="27"/>
      <c r="F128" s="21"/>
      <c r="G128" s="27"/>
      <c r="K128" s="21"/>
      <c r="L128" s="27"/>
      <c r="Q128" s="21"/>
      <c r="S128" s="21"/>
      <c r="T128" s="27"/>
      <c r="Y128" s="21"/>
      <c r="Z128" s="16"/>
    </row>
    <row r="129" ht="12.75" spans="1:26">
      <c r="A129" s="16"/>
      <c r="B129" s="1"/>
      <c r="C129" s="15"/>
      <c r="D129" s="16"/>
      <c r="E129" s="27"/>
      <c r="F129" s="21"/>
      <c r="G129" s="27"/>
      <c r="K129" s="21"/>
      <c r="L129" s="27"/>
      <c r="Q129" s="21"/>
      <c r="S129" s="21"/>
      <c r="T129" s="27"/>
      <c r="Y129" s="21"/>
      <c r="Z129" s="16"/>
    </row>
    <row r="130" ht="12.75" spans="1:26">
      <c r="A130" s="16"/>
      <c r="B130" s="1"/>
      <c r="C130" s="15"/>
      <c r="D130" s="16"/>
      <c r="E130" s="27"/>
      <c r="F130" s="21"/>
      <c r="G130" s="27"/>
      <c r="K130" s="21"/>
      <c r="L130" s="27"/>
      <c r="Q130" s="21"/>
      <c r="S130" s="21"/>
      <c r="T130" s="27"/>
      <c r="Y130" s="21"/>
      <c r="Z130" s="16"/>
    </row>
    <row r="131" ht="12.75" spans="1:26">
      <c r="A131" s="16"/>
      <c r="B131" s="1"/>
      <c r="C131" s="15"/>
      <c r="D131" s="16"/>
      <c r="E131" s="27"/>
      <c r="F131" s="21"/>
      <c r="G131" s="27"/>
      <c r="K131" s="21"/>
      <c r="L131" s="27"/>
      <c r="Q131" s="21"/>
      <c r="S131" s="21"/>
      <c r="T131" s="27"/>
      <c r="Y131" s="21"/>
      <c r="Z131" s="16"/>
    </row>
    <row r="132" ht="12.75" spans="1:26">
      <c r="A132" s="16"/>
      <c r="B132" s="1"/>
      <c r="C132" s="15"/>
      <c r="D132" s="16"/>
      <c r="E132" s="27"/>
      <c r="F132" s="21"/>
      <c r="G132" s="27"/>
      <c r="K132" s="21"/>
      <c r="L132" s="27"/>
      <c r="Q132" s="21"/>
      <c r="S132" s="21"/>
      <c r="T132" s="27"/>
      <c r="Y132" s="21"/>
      <c r="Z132" s="16"/>
    </row>
    <row r="133" ht="12.75" spans="1:26">
      <c r="A133" s="16"/>
      <c r="B133" s="1"/>
      <c r="C133" s="15"/>
      <c r="D133" s="16"/>
      <c r="E133" s="27"/>
      <c r="F133" s="21"/>
      <c r="G133" s="27"/>
      <c r="K133" s="21"/>
      <c r="L133" s="27"/>
      <c r="Q133" s="21"/>
      <c r="S133" s="21"/>
      <c r="T133" s="27"/>
      <c r="Y133" s="21"/>
      <c r="Z133" s="16"/>
    </row>
    <row r="134" ht="12.75" spans="1:26">
      <c r="A134" s="16"/>
      <c r="B134" s="1"/>
      <c r="C134" s="15"/>
      <c r="D134" s="16"/>
      <c r="E134" s="27"/>
      <c r="F134" s="21"/>
      <c r="G134" s="27"/>
      <c r="K134" s="21"/>
      <c r="L134" s="27"/>
      <c r="Q134" s="21"/>
      <c r="S134" s="21"/>
      <c r="T134" s="27"/>
      <c r="Y134" s="21"/>
      <c r="Z134" s="16"/>
    </row>
    <row r="135" ht="12.75" spans="1:26">
      <c r="A135" s="16"/>
      <c r="B135" s="1"/>
      <c r="C135" s="15"/>
      <c r="D135" s="16"/>
      <c r="E135" s="27"/>
      <c r="F135" s="21"/>
      <c r="G135" s="27"/>
      <c r="K135" s="21"/>
      <c r="L135" s="27"/>
      <c r="Q135" s="21"/>
      <c r="S135" s="21"/>
      <c r="T135" s="27"/>
      <c r="Y135" s="21"/>
      <c r="Z135" s="16"/>
    </row>
    <row r="136" ht="12.75" spans="1:26">
      <c r="A136" s="16"/>
      <c r="B136" s="1"/>
      <c r="C136" s="15"/>
      <c r="D136" s="16"/>
      <c r="E136" s="27"/>
      <c r="F136" s="21"/>
      <c r="G136" s="27"/>
      <c r="K136" s="21"/>
      <c r="L136" s="27"/>
      <c r="Q136" s="21"/>
      <c r="S136" s="21"/>
      <c r="T136" s="27"/>
      <c r="Y136" s="21"/>
      <c r="Z136" s="16"/>
    </row>
    <row r="137" ht="12.75" spans="1:26">
      <c r="A137" s="16"/>
      <c r="B137" s="1"/>
      <c r="C137" s="15"/>
      <c r="D137" s="16"/>
      <c r="E137" s="27"/>
      <c r="F137" s="21"/>
      <c r="G137" s="27"/>
      <c r="K137" s="21"/>
      <c r="L137" s="27"/>
      <c r="Q137" s="21"/>
      <c r="S137" s="21"/>
      <c r="T137" s="27"/>
      <c r="Y137" s="21"/>
      <c r="Z137" s="16"/>
    </row>
    <row r="138" ht="12.75" spans="1:26">
      <c r="A138" s="16"/>
      <c r="B138" s="1"/>
      <c r="C138" s="15"/>
      <c r="D138" s="16"/>
      <c r="E138" s="27"/>
      <c r="F138" s="21"/>
      <c r="G138" s="27"/>
      <c r="K138" s="21"/>
      <c r="L138" s="27"/>
      <c r="Q138" s="21"/>
      <c r="S138" s="21"/>
      <c r="T138" s="27"/>
      <c r="Y138" s="21"/>
      <c r="Z138" s="16"/>
    </row>
    <row r="139" ht="12.75" spans="1:26">
      <c r="A139" s="16"/>
      <c r="B139" s="1"/>
      <c r="C139" s="15"/>
      <c r="D139" s="16"/>
      <c r="E139" s="27"/>
      <c r="F139" s="21"/>
      <c r="G139" s="27"/>
      <c r="K139" s="21"/>
      <c r="L139" s="27"/>
      <c r="Q139" s="21"/>
      <c r="S139" s="21"/>
      <c r="T139" s="27"/>
      <c r="Y139" s="21"/>
      <c r="Z139" s="16"/>
    </row>
    <row r="140" ht="12.75" spans="1:26">
      <c r="A140" s="16"/>
      <c r="B140" s="1"/>
      <c r="C140" s="15"/>
      <c r="D140" s="16"/>
      <c r="E140" s="27"/>
      <c r="F140" s="21"/>
      <c r="G140" s="27"/>
      <c r="K140" s="21"/>
      <c r="L140" s="27"/>
      <c r="Q140" s="21"/>
      <c r="S140" s="21"/>
      <c r="T140" s="27"/>
      <c r="Y140" s="21"/>
      <c r="Z140" s="16"/>
    </row>
    <row r="141" ht="12.75" spans="1:26">
      <c r="A141" s="16"/>
      <c r="B141" s="1"/>
      <c r="C141" s="15"/>
      <c r="D141" s="16"/>
      <c r="E141" s="27"/>
      <c r="F141" s="21"/>
      <c r="G141" s="27"/>
      <c r="K141" s="21"/>
      <c r="L141" s="27"/>
      <c r="Q141" s="21"/>
      <c r="S141" s="21"/>
      <c r="T141" s="27"/>
      <c r="Y141" s="21"/>
      <c r="Z141" s="16"/>
    </row>
    <row r="142" ht="12.75" spans="1:26">
      <c r="A142" s="16"/>
      <c r="B142" s="1"/>
      <c r="C142" s="15"/>
      <c r="D142" s="16"/>
      <c r="E142" s="27"/>
      <c r="F142" s="21"/>
      <c r="G142" s="27"/>
      <c r="K142" s="21"/>
      <c r="L142" s="27"/>
      <c r="Q142" s="21"/>
      <c r="S142" s="21"/>
      <c r="T142" s="27"/>
      <c r="Y142" s="21"/>
      <c r="Z142" s="16"/>
    </row>
    <row r="143" ht="12.75" spans="1:26">
      <c r="A143" s="16"/>
      <c r="B143" s="1"/>
      <c r="C143" s="15"/>
      <c r="D143" s="16"/>
      <c r="E143" s="27"/>
      <c r="F143" s="21"/>
      <c r="G143" s="27"/>
      <c r="K143" s="21"/>
      <c r="L143" s="27"/>
      <c r="Q143" s="21"/>
      <c r="S143" s="21"/>
      <c r="T143" s="27"/>
      <c r="Y143" s="21"/>
      <c r="Z143" s="16"/>
    </row>
    <row r="144" ht="12.75" spans="1:26">
      <c r="A144" s="16"/>
      <c r="B144" s="1"/>
      <c r="C144" s="15"/>
      <c r="D144" s="16"/>
      <c r="E144" s="27"/>
      <c r="F144" s="21"/>
      <c r="G144" s="27"/>
      <c r="K144" s="21"/>
      <c r="L144" s="27"/>
      <c r="Q144" s="21"/>
      <c r="S144" s="21"/>
      <c r="T144" s="27"/>
      <c r="Y144" s="21"/>
      <c r="Z144" s="16"/>
    </row>
    <row r="145" ht="12.75" spans="1:26">
      <c r="A145" s="16"/>
      <c r="B145" s="1"/>
      <c r="C145" s="15"/>
      <c r="D145" s="16"/>
      <c r="E145" s="27"/>
      <c r="F145" s="21"/>
      <c r="G145" s="27"/>
      <c r="K145" s="21"/>
      <c r="L145" s="27"/>
      <c r="Q145" s="21"/>
      <c r="S145" s="21"/>
      <c r="T145" s="27"/>
      <c r="Y145" s="21"/>
      <c r="Z145" s="16"/>
    </row>
    <row r="146" ht="12.75" spans="1:26">
      <c r="A146" s="16"/>
      <c r="B146" s="1"/>
      <c r="C146" s="15"/>
      <c r="D146" s="16"/>
      <c r="E146" s="27"/>
      <c r="F146" s="21"/>
      <c r="G146" s="27"/>
      <c r="K146" s="21"/>
      <c r="L146" s="27"/>
      <c r="Q146" s="21"/>
      <c r="S146" s="21"/>
      <c r="T146" s="27"/>
      <c r="Y146" s="21"/>
      <c r="Z146" s="16"/>
    </row>
    <row r="147" ht="12.75" spans="1:26">
      <c r="A147" s="16"/>
      <c r="B147" s="1"/>
      <c r="C147" s="15"/>
      <c r="D147" s="16"/>
      <c r="E147" s="27"/>
      <c r="F147" s="21"/>
      <c r="G147" s="27"/>
      <c r="K147" s="21"/>
      <c r="L147" s="27"/>
      <c r="Q147" s="21"/>
      <c r="S147" s="21"/>
      <c r="T147" s="27"/>
      <c r="Y147" s="21"/>
      <c r="Z147" s="16"/>
    </row>
    <row r="148" ht="12.75" spans="1:26">
      <c r="A148" s="16"/>
      <c r="B148" s="1"/>
      <c r="C148" s="15"/>
      <c r="D148" s="16"/>
      <c r="E148" s="27"/>
      <c r="F148" s="21"/>
      <c r="G148" s="27"/>
      <c r="K148" s="21"/>
      <c r="L148" s="27"/>
      <c r="Q148" s="21"/>
      <c r="S148" s="21"/>
      <c r="T148" s="27"/>
      <c r="Y148" s="21"/>
      <c r="Z148" s="16"/>
    </row>
    <row r="149" ht="12.75" spans="1:26">
      <c r="A149" s="16"/>
      <c r="B149" s="1"/>
      <c r="C149" s="15"/>
      <c r="D149" s="16"/>
      <c r="E149" s="27"/>
      <c r="F149" s="21"/>
      <c r="G149" s="27"/>
      <c r="K149" s="21"/>
      <c r="L149" s="27"/>
      <c r="Q149" s="21"/>
      <c r="S149" s="21"/>
      <c r="T149" s="27"/>
      <c r="Y149" s="21"/>
      <c r="Z149" s="16"/>
    </row>
    <row r="150" ht="12.75" spans="1:26">
      <c r="A150" s="16"/>
      <c r="B150" s="1"/>
      <c r="C150" s="15"/>
      <c r="D150" s="16"/>
      <c r="E150" s="27"/>
      <c r="F150" s="21"/>
      <c r="G150" s="27"/>
      <c r="K150" s="21"/>
      <c r="L150" s="27"/>
      <c r="Q150" s="21"/>
      <c r="S150" s="21"/>
      <c r="T150" s="27"/>
      <c r="Y150" s="21"/>
      <c r="Z150" s="16"/>
    </row>
    <row r="151" ht="12.75" spans="1:26">
      <c r="A151" s="16"/>
      <c r="B151" s="1"/>
      <c r="C151" s="15"/>
      <c r="D151" s="16"/>
      <c r="E151" s="27"/>
      <c r="F151" s="21"/>
      <c r="G151" s="27"/>
      <c r="K151" s="21"/>
      <c r="L151" s="27"/>
      <c r="Q151" s="21"/>
      <c r="S151" s="21"/>
      <c r="T151" s="27"/>
      <c r="Y151" s="21"/>
      <c r="Z151" s="16"/>
    </row>
    <row r="152" ht="12.75" spans="1:26">
      <c r="A152" s="16"/>
      <c r="B152" s="1"/>
      <c r="C152" s="15"/>
      <c r="D152" s="16"/>
      <c r="E152" s="27"/>
      <c r="F152" s="21"/>
      <c r="G152" s="27"/>
      <c r="K152" s="21"/>
      <c r="L152" s="27"/>
      <c r="Q152" s="21"/>
      <c r="S152" s="21"/>
      <c r="T152" s="27"/>
      <c r="Y152" s="21"/>
      <c r="Z152" s="16"/>
    </row>
    <row r="153" ht="12.75" spans="1:26">
      <c r="A153" s="16"/>
      <c r="B153" s="1"/>
      <c r="C153" s="15"/>
      <c r="D153" s="16"/>
      <c r="E153" s="27"/>
      <c r="F153" s="21"/>
      <c r="G153" s="27"/>
      <c r="K153" s="21"/>
      <c r="L153" s="27"/>
      <c r="Q153" s="21"/>
      <c r="S153" s="21"/>
      <c r="T153" s="27"/>
      <c r="Y153" s="21"/>
      <c r="Z153" s="16"/>
    </row>
    <row r="154" ht="12.75" spans="1:26">
      <c r="A154" s="16"/>
      <c r="B154" s="1"/>
      <c r="C154" s="15"/>
      <c r="D154" s="16"/>
      <c r="E154" s="27"/>
      <c r="F154" s="21"/>
      <c r="G154" s="27"/>
      <c r="K154" s="21"/>
      <c r="L154" s="27"/>
      <c r="Q154" s="21"/>
      <c r="S154" s="21"/>
      <c r="T154" s="27"/>
      <c r="Y154" s="21"/>
      <c r="Z154" s="16"/>
    </row>
    <row r="155" ht="12.75" spans="1:26">
      <c r="A155" s="16"/>
      <c r="B155" s="1"/>
      <c r="C155" s="15"/>
      <c r="D155" s="16"/>
      <c r="E155" s="27"/>
      <c r="F155" s="21"/>
      <c r="G155" s="27"/>
      <c r="K155" s="21"/>
      <c r="L155" s="27"/>
      <c r="Q155" s="21"/>
      <c r="S155" s="21"/>
      <c r="T155" s="27"/>
      <c r="Y155" s="21"/>
      <c r="Z155" s="16"/>
    </row>
    <row r="156" ht="12.75" spans="1:26">
      <c r="A156" s="16"/>
      <c r="B156" s="1"/>
      <c r="C156" s="15"/>
      <c r="D156" s="16"/>
      <c r="E156" s="27"/>
      <c r="F156" s="21"/>
      <c r="G156" s="27"/>
      <c r="K156" s="21"/>
      <c r="L156" s="27"/>
      <c r="Q156" s="21"/>
      <c r="S156" s="21"/>
      <c r="T156" s="27"/>
      <c r="Y156" s="21"/>
      <c r="Z156" s="16"/>
    </row>
    <row r="157" ht="12.75" spans="1:26">
      <c r="A157" s="16"/>
      <c r="B157" s="1"/>
      <c r="C157" s="15"/>
      <c r="D157" s="16"/>
      <c r="E157" s="27"/>
      <c r="F157" s="21"/>
      <c r="G157" s="27"/>
      <c r="K157" s="21"/>
      <c r="L157" s="27"/>
      <c r="Q157" s="21"/>
      <c r="S157" s="21"/>
      <c r="T157" s="27"/>
      <c r="Y157" s="21"/>
      <c r="Z157" s="16"/>
    </row>
    <row r="158" ht="12.75" spans="1:26">
      <c r="A158" s="16"/>
      <c r="B158" s="1"/>
      <c r="C158" s="15"/>
      <c r="D158" s="16"/>
      <c r="E158" s="27"/>
      <c r="F158" s="21"/>
      <c r="G158" s="27"/>
      <c r="K158" s="21"/>
      <c r="L158" s="27"/>
      <c r="Q158" s="21"/>
      <c r="S158" s="21"/>
      <c r="T158" s="27"/>
      <c r="Y158" s="21"/>
      <c r="Z158" s="16"/>
    </row>
    <row r="159" ht="12.75" spans="1:26">
      <c r="A159" s="16"/>
      <c r="B159" s="1"/>
      <c r="C159" s="15"/>
      <c r="D159" s="16"/>
      <c r="E159" s="27"/>
      <c r="F159" s="21"/>
      <c r="G159" s="27"/>
      <c r="K159" s="21"/>
      <c r="L159" s="27"/>
      <c r="Q159" s="21"/>
      <c r="S159" s="21"/>
      <c r="T159" s="27"/>
      <c r="Y159" s="21"/>
      <c r="Z159" s="16"/>
    </row>
    <row r="160" ht="12.75" spans="1:26">
      <c r="A160" s="16"/>
      <c r="B160" s="1"/>
      <c r="C160" s="15"/>
      <c r="D160" s="16"/>
      <c r="E160" s="27"/>
      <c r="F160" s="21"/>
      <c r="G160" s="27"/>
      <c r="K160" s="21"/>
      <c r="L160" s="27"/>
      <c r="Q160" s="21"/>
      <c r="S160" s="21"/>
      <c r="T160" s="27"/>
      <c r="Y160" s="21"/>
      <c r="Z160" s="16"/>
    </row>
    <row r="161" ht="12.75" spans="1:26">
      <c r="A161" s="16"/>
      <c r="B161" s="1"/>
      <c r="C161" s="15"/>
      <c r="D161" s="16"/>
      <c r="E161" s="27"/>
      <c r="F161" s="21"/>
      <c r="G161" s="27"/>
      <c r="K161" s="21"/>
      <c r="L161" s="27"/>
      <c r="Q161" s="21"/>
      <c r="S161" s="21"/>
      <c r="T161" s="27"/>
      <c r="Y161" s="21"/>
      <c r="Z161" s="16"/>
    </row>
    <row r="162" ht="12.75" spans="1:26">
      <c r="A162" s="16"/>
      <c r="B162" s="1"/>
      <c r="C162" s="15"/>
      <c r="D162" s="16"/>
      <c r="E162" s="27"/>
      <c r="F162" s="21"/>
      <c r="G162" s="27"/>
      <c r="K162" s="21"/>
      <c r="L162" s="27"/>
      <c r="Q162" s="21"/>
      <c r="S162" s="21"/>
      <c r="T162" s="27"/>
      <c r="Y162" s="21"/>
      <c r="Z162" s="16"/>
    </row>
    <row r="163" ht="12.75" spans="1:26">
      <c r="A163" s="16"/>
      <c r="B163" s="1"/>
      <c r="C163" s="15"/>
      <c r="D163" s="16"/>
      <c r="E163" s="27"/>
      <c r="F163" s="21"/>
      <c r="G163" s="27"/>
      <c r="K163" s="21"/>
      <c r="L163" s="27"/>
      <c r="Q163" s="21"/>
      <c r="S163" s="21"/>
      <c r="T163" s="27"/>
      <c r="Y163" s="21"/>
      <c r="Z163" s="16"/>
    </row>
    <row r="164" ht="12.75" spans="1:26">
      <c r="A164" s="16"/>
      <c r="B164" s="1"/>
      <c r="C164" s="15"/>
      <c r="D164" s="16"/>
      <c r="E164" s="27"/>
      <c r="F164" s="21"/>
      <c r="G164" s="27"/>
      <c r="K164" s="21"/>
      <c r="L164" s="27"/>
      <c r="Q164" s="21"/>
      <c r="S164" s="21"/>
      <c r="T164" s="27"/>
      <c r="Y164" s="21"/>
      <c r="Z164" s="16"/>
    </row>
    <row r="165" ht="12.75" spans="1:26">
      <c r="A165" s="16"/>
      <c r="B165" s="1"/>
      <c r="C165" s="15"/>
      <c r="D165" s="16"/>
      <c r="E165" s="27"/>
      <c r="F165" s="21"/>
      <c r="G165" s="27"/>
      <c r="K165" s="21"/>
      <c r="L165" s="27"/>
      <c r="Q165" s="21"/>
      <c r="S165" s="21"/>
      <c r="T165" s="27"/>
      <c r="Y165" s="21"/>
      <c r="Z165" s="16"/>
    </row>
    <row r="166" ht="12.75" spans="1:26">
      <c r="A166" s="16"/>
      <c r="B166" s="1"/>
      <c r="C166" s="15"/>
      <c r="D166" s="16"/>
      <c r="E166" s="27"/>
      <c r="F166" s="21"/>
      <c r="G166" s="27"/>
      <c r="K166" s="21"/>
      <c r="L166" s="27"/>
      <c r="Q166" s="21"/>
      <c r="S166" s="21"/>
      <c r="T166" s="27"/>
      <c r="Y166" s="21"/>
      <c r="Z166" s="16"/>
    </row>
    <row r="167" ht="12.75" spans="1:26">
      <c r="A167" s="16"/>
      <c r="B167" s="1"/>
      <c r="C167" s="15"/>
      <c r="D167" s="16"/>
      <c r="E167" s="27"/>
      <c r="F167" s="21"/>
      <c r="G167" s="27"/>
      <c r="K167" s="21"/>
      <c r="L167" s="27"/>
      <c r="Q167" s="21"/>
      <c r="S167" s="21"/>
      <c r="T167" s="27"/>
      <c r="Y167" s="21"/>
      <c r="Z167" s="16"/>
    </row>
    <row r="168" ht="12.75" spans="1:26">
      <c r="A168" s="16"/>
      <c r="B168" s="1"/>
      <c r="C168" s="15"/>
      <c r="D168" s="16"/>
      <c r="E168" s="27"/>
      <c r="F168" s="21"/>
      <c r="G168" s="27"/>
      <c r="K168" s="21"/>
      <c r="L168" s="27"/>
      <c r="Q168" s="21"/>
      <c r="S168" s="21"/>
      <c r="T168" s="27"/>
      <c r="Y168" s="21"/>
      <c r="Z168" s="16"/>
    </row>
    <row r="169" ht="12.75" spans="1:26">
      <c r="A169" s="16"/>
      <c r="B169" s="1"/>
      <c r="C169" s="15"/>
      <c r="D169" s="16"/>
      <c r="E169" s="27"/>
      <c r="F169" s="21"/>
      <c r="G169" s="27"/>
      <c r="K169" s="21"/>
      <c r="L169" s="27"/>
      <c r="Q169" s="21"/>
      <c r="S169" s="21"/>
      <c r="T169" s="27"/>
      <c r="Y169" s="21"/>
      <c r="Z169" s="16"/>
    </row>
    <row r="170" ht="12.75" spans="1:26">
      <c r="A170" s="16"/>
      <c r="B170" s="1"/>
      <c r="C170" s="15"/>
      <c r="D170" s="16"/>
      <c r="E170" s="27"/>
      <c r="F170" s="21"/>
      <c r="G170" s="27"/>
      <c r="K170" s="21"/>
      <c r="L170" s="27"/>
      <c r="Q170" s="21"/>
      <c r="S170" s="21"/>
      <c r="T170" s="27"/>
      <c r="Y170" s="21"/>
      <c r="Z170" s="16"/>
    </row>
    <row r="171" ht="12.75" spans="1:26">
      <c r="A171" s="16"/>
      <c r="B171" s="1"/>
      <c r="C171" s="15"/>
      <c r="D171" s="16"/>
      <c r="E171" s="27"/>
      <c r="F171" s="21"/>
      <c r="G171" s="27"/>
      <c r="K171" s="21"/>
      <c r="L171" s="27"/>
      <c r="Q171" s="21"/>
      <c r="S171" s="21"/>
      <c r="T171" s="27"/>
      <c r="Y171" s="21"/>
      <c r="Z171" s="16"/>
    </row>
    <row r="172" ht="12.75" spans="1:26">
      <c r="A172" s="16"/>
      <c r="B172" s="1"/>
      <c r="C172" s="15"/>
      <c r="D172" s="16"/>
      <c r="E172" s="27"/>
      <c r="F172" s="21"/>
      <c r="G172" s="27"/>
      <c r="K172" s="21"/>
      <c r="L172" s="27"/>
      <c r="Q172" s="21"/>
      <c r="S172" s="21"/>
      <c r="T172" s="27"/>
      <c r="Y172" s="21"/>
      <c r="Z172" s="16"/>
    </row>
    <row r="173" ht="12.75" spans="1:26">
      <c r="A173" s="16"/>
      <c r="B173" s="1"/>
      <c r="C173" s="15"/>
      <c r="D173" s="16"/>
      <c r="E173" s="27"/>
      <c r="F173" s="21"/>
      <c r="G173" s="27"/>
      <c r="K173" s="21"/>
      <c r="L173" s="27"/>
      <c r="Q173" s="21"/>
      <c r="S173" s="21"/>
      <c r="T173" s="27"/>
      <c r="Y173" s="21"/>
      <c r="Z173" s="16"/>
    </row>
    <row r="174" ht="12.75" spans="1:26">
      <c r="A174" s="16"/>
      <c r="B174" s="1"/>
      <c r="C174" s="15"/>
      <c r="D174" s="16"/>
      <c r="E174" s="27"/>
      <c r="F174" s="21"/>
      <c r="G174" s="27"/>
      <c r="K174" s="21"/>
      <c r="L174" s="27"/>
      <c r="Q174" s="21"/>
      <c r="S174" s="21"/>
      <c r="T174" s="27"/>
      <c r="Y174" s="21"/>
      <c r="Z174" s="16"/>
    </row>
    <row r="175" ht="12.75" spans="1:26">
      <c r="A175" s="16"/>
      <c r="B175" s="1"/>
      <c r="C175" s="15"/>
      <c r="D175" s="16"/>
      <c r="E175" s="27"/>
      <c r="F175" s="21"/>
      <c r="G175" s="27"/>
      <c r="K175" s="21"/>
      <c r="L175" s="27"/>
      <c r="Q175" s="21"/>
      <c r="S175" s="21"/>
      <c r="T175" s="27"/>
      <c r="Y175" s="21"/>
      <c r="Z175" s="16"/>
    </row>
    <row r="176" ht="12.75" spans="1:26">
      <c r="A176" s="16"/>
      <c r="B176" s="1"/>
      <c r="C176" s="15"/>
      <c r="D176" s="16"/>
      <c r="E176" s="27"/>
      <c r="F176" s="21"/>
      <c r="G176" s="27"/>
      <c r="K176" s="21"/>
      <c r="L176" s="27"/>
      <c r="Q176" s="21"/>
      <c r="S176" s="21"/>
      <c r="T176" s="27"/>
      <c r="Y176" s="21"/>
      <c r="Z176" s="16"/>
    </row>
    <row r="177" ht="12.75" spans="1:26">
      <c r="A177" s="16"/>
      <c r="B177" s="1"/>
      <c r="C177" s="15"/>
      <c r="D177" s="16"/>
      <c r="E177" s="27"/>
      <c r="F177" s="21"/>
      <c r="G177" s="27"/>
      <c r="K177" s="21"/>
      <c r="L177" s="27"/>
      <c r="Q177" s="21"/>
      <c r="S177" s="21"/>
      <c r="T177" s="27"/>
      <c r="Y177" s="21"/>
      <c r="Z177" s="16"/>
    </row>
    <row r="178" ht="12.75" spans="1:26">
      <c r="A178" s="16"/>
      <c r="B178" s="1"/>
      <c r="C178" s="15"/>
      <c r="D178" s="16"/>
      <c r="E178" s="27"/>
      <c r="F178" s="21"/>
      <c r="G178" s="27"/>
      <c r="K178" s="21"/>
      <c r="L178" s="27"/>
      <c r="Q178" s="21"/>
      <c r="S178" s="21"/>
      <c r="T178" s="27"/>
      <c r="Y178" s="21"/>
      <c r="Z178" s="16"/>
    </row>
    <row r="179" ht="12.75" spans="1:26">
      <c r="A179" s="16"/>
      <c r="B179" s="1"/>
      <c r="C179" s="15"/>
      <c r="D179" s="16"/>
      <c r="E179" s="27"/>
      <c r="F179" s="21"/>
      <c r="G179" s="27"/>
      <c r="K179" s="21"/>
      <c r="L179" s="27"/>
      <c r="Q179" s="21"/>
      <c r="S179" s="21"/>
      <c r="T179" s="27"/>
      <c r="Y179" s="21"/>
      <c r="Z179" s="16"/>
    </row>
    <row r="180" ht="12.75" spans="1:26">
      <c r="A180" s="16"/>
      <c r="B180" s="1"/>
      <c r="C180" s="15"/>
      <c r="D180" s="16"/>
      <c r="E180" s="27"/>
      <c r="F180" s="21"/>
      <c r="G180" s="27"/>
      <c r="K180" s="21"/>
      <c r="L180" s="27"/>
      <c r="Q180" s="21"/>
      <c r="S180" s="21"/>
      <c r="T180" s="27"/>
      <c r="Y180" s="21"/>
      <c r="Z180" s="16"/>
    </row>
    <row r="181" ht="12.75" spans="1:26">
      <c r="A181" s="16"/>
      <c r="B181" s="1"/>
      <c r="C181" s="15"/>
      <c r="D181" s="16"/>
      <c r="E181" s="27"/>
      <c r="F181" s="21"/>
      <c r="G181" s="27"/>
      <c r="K181" s="21"/>
      <c r="L181" s="27"/>
      <c r="Q181" s="21"/>
      <c r="S181" s="21"/>
      <c r="T181" s="27"/>
      <c r="Y181" s="21"/>
      <c r="Z181" s="16"/>
    </row>
    <row r="182" ht="12.75" spans="1:26">
      <c r="A182" s="16"/>
      <c r="B182" s="1"/>
      <c r="C182" s="15"/>
      <c r="D182" s="16"/>
      <c r="E182" s="27"/>
      <c r="F182" s="21"/>
      <c r="G182" s="27"/>
      <c r="K182" s="21"/>
      <c r="L182" s="27"/>
      <c r="Q182" s="21"/>
      <c r="S182" s="21"/>
      <c r="T182" s="27"/>
      <c r="Y182" s="21"/>
      <c r="Z182" s="16"/>
    </row>
    <row r="183" ht="12.75" spans="1:26">
      <c r="A183" s="16"/>
      <c r="B183" s="1"/>
      <c r="C183" s="15"/>
      <c r="D183" s="16"/>
      <c r="E183" s="27"/>
      <c r="F183" s="21"/>
      <c r="G183" s="27"/>
      <c r="K183" s="21"/>
      <c r="L183" s="27"/>
      <c r="Q183" s="21"/>
      <c r="S183" s="21"/>
      <c r="T183" s="27"/>
      <c r="Y183" s="21"/>
      <c r="Z183" s="16"/>
    </row>
    <row r="184" ht="12.75" spans="1:26">
      <c r="A184" s="16"/>
      <c r="B184" s="1"/>
      <c r="C184" s="15"/>
      <c r="D184" s="16"/>
      <c r="E184" s="27"/>
      <c r="F184" s="21"/>
      <c r="G184" s="27"/>
      <c r="K184" s="21"/>
      <c r="L184" s="27"/>
      <c r="Q184" s="21"/>
      <c r="S184" s="21"/>
      <c r="T184" s="27"/>
      <c r="Y184" s="21"/>
      <c r="Z184" s="16"/>
    </row>
    <row r="185" ht="12.75" spans="1:26">
      <c r="A185" s="16"/>
      <c r="B185" s="1"/>
      <c r="C185" s="15"/>
      <c r="D185" s="16"/>
      <c r="E185" s="27"/>
      <c r="F185" s="21"/>
      <c r="G185" s="27"/>
      <c r="K185" s="21"/>
      <c r="L185" s="27"/>
      <c r="Q185" s="21"/>
      <c r="S185" s="21"/>
      <c r="T185" s="27"/>
      <c r="Y185" s="21"/>
      <c r="Z185" s="16"/>
    </row>
    <row r="186" ht="12.75" spans="1:26">
      <c r="A186" s="16"/>
      <c r="B186" s="1"/>
      <c r="C186" s="15"/>
      <c r="D186" s="16"/>
      <c r="E186" s="27"/>
      <c r="F186" s="21"/>
      <c r="G186" s="27"/>
      <c r="K186" s="21"/>
      <c r="L186" s="27"/>
      <c r="Q186" s="21"/>
      <c r="S186" s="21"/>
      <c r="T186" s="27"/>
      <c r="Y186" s="21"/>
      <c r="Z186" s="16"/>
    </row>
    <row r="187" ht="12.75" spans="1:26">
      <c r="A187" s="16"/>
      <c r="B187" s="1"/>
      <c r="C187" s="15"/>
      <c r="D187" s="16"/>
      <c r="E187" s="27"/>
      <c r="F187" s="21"/>
      <c r="G187" s="27"/>
      <c r="K187" s="21"/>
      <c r="L187" s="27"/>
      <c r="Q187" s="21"/>
      <c r="S187" s="21"/>
      <c r="T187" s="27"/>
      <c r="Y187" s="21"/>
      <c r="Z187" s="16"/>
    </row>
    <row r="188" ht="12.75" spans="1:26">
      <c r="A188" s="16"/>
      <c r="B188" s="1"/>
      <c r="C188" s="15"/>
      <c r="D188" s="16"/>
      <c r="E188" s="27"/>
      <c r="F188" s="21"/>
      <c r="G188" s="27"/>
      <c r="K188" s="21"/>
      <c r="L188" s="27"/>
      <c r="Q188" s="21"/>
      <c r="S188" s="21"/>
      <c r="T188" s="27"/>
      <c r="Y188" s="21"/>
      <c r="Z188" s="16"/>
    </row>
    <row r="189" ht="12.75" spans="1:26">
      <c r="A189" s="16"/>
      <c r="B189" s="1"/>
      <c r="C189" s="15"/>
      <c r="D189" s="16"/>
      <c r="E189" s="27"/>
      <c r="F189" s="21"/>
      <c r="G189" s="27"/>
      <c r="K189" s="21"/>
      <c r="L189" s="27"/>
      <c r="Q189" s="21"/>
      <c r="S189" s="21"/>
      <c r="T189" s="27"/>
      <c r="Y189" s="21"/>
      <c r="Z189" s="16"/>
    </row>
    <row r="190" ht="12.75" spans="1:26">
      <c r="A190" s="16"/>
      <c r="B190" s="1"/>
      <c r="C190" s="15"/>
      <c r="D190" s="16"/>
      <c r="E190" s="27"/>
      <c r="F190" s="21"/>
      <c r="G190" s="27"/>
      <c r="K190" s="21"/>
      <c r="L190" s="27"/>
      <c r="Q190" s="21"/>
      <c r="S190" s="21"/>
      <c r="T190" s="27"/>
      <c r="Y190" s="21"/>
      <c r="Z190" s="16"/>
    </row>
    <row r="191" ht="12.75" spans="1:26">
      <c r="A191" s="16"/>
      <c r="B191" s="1"/>
      <c r="C191" s="15"/>
      <c r="D191" s="16"/>
      <c r="E191" s="27"/>
      <c r="F191" s="21"/>
      <c r="G191" s="27"/>
      <c r="K191" s="21"/>
      <c r="L191" s="27"/>
      <c r="Q191" s="21"/>
      <c r="S191" s="21"/>
      <c r="T191" s="27"/>
      <c r="Y191" s="21"/>
      <c r="Z191" s="16"/>
    </row>
    <row r="192" ht="12.75" spans="1:26">
      <c r="A192" s="16"/>
      <c r="B192" s="1"/>
      <c r="C192" s="15"/>
      <c r="D192" s="16"/>
      <c r="E192" s="27"/>
      <c r="F192" s="21"/>
      <c r="G192" s="27"/>
      <c r="K192" s="21"/>
      <c r="L192" s="27"/>
      <c r="Q192" s="21"/>
      <c r="S192" s="21"/>
      <c r="T192" s="27"/>
      <c r="Y192" s="21"/>
      <c r="Z192" s="16"/>
    </row>
    <row r="193" ht="12.75" spans="1:26">
      <c r="A193" s="16"/>
      <c r="B193" s="1"/>
      <c r="C193" s="15"/>
      <c r="D193" s="16"/>
      <c r="E193" s="27"/>
      <c r="F193" s="21"/>
      <c r="G193" s="27"/>
      <c r="K193" s="21"/>
      <c r="L193" s="27"/>
      <c r="Q193" s="21"/>
      <c r="S193" s="21"/>
      <c r="T193" s="27"/>
      <c r="Y193" s="21"/>
      <c r="Z193" s="16"/>
    </row>
    <row r="194" ht="12.75" spans="1:26">
      <c r="A194" s="16"/>
      <c r="B194" s="1"/>
      <c r="C194" s="15"/>
      <c r="D194" s="16"/>
      <c r="E194" s="27"/>
      <c r="F194" s="21"/>
      <c r="G194" s="27"/>
      <c r="K194" s="21"/>
      <c r="L194" s="27"/>
      <c r="Q194" s="21"/>
      <c r="S194" s="21"/>
      <c r="T194" s="27"/>
      <c r="Y194" s="21"/>
      <c r="Z194" s="16"/>
    </row>
    <row r="195" ht="12.75" spans="1:26">
      <c r="A195" s="16"/>
      <c r="B195" s="1"/>
      <c r="C195" s="15"/>
      <c r="D195" s="16"/>
      <c r="E195" s="27"/>
      <c r="F195" s="21"/>
      <c r="G195" s="27"/>
      <c r="K195" s="21"/>
      <c r="L195" s="27"/>
      <c r="Q195" s="21"/>
      <c r="S195" s="21"/>
      <c r="T195" s="27"/>
      <c r="Y195" s="21"/>
      <c r="Z195" s="16"/>
    </row>
    <row r="196" ht="12.75" spans="1:26">
      <c r="A196" s="16"/>
      <c r="B196" s="1"/>
      <c r="C196" s="15"/>
      <c r="D196" s="16"/>
      <c r="E196" s="27"/>
      <c r="F196" s="21"/>
      <c r="G196" s="27"/>
      <c r="K196" s="21"/>
      <c r="L196" s="27"/>
      <c r="Q196" s="21"/>
      <c r="S196" s="21"/>
      <c r="T196" s="27"/>
      <c r="Y196" s="21"/>
      <c r="Z196" s="16"/>
    </row>
    <row r="197" ht="12.75" spans="1:26">
      <c r="A197" s="16"/>
      <c r="B197" s="1"/>
      <c r="C197" s="15"/>
      <c r="D197" s="16"/>
      <c r="E197" s="27"/>
      <c r="F197" s="21"/>
      <c r="G197" s="27"/>
      <c r="K197" s="21"/>
      <c r="L197" s="27"/>
      <c r="Q197" s="21"/>
      <c r="S197" s="21"/>
      <c r="T197" s="27"/>
      <c r="Y197" s="21"/>
      <c r="Z197" s="16"/>
    </row>
    <row r="198" ht="12.75" spans="1:26">
      <c r="A198" s="16"/>
      <c r="B198" s="1"/>
      <c r="C198" s="15"/>
      <c r="D198" s="16"/>
      <c r="E198" s="27"/>
      <c r="F198" s="21"/>
      <c r="G198" s="27"/>
      <c r="K198" s="21"/>
      <c r="L198" s="27"/>
      <c r="Q198" s="21"/>
      <c r="S198" s="21"/>
      <c r="T198" s="27"/>
      <c r="Y198" s="21"/>
      <c r="Z198" s="16"/>
    </row>
    <row r="199" ht="12.75" spans="1:26">
      <c r="A199" s="16"/>
      <c r="B199" s="1"/>
      <c r="C199" s="15"/>
      <c r="D199" s="16"/>
      <c r="E199" s="27"/>
      <c r="F199" s="21"/>
      <c r="G199" s="27"/>
      <c r="K199" s="21"/>
      <c r="L199" s="27"/>
      <c r="Q199" s="21"/>
      <c r="S199" s="21"/>
      <c r="T199" s="27"/>
      <c r="Y199" s="21"/>
      <c r="Z199" s="16"/>
    </row>
    <row r="200" ht="12.75" spans="1:26">
      <c r="A200" s="16"/>
      <c r="B200" s="1"/>
      <c r="C200" s="15"/>
      <c r="D200" s="16"/>
      <c r="E200" s="27"/>
      <c r="F200" s="21"/>
      <c r="G200" s="27"/>
      <c r="K200" s="21"/>
      <c r="L200" s="27"/>
      <c r="Q200" s="21"/>
      <c r="S200" s="21"/>
      <c r="T200" s="27"/>
      <c r="Y200" s="21"/>
      <c r="Z200" s="16"/>
    </row>
    <row r="201" ht="12.75" spans="1:26">
      <c r="A201" s="16"/>
      <c r="B201" s="1"/>
      <c r="C201" s="15"/>
      <c r="D201" s="16"/>
      <c r="E201" s="27"/>
      <c r="F201" s="21"/>
      <c r="G201" s="27"/>
      <c r="K201" s="21"/>
      <c r="L201" s="27"/>
      <c r="Q201" s="21"/>
      <c r="S201" s="21"/>
      <c r="T201" s="27"/>
      <c r="Y201" s="21"/>
      <c r="Z201" s="16"/>
    </row>
    <row r="202" ht="12.75" spans="1:26">
      <c r="A202" s="16"/>
      <c r="B202" s="1"/>
      <c r="C202" s="15"/>
      <c r="D202" s="16"/>
      <c r="E202" s="27"/>
      <c r="F202" s="21"/>
      <c r="G202" s="27"/>
      <c r="K202" s="21"/>
      <c r="L202" s="27"/>
      <c r="Q202" s="21"/>
      <c r="S202" s="21"/>
      <c r="T202" s="27"/>
      <c r="Y202" s="21"/>
      <c r="Z202" s="16"/>
    </row>
    <row r="203" ht="12.75" spans="1:26">
      <c r="A203" s="16"/>
      <c r="B203" s="1"/>
      <c r="C203" s="15"/>
      <c r="D203" s="16"/>
      <c r="E203" s="27"/>
      <c r="F203" s="21"/>
      <c r="G203" s="27"/>
      <c r="K203" s="21"/>
      <c r="L203" s="27"/>
      <c r="Q203" s="21"/>
      <c r="S203" s="21"/>
      <c r="T203" s="27"/>
      <c r="Y203" s="21"/>
      <c r="Z203" s="16"/>
    </row>
    <row r="204" ht="12.75" spans="1:26">
      <c r="A204" s="16"/>
      <c r="B204" s="1"/>
      <c r="C204" s="15"/>
      <c r="D204" s="16"/>
      <c r="E204" s="27"/>
      <c r="F204" s="21"/>
      <c r="G204" s="27"/>
      <c r="K204" s="21"/>
      <c r="L204" s="27"/>
      <c r="Q204" s="21"/>
      <c r="S204" s="21"/>
      <c r="T204" s="27"/>
      <c r="Y204" s="21"/>
      <c r="Z204" s="16"/>
    </row>
    <row r="205" ht="12.75" spans="1:26">
      <c r="A205" s="16"/>
      <c r="B205" s="1"/>
      <c r="C205" s="15"/>
      <c r="D205" s="16"/>
      <c r="E205" s="27"/>
      <c r="F205" s="21"/>
      <c r="G205" s="27"/>
      <c r="K205" s="21"/>
      <c r="L205" s="27"/>
      <c r="Q205" s="21"/>
      <c r="S205" s="21"/>
      <c r="T205" s="27"/>
      <c r="Y205" s="21"/>
      <c r="Z205" s="16"/>
    </row>
    <row r="206" ht="12.75" spans="1:26">
      <c r="A206" s="16"/>
      <c r="B206" s="1"/>
      <c r="C206" s="15"/>
      <c r="D206" s="16"/>
      <c r="E206" s="27"/>
      <c r="F206" s="21"/>
      <c r="G206" s="27"/>
      <c r="K206" s="21"/>
      <c r="L206" s="27"/>
      <c r="Q206" s="21"/>
      <c r="S206" s="21"/>
      <c r="T206" s="27"/>
      <c r="Y206" s="21"/>
      <c r="Z206" s="16"/>
    </row>
    <row r="207" ht="12.75" spans="1:26">
      <c r="A207" s="16"/>
      <c r="B207" s="1"/>
      <c r="C207" s="15"/>
      <c r="D207" s="16"/>
      <c r="E207" s="27"/>
      <c r="F207" s="21"/>
      <c r="G207" s="27"/>
      <c r="K207" s="21"/>
      <c r="L207" s="27"/>
      <c r="Q207" s="21"/>
      <c r="S207" s="21"/>
      <c r="T207" s="27"/>
      <c r="Y207" s="21"/>
      <c r="Z207" s="16"/>
    </row>
    <row r="208" ht="12.75" spans="1:26">
      <c r="A208" s="16"/>
      <c r="B208" s="1"/>
      <c r="C208" s="15"/>
      <c r="D208" s="16"/>
      <c r="E208" s="27"/>
      <c r="F208" s="21"/>
      <c r="G208" s="27"/>
      <c r="K208" s="21"/>
      <c r="L208" s="27"/>
      <c r="Q208" s="21"/>
      <c r="S208" s="21"/>
      <c r="T208" s="27"/>
      <c r="Y208" s="21"/>
      <c r="Z208" s="16"/>
    </row>
    <row r="209" ht="12.75" spans="1:26">
      <c r="A209" s="16"/>
      <c r="B209" s="1"/>
      <c r="C209" s="15"/>
      <c r="D209" s="16"/>
      <c r="E209" s="27"/>
      <c r="F209" s="21"/>
      <c r="G209" s="27"/>
      <c r="K209" s="21"/>
      <c r="L209" s="27"/>
      <c r="Q209" s="21"/>
      <c r="S209" s="21"/>
      <c r="T209" s="27"/>
      <c r="Y209" s="21"/>
      <c r="Z209" s="16"/>
    </row>
    <row r="210" ht="12.75" spans="1:26">
      <c r="A210" s="16"/>
      <c r="B210" s="1"/>
      <c r="C210" s="15"/>
      <c r="D210" s="16"/>
      <c r="E210" s="27"/>
      <c r="F210" s="21"/>
      <c r="G210" s="27"/>
      <c r="K210" s="21"/>
      <c r="L210" s="27"/>
      <c r="Q210" s="21"/>
      <c r="S210" s="21"/>
      <c r="T210" s="27"/>
      <c r="Y210" s="21"/>
      <c r="Z210" s="16"/>
    </row>
    <row r="211" ht="12.75" spans="1:26">
      <c r="A211" s="16"/>
      <c r="B211" s="1"/>
      <c r="C211" s="15"/>
      <c r="D211" s="16"/>
      <c r="E211" s="27"/>
      <c r="F211" s="21"/>
      <c r="G211" s="27"/>
      <c r="K211" s="21"/>
      <c r="L211" s="27"/>
      <c r="Q211" s="21"/>
      <c r="S211" s="21"/>
      <c r="T211" s="27"/>
      <c r="Y211" s="21"/>
      <c r="Z211" s="16"/>
    </row>
    <row r="212" ht="12.75" spans="1:26">
      <c r="A212" s="16"/>
      <c r="B212" s="1"/>
      <c r="C212" s="15"/>
      <c r="D212" s="16"/>
      <c r="E212" s="27"/>
      <c r="F212" s="21"/>
      <c r="G212" s="27"/>
      <c r="K212" s="21"/>
      <c r="L212" s="27"/>
      <c r="Q212" s="21"/>
      <c r="S212" s="21"/>
      <c r="T212" s="27"/>
      <c r="Y212" s="21"/>
      <c r="Z212" s="16"/>
    </row>
    <row r="213" ht="12.75" spans="1:26">
      <c r="A213" s="16"/>
      <c r="B213" s="1"/>
      <c r="C213" s="15"/>
      <c r="D213" s="16"/>
      <c r="E213" s="27"/>
      <c r="F213" s="21"/>
      <c r="G213" s="27"/>
      <c r="K213" s="21"/>
      <c r="L213" s="27"/>
      <c r="Q213" s="21"/>
      <c r="S213" s="21"/>
      <c r="T213" s="27"/>
      <c r="Y213" s="21"/>
      <c r="Z213" s="16"/>
    </row>
    <row r="214" ht="12.75" spans="1:26">
      <c r="A214" s="16"/>
      <c r="B214" s="1"/>
      <c r="C214" s="15"/>
      <c r="D214" s="16"/>
      <c r="E214" s="27"/>
      <c r="F214" s="21"/>
      <c r="G214" s="27"/>
      <c r="K214" s="21"/>
      <c r="L214" s="27"/>
      <c r="Q214" s="21"/>
      <c r="S214" s="21"/>
      <c r="T214" s="27"/>
      <c r="Y214" s="21"/>
      <c r="Z214" s="16"/>
    </row>
    <row r="215" ht="12.75" spans="1:26">
      <c r="A215" s="16"/>
      <c r="B215" s="1"/>
      <c r="C215" s="15"/>
      <c r="D215" s="16"/>
      <c r="E215" s="27"/>
      <c r="F215" s="21"/>
      <c r="G215" s="27"/>
      <c r="K215" s="21"/>
      <c r="L215" s="27"/>
      <c r="Q215" s="21"/>
      <c r="S215" s="21"/>
      <c r="T215" s="27"/>
      <c r="Y215" s="21"/>
      <c r="Z215" s="16"/>
    </row>
    <row r="216" ht="12.75" spans="1:26">
      <c r="A216" s="16"/>
      <c r="B216" s="1"/>
      <c r="C216" s="15"/>
      <c r="D216" s="16"/>
      <c r="E216" s="27"/>
      <c r="F216" s="21"/>
      <c r="G216" s="27"/>
      <c r="K216" s="21"/>
      <c r="L216" s="27"/>
      <c r="Q216" s="21"/>
      <c r="S216" s="21"/>
      <c r="T216" s="27"/>
      <c r="Y216" s="21"/>
      <c r="Z216" s="16"/>
    </row>
    <row r="217" ht="12.75" spans="1:26">
      <c r="A217" s="16"/>
      <c r="B217" s="1"/>
      <c r="C217" s="15"/>
      <c r="D217" s="16"/>
      <c r="E217" s="27"/>
      <c r="F217" s="21"/>
      <c r="G217" s="27"/>
      <c r="K217" s="21"/>
      <c r="L217" s="27"/>
      <c r="Q217" s="21"/>
      <c r="S217" s="21"/>
      <c r="T217" s="27"/>
      <c r="Y217" s="21"/>
      <c r="Z217" s="16"/>
    </row>
    <row r="218" ht="12.75" spans="1:26">
      <c r="A218" s="16"/>
      <c r="B218" s="1"/>
      <c r="C218" s="15"/>
      <c r="D218" s="16"/>
      <c r="E218" s="27"/>
      <c r="F218" s="21"/>
      <c r="G218" s="27"/>
      <c r="K218" s="21"/>
      <c r="L218" s="27"/>
      <c r="Q218" s="21"/>
      <c r="S218" s="21"/>
      <c r="T218" s="27"/>
      <c r="Y218" s="21"/>
      <c r="Z218" s="16"/>
    </row>
    <row r="219" ht="12.75" spans="1:26">
      <c r="A219" s="16"/>
      <c r="B219" s="1"/>
      <c r="C219" s="15"/>
      <c r="D219" s="16"/>
      <c r="E219" s="27"/>
      <c r="F219" s="21"/>
      <c r="G219" s="27"/>
      <c r="K219" s="21"/>
      <c r="L219" s="27"/>
      <c r="Q219" s="21"/>
      <c r="S219" s="21"/>
      <c r="T219" s="27"/>
      <c r="Y219" s="21"/>
      <c r="Z219" s="16"/>
    </row>
    <row r="220" ht="12.75" spans="1:26">
      <c r="A220" s="16"/>
      <c r="B220" s="1"/>
      <c r="C220" s="15"/>
      <c r="D220" s="16"/>
      <c r="E220" s="27"/>
      <c r="F220" s="21"/>
      <c r="G220" s="27"/>
      <c r="K220" s="21"/>
      <c r="L220" s="27"/>
      <c r="Q220" s="21"/>
      <c r="S220" s="21"/>
      <c r="T220" s="27"/>
      <c r="Y220" s="21"/>
      <c r="Z220" s="16"/>
    </row>
    <row r="221" ht="12.75" spans="1:26">
      <c r="A221" s="16"/>
      <c r="B221" s="1"/>
      <c r="C221" s="15"/>
      <c r="D221" s="16"/>
      <c r="E221" s="27"/>
      <c r="F221" s="21"/>
      <c r="G221" s="27"/>
      <c r="K221" s="21"/>
      <c r="L221" s="27"/>
      <c r="Q221" s="21"/>
      <c r="S221" s="21"/>
      <c r="T221" s="27"/>
      <c r="Y221" s="21"/>
      <c r="Z221" s="16"/>
    </row>
    <row r="222" ht="12.75" spans="1:26">
      <c r="A222" s="16"/>
      <c r="B222" s="1"/>
      <c r="C222" s="15"/>
      <c r="D222" s="16"/>
      <c r="E222" s="27"/>
      <c r="F222" s="21"/>
      <c r="G222" s="27"/>
      <c r="K222" s="21"/>
      <c r="L222" s="27"/>
      <c r="Q222" s="21"/>
      <c r="S222" s="21"/>
      <c r="T222" s="27"/>
      <c r="Y222" s="21"/>
      <c r="Z222" s="16"/>
    </row>
    <row r="223" ht="12.75" spans="1:26">
      <c r="A223" s="16"/>
      <c r="B223" s="1"/>
      <c r="C223" s="15"/>
      <c r="D223" s="16"/>
      <c r="E223" s="27"/>
      <c r="F223" s="21"/>
      <c r="G223" s="27"/>
      <c r="K223" s="21"/>
      <c r="L223" s="27"/>
      <c r="Q223" s="21"/>
      <c r="S223" s="21"/>
      <c r="T223" s="27"/>
      <c r="Y223" s="21"/>
      <c r="Z223" s="16"/>
    </row>
    <row r="224" ht="12.75" spans="1:26">
      <c r="A224" s="16"/>
      <c r="B224" s="1"/>
      <c r="C224" s="15"/>
      <c r="D224" s="16"/>
      <c r="E224" s="27"/>
      <c r="F224" s="21"/>
      <c r="G224" s="27"/>
      <c r="K224" s="21"/>
      <c r="L224" s="27"/>
      <c r="Q224" s="21"/>
      <c r="S224" s="21"/>
      <c r="T224" s="27"/>
      <c r="Y224" s="21"/>
      <c r="Z224" s="16"/>
    </row>
    <row r="225" ht="12.75" spans="1:26">
      <c r="A225" s="16"/>
      <c r="B225" s="1"/>
      <c r="C225" s="15"/>
      <c r="D225" s="16"/>
      <c r="E225" s="27"/>
      <c r="F225" s="21"/>
      <c r="G225" s="27"/>
      <c r="K225" s="21"/>
      <c r="L225" s="27"/>
      <c r="Q225" s="21"/>
      <c r="S225" s="21"/>
      <c r="T225" s="27"/>
      <c r="Y225" s="21"/>
      <c r="Z225" s="16"/>
    </row>
    <row r="226" ht="12.75" spans="1:26">
      <c r="A226" s="16"/>
      <c r="B226" s="1"/>
      <c r="C226" s="15"/>
      <c r="D226" s="16"/>
      <c r="E226" s="27"/>
      <c r="F226" s="21"/>
      <c r="G226" s="27"/>
      <c r="K226" s="21"/>
      <c r="L226" s="27"/>
      <c r="Q226" s="21"/>
      <c r="S226" s="21"/>
      <c r="T226" s="27"/>
      <c r="Y226" s="21"/>
      <c r="Z226" s="16"/>
    </row>
    <row r="227" ht="12.75" spans="1:26">
      <c r="A227" s="16"/>
      <c r="B227" s="1"/>
      <c r="C227" s="15"/>
      <c r="D227" s="16"/>
      <c r="E227" s="27"/>
      <c r="F227" s="21"/>
      <c r="G227" s="27"/>
      <c r="K227" s="21"/>
      <c r="L227" s="27"/>
      <c r="Q227" s="21"/>
      <c r="S227" s="21"/>
      <c r="T227" s="27"/>
      <c r="Y227" s="21"/>
      <c r="Z227" s="16"/>
    </row>
    <row r="228" ht="12.75" spans="1:26">
      <c r="A228" s="16"/>
      <c r="B228" s="1"/>
      <c r="C228" s="15"/>
      <c r="D228" s="16"/>
      <c r="E228" s="27"/>
      <c r="F228" s="21"/>
      <c r="G228" s="27"/>
      <c r="K228" s="21"/>
      <c r="L228" s="27"/>
      <c r="Q228" s="21"/>
      <c r="S228" s="21"/>
      <c r="T228" s="27"/>
      <c r="Y228" s="21"/>
      <c r="Z228" s="16"/>
    </row>
    <row r="229" ht="12.75" spans="1:26">
      <c r="A229" s="16"/>
      <c r="B229" s="1"/>
      <c r="C229" s="15"/>
      <c r="D229" s="16"/>
      <c r="E229" s="27"/>
      <c r="F229" s="21"/>
      <c r="G229" s="27"/>
      <c r="K229" s="21"/>
      <c r="L229" s="27"/>
      <c r="Q229" s="21"/>
      <c r="S229" s="21"/>
      <c r="T229" s="27"/>
      <c r="Y229" s="21"/>
      <c r="Z229" s="16"/>
    </row>
    <row r="230" ht="12.75" spans="1:26">
      <c r="A230" s="16"/>
      <c r="B230" s="1"/>
      <c r="C230" s="15"/>
      <c r="D230" s="16"/>
      <c r="E230" s="27"/>
      <c r="F230" s="21"/>
      <c r="G230" s="27"/>
      <c r="K230" s="21"/>
      <c r="L230" s="27"/>
      <c r="Q230" s="21"/>
      <c r="S230" s="21"/>
      <c r="T230" s="27"/>
      <c r="Y230" s="21"/>
      <c r="Z230" s="16"/>
    </row>
    <row r="231" ht="12.75" spans="1:26">
      <c r="A231" s="16"/>
      <c r="B231" s="1"/>
      <c r="C231" s="15"/>
      <c r="D231" s="16"/>
      <c r="E231" s="27"/>
      <c r="F231" s="21"/>
      <c r="G231" s="27"/>
      <c r="K231" s="21"/>
      <c r="L231" s="27"/>
      <c r="Q231" s="21"/>
      <c r="S231" s="21"/>
      <c r="T231" s="27"/>
      <c r="Y231" s="21"/>
      <c r="Z231" s="16"/>
    </row>
    <row r="232" ht="12.75" spans="1:26">
      <c r="A232" s="16"/>
      <c r="B232" s="1"/>
      <c r="C232" s="15"/>
      <c r="D232" s="16"/>
      <c r="E232" s="27"/>
      <c r="F232" s="21"/>
      <c r="G232" s="27"/>
      <c r="K232" s="21"/>
      <c r="L232" s="27"/>
      <c r="Q232" s="21"/>
      <c r="S232" s="21"/>
      <c r="T232" s="27"/>
      <c r="Y232" s="21"/>
      <c r="Z232" s="16"/>
    </row>
    <row r="233" ht="12.75" spans="1:26">
      <c r="A233" s="16"/>
      <c r="B233" s="1"/>
      <c r="C233" s="15"/>
      <c r="D233" s="16"/>
      <c r="E233" s="27"/>
      <c r="F233" s="21"/>
      <c r="G233" s="27"/>
      <c r="K233" s="21"/>
      <c r="L233" s="27"/>
      <c r="Q233" s="21"/>
      <c r="S233" s="21"/>
      <c r="T233" s="27"/>
      <c r="Y233" s="21"/>
      <c r="Z233" s="16"/>
    </row>
    <row r="234" ht="12.75" spans="1:26">
      <c r="A234" s="16"/>
      <c r="B234" s="1"/>
      <c r="C234" s="15"/>
      <c r="D234" s="16"/>
      <c r="E234" s="27"/>
      <c r="F234" s="21"/>
      <c r="G234" s="27"/>
      <c r="K234" s="21"/>
      <c r="L234" s="27"/>
      <c r="Q234" s="21"/>
      <c r="S234" s="21"/>
      <c r="T234" s="27"/>
      <c r="Y234" s="21"/>
      <c r="Z234" s="16"/>
    </row>
    <row r="235" ht="12.75" spans="1:26">
      <c r="A235" s="16"/>
      <c r="B235" s="1"/>
      <c r="C235" s="15"/>
      <c r="D235" s="16"/>
      <c r="E235" s="27"/>
      <c r="F235" s="21"/>
      <c r="G235" s="27"/>
      <c r="K235" s="21"/>
      <c r="L235" s="27"/>
      <c r="Q235" s="21"/>
      <c r="S235" s="21"/>
      <c r="T235" s="27"/>
      <c r="Y235" s="21"/>
      <c r="Z235" s="16"/>
    </row>
    <row r="236" ht="12.75" spans="1:26">
      <c r="A236" s="16"/>
      <c r="B236" s="1"/>
      <c r="C236" s="15"/>
      <c r="D236" s="16"/>
      <c r="E236" s="27"/>
      <c r="F236" s="21"/>
      <c r="G236" s="27"/>
      <c r="K236" s="21"/>
      <c r="L236" s="27"/>
      <c r="Q236" s="21"/>
      <c r="S236" s="21"/>
      <c r="T236" s="27"/>
      <c r="Y236" s="21"/>
      <c r="Z236" s="16"/>
    </row>
    <row r="237" ht="12.75" spans="1:26">
      <c r="A237" s="16"/>
      <c r="B237" s="1"/>
      <c r="C237" s="15"/>
      <c r="D237" s="16"/>
      <c r="E237" s="27"/>
      <c r="F237" s="21"/>
      <c r="G237" s="27"/>
      <c r="K237" s="21"/>
      <c r="L237" s="27"/>
      <c r="Q237" s="21"/>
      <c r="S237" s="21"/>
      <c r="T237" s="27"/>
      <c r="Y237" s="21"/>
      <c r="Z237" s="16"/>
    </row>
    <row r="238" ht="12.75" spans="1:26">
      <c r="A238" s="16"/>
      <c r="B238" s="1"/>
      <c r="C238" s="15"/>
      <c r="D238" s="16"/>
      <c r="E238" s="27"/>
      <c r="F238" s="21"/>
      <c r="G238" s="27"/>
      <c r="K238" s="21"/>
      <c r="L238" s="27"/>
      <c r="Q238" s="21"/>
      <c r="S238" s="21"/>
      <c r="T238" s="27"/>
      <c r="Y238" s="21"/>
      <c r="Z238" s="16"/>
    </row>
    <row r="239" ht="12.75" spans="1:26">
      <c r="A239" s="16"/>
      <c r="B239" s="1"/>
      <c r="C239" s="15"/>
      <c r="D239" s="16"/>
      <c r="E239" s="27"/>
      <c r="F239" s="21"/>
      <c r="G239" s="27"/>
      <c r="K239" s="21"/>
      <c r="L239" s="27"/>
      <c r="Q239" s="21"/>
      <c r="S239" s="21"/>
      <c r="T239" s="27"/>
      <c r="Y239" s="21"/>
      <c r="Z239" s="16"/>
    </row>
    <row r="240" ht="12.75" spans="1:26">
      <c r="A240" s="16"/>
      <c r="B240" s="1"/>
      <c r="C240" s="15"/>
      <c r="D240" s="16"/>
      <c r="E240" s="27"/>
      <c r="F240" s="21"/>
      <c r="G240" s="27"/>
      <c r="K240" s="21"/>
      <c r="L240" s="27"/>
      <c r="Q240" s="21"/>
      <c r="S240" s="21"/>
      <c r="T240" s="27"/>
      <c r="Y240" s="21"/>
      <c r="Z240" s="16"/>
    </row>
    <row r="241" ht="12.75" spans="1:26">
      <c r="A241" s="16"/>
      <c r="B241" s="1"/>
      <c r="C241" s="15"/>
      <c r="D241" s="16"/>
      <c r="E241" s="27"/>
      <c r="F241" s="21"/>
      <c r="G241" s="27"/>
      <c r="K241" s="21"/>
      <c r="L241" s="27"/>
      <c r="Q241" s="21"/>
      <c r="S241" s="21"/>
      <c r="T241" s="27"/>
      <c r="Y241" s="21"/>
      <c r="Z241" s="16"/>
    </row>
    <row r="242" ht="12.75" spans="1:26">
      <c r="A242" s="16"/>
      <c r="B242" s="1"/>
      <c r="C242" s="15"/>
      <c r="D242" s="16"/>
      <c r="E242" s="27"/>
      <c r="F242" s="21"/>
      <c r="G242" s="27"/>
      <c r="K242" s="21"/>
      <c r="L242" s="27"/>
      <c r="Q242" s="21"/>
      <c r="S242" s="21"/>
      <c r="T242" s="27"/>
      <c r="Y242" s="21"/>
      <c r="Z242" s="16"/>
    </row>
    <row r="243" ht="12.75" spans="1:26">
      <c r="A243" s="16"/>
      <c r="B243" s="1"/>
      <c r="C243" s="15"/>
      <c r="D243" s="16"/>
      <c r="E243" s="27"/>
      <c r="F243" s="21"/>
      <c r="G243" s="27"/>
      <c r="K243" s="21"/>
      <c r="L243" s="27"/>
      <c r="Q243" s="21"/>
      <c r="S243" s="21"/>
      <c r="T243" s="27"/>
      <c r="Y243" s="21"/>
      <c r="Z243" s="16"/>
    </row>
    <row r="244" ht="12.75" spans="1:26">
      <c r="A244" s="16"/>
      <c r="B244" s="1"/>
      <c r="C244" s="15"/>
      <c r="D244" s="16"/>
      <c r="E244" s="27"/>
      <c r="F244" s="21"/>
      <c r="G244" s="27"/>
      <c r="K244" s="21"/>
      <c r="L244" s="27"/>
      <c r="Q244" s="21"/>
      <c r="S244" s="21"/>
      <c r="T244" s="27"/>
      <c r="Y244" s="21"/>
      <c r="Z244" s="16"/>
    </row>
    <row r="245" ht="12.75" spans="1:26">
      <c r="A245" s="16"/>
      <c r="B245" s="1"/>
      <c r="C245" s="15"/>
      <c r="D245" s="16"/>
      <c r="E245" s="27"/>
      <c r="F245" s="21"/>
      <c r="G245" s="27"/>
      <c r="K245" s="21"/>
      <c r="L245" s="27"/>
      <c r="Q245" s="21"/>
      <c r="S245" s="21"/>
      <c r="T245" s="27"/>
      <c r="Y245" s="21"/>
      <c r="Z245" s="16"/>
    </row>
    <row r="246" ht="12.75" spans="1:26">
      <c r="A246" s="16"/>
      <c r="B246" s="1"/>
      <c r="C246" s="15"/>
      <c r="D246" s="16"/>
      <c r="E246" s="27"/>
      <c r="F246" s="21"/>
      <c r="G246" s="27"/>
      <c r="K246" s="21"/>
      <c r="L246" s="27"/>
      <c r="Q246" s="21"/>
      <c r="S246" s="21"/>
      <c r="T246" s="27"/>
      <c r="Y246" s="21"/>
      <c r="Z246" s="16"/>
    </row>
    <row r="247" ht="12.75" spans="1:26">
      <c r="A247" s="16"/>
      <c r="B247" s="1"/>
      <c r="C247" s="15"/>
      <c r="D247" s="16"/>
      <c r="E247" s="27"/>
      <c r="F247" s="21"/>
      <c r="G247" s="27"/>
      <c r="K247" s="21"/>
      <c r="L247" s="27"/>
      <c r="Q247" s="21"/>
      <c r="S247" s="21"/>
      <c r="T247" s="27"/>
      <c r="Y247" s="21"/>
      <c r="Z247" s="16"/>
    </row>
    <row r="248" ht="12.75" spans="1:26">
      <c r="A248" s="16"/>
      <c r="B248" s="1"/>
      <c r="C248" s="15"/>
      <c r="D248" s="16"/>
      <c r="E248" s="27"/>
      <c r="F248" s="21"/>
      <c r="G248" s="27"/>
      <c r="K248" s="21"/>
      <c r="L248" s="27"/>
      <c r="Q248" s="21"/>
      <c r="S248" s="21"/>
      <c r="T248" s="27"/>
      <c r="Y248" s="21"/>
      <c r="Z248" s="16"/>
    </row>
    <row r="249" ht="12.75" spans="1:26">
      <c r="A249" s="16"/>
      <c r="B249" s="1"/>
      <c r="C249" s="15"/>
      <c r="D249" s="16"/>
      <c r="E249" s="27"/>
      <c r="F249" s="21"/>
      <c r="G249" s="27"/>
      <c r="K249" s="21"/>
      <c r="L249" s="27"/>
      <c r="Q249" s="21"/>
      <c r="S249" s="21"/>
      <c r="T249" s="27"/>
      <c r="Y249" s="21"/>
      <c r="Z249" s="16"/>
    </row>
    <row r="250" ht="12.75" spans="1:26">
      <c r="A250" s="16"/>
      <c r="B250" s="1"/>
      <c r="C250" s="15"/>
      <c r="D250" s="16"/>
      <c r="E250" s="27"/>
      <c r="F250" s="21"/>
      <c r="G250" s="27"/>
      <c r="K250" s="21"/>
      <c r="L250" s="27"/>
      <c r="Q250" s="21"/>
      <c r="S250" s="21"/>
      <c r="T250" s="27"/>
      <c r="Y250" s="21"/>
      <c r="Z250" s="16"/>
    </row>
    <row r="251" ht="12.75" spans="1:26">
      <c r="A251" s="16"/>
      <c r="B251" s="1"/>
      <c r="C251" s="15"/>
      <c r="D251" s="16"/>
      <c r="E251" s="27"/>
      <c r="F251" s="21"/>
      <c r="G251" s="27"/>
      <c r="K251" s="21"/>
      <c r="L251" s="27"/>
      <c r="Q251" s="21"/>
      <c r="S251" s="21"/>
      <c r="T251" s="27"/>
      <c r="Y251" s="21"/>
      <c r="Z251" s="16"/>
    </row>
    <row r="252" ht="12.75" spans="1:26">
      <c r="A252" s="16"/>
      <c r="B252" s="1"/>
      <c r="C252" s="15"/>
      <c r="D252" s="16"/>
      <c r="E252" s="27"/>
      <c r="F252" s="21"/>
      <c r="G252" s="27"/>
      <c r="K252" s="21"/>
      <c r="L252" s="27"/>
      <c r="Q252" s="21"/>
      <c r="S252" s="21"/>
      <c r="T252" s="27"/>
      <c r="Y252" s="21"/>
      <c r="Z252" s="16"/>
    </row>
    <row r="253" ht="12.75" spans="1:26">
      <c r="A253" s="16"/>
      <c r="B253" s="1"/>
      <c r="C253" s="15"/>
      <c r="D253" s="16"/>
      <c r="E253" s="27"/>
      <c r="F253" s="21"/>
      <c r="G253" s="27"/>
      <c r="K253" s="21"/>
      <c r="L253" s="27"/>
      <c r="Q253" s="21"/>
      <c r="S253" s="21"/>
      <c r="T253" s="27"/>
      <c r="Y253" s="21"/>
      <c r="Z253" s="16"/>
    </row>
    <row r="254" ht="12.75" spans="1:26">
      <c r="A254" s="16"/>
      <c r="B254" s="1"/>
      <c r="C254" s="15"/>
      <c r="D254" s="16"/>
      <c r="E254" s="27"/>
      <c r="F254" s="21"/>
      <c r="G254" s="27"/>
      <c r="K254" s="21"/>
      <c r="L254" s="27"/>
      <c r="Q254" s="21"/>
      <c r="S254" s="21"/>
      <c r="T254" s="27"/>
      <c r="Y254" s="21"/>
      <c r="Z254" s="16"/>
    </row>
    <row r="255" ht="12.75" spans="1:26">
      <c r="A255" s="16"/>
      <c r="B255" s="1"/>
      <c r="C255" s="15"/>
      <c r="D255" s="16"/>
      <c r="E255" s="27"/>
      <c r="F255" s="21"/>
      <c r="G255" s="27"/>
      <c r="K255" s="21"/>
      <c r="L255" s="27"/>
      <c r="Q255" s="21"/>
      <c r="S255" s="21"/>
      <c r="T255" s="27"/>
      <c r="Y255" s="21"/>
      <c r="Z255" s="16"/>
    </row>
    <row r="256" ht="12.75" spans="1:26">
      <c r="A256" s="16"/>
      <c r="B256" s="1"/>
      <c r="C256" s="15"/>
      <c r="D256" s="16"/>
      <c r="E256" s="27"/>
      <c r="F256" s="21"/>
      <c r="G256" s="27"/>
      <c r="K256" s="21"/>
      <c r="L256" s="27"/>
      <c r="Q256" s="21"/>
      <c r="S256" s="21"/>
      <c r="T256" s="27"/>
      <c r="Y256" s="21"/>
      <c r="Z256" s="16"/>
    </row>
    <row r="257" ht="12.75" spans="1:26">
      <c r="A257" s="16"/>
      <c r="B257" s="1"/>
      <c r="C257" s="15"/>
      <c r="D257" s="16"/>
      <c r="E257" s="27"/>
      <c r="F257" s="21"/>
      <c r="G257" s="27"/>
      <c r="K257" s="21"/>
      <c r="L257" s="27"/>
      <c r="Q257" s="21"/>
      <c r="S257" s="21"/>
      <c r="T257" s="27"/>
      <c r="Y257" s="21"/>
      <c r="Z257" s="16"/>
    </row>
    <row r="258" ht="12.75" spans="1:26">
      <c r="A258" s="16"/>
      <c r="B258" s="1"/>
      <c r="C258" s="15"/>
      <c r="D258" s="16"/>
      <c r="E258" s="27"/>
      <c r="F258" s="21"/>
      <c r="G258" s="27"/>
      <c r="K258" s="21"/>
      <c r="L258" s="27"/>
      <c r="Q258" s="21"/>
      <c r="S258" s="21"/>
      <c r="T258" s="27"/>
      <c r="Y258" s="21"/>
      <c r="Z258" s="16"/>
    </row>
    <row r="259" ht="12.75" spans="1:26">
      <c r="A259" s="16"/>
      <c r="B259" s="1"/>
      <c r="C259" s="15"/>
      <c r="D259" s="16"/>
      <c r="E259" s="27"/>
      <c r="F259" s="21"/>
      <c r="G259" s="27"/>
      <c r="K259" s="21"/>
      <c r="L259" s="27"/>
      <c r="Q259" s="21"/>
      <c r="S259" s="21"/>
      <c r="T259" s="27"/>
      <c r="Y259" s="21"/>
      <c r="Z259" s="16"/>
    </row>
    <row r="260" ht="12.75" spans="1:26">
      <c r="A260" s="16"/>
      <c r="B260" s="1"/>
      <c r="C260" s="15"/>
      <c r="D260" s="16"/>
      <c r="E260" s="27"/>
      <c r="F260" s="21"/>
      <c r="G260" s="27"/>
      <c r="K260" s="21"/>
      <c r="L260" s="27"/>
      <c r="Q260" s="21"/>
      <c r="S260" s="21"/>
      <c r="T260" s="27"/>
      <c r="Y260" s="21"/>
      <c r="Z260" s="16"/>
    </row>
    <row r="261" ht="12.75" spans="1:26">
      <c r="A261" s="16"/>
      <c r="B261" s="1"/>
      <c r="C261" s="15"/>
      <c r="D261" s="16"/>
      <c r="E261" s="27"/>
      <c r="F261" s="21"/>
      <c r="G261" s="27"/>
      <c r="K261" s="21"/>
      <c r="L261" s="27"/>
      <c r="Q261" s="21"/>
      <c r="S261" s="21"/>
      <c r="T261" s="27"/>
      <c r="Y261" s="21"/>
      <c r="Z261" s="16"/>
    </row>
    <row r="262" ht="12.75" spans="1:26">
      <c r="A262" s="16"/>
      <c r="B262" s="1"/>
      <c r="C262" s="15"/>
      <c r="D262" s="16"/>
      <c r="E262" s="27"/>
      <c r="F262" s="21"/>
      <c r="G262" s="27"/>
      <c r="K262" s="21"/>
      <c r="L262" s="27"/>
      <c r="Q262" s="21"/>
      <c r="S262" s="21"/>
      <c r="T262" s="27"/>
      <c r="Y262" s="21"/>
      <c r="Z262" s="16"/>
    </row>
    <row r="263" ht="12.75" spans="1:26">
      <c r="A263" s="16"/>
      <c r="B263" s="1"/>
      <c r="C263" s="15"/>
      <c r="D263" s="16"/>
      <c r="E263" s="27"/>
      <c r="F263" s="21"/>
      <c r="G263" s="27"/>
      <c r="K263" s="21"/>
      <c r="L263" s="27"/>
      <c r="Q263" s="21"/>
      <c r="S263" s="21"/>
      <c r="T263" s="27"/>
      <c r="Y263" s="21"/>
      <c r="Z263" s="16"/>
    </row>
    <row r="264" ht="12.75" spans="1:26">
      <c r="A264" s="16"/>
      <c r="B264" s="1"/>
      <c r="C264" s="15"/>
      <c r="D264" s="16"/>
      <c r="E264" s="27"/>
      <c r="F264" s="21"/>
      <c r="G264" s="27"/>
      <c r="K264" s="21"/>
      <c r="L264" s="27"/>
      <c r="Q264" s="21"/>
      <c r="S264" s="21"/>
      <c r="T264" s="27"/>
      <c r="Y264" s="21"/>
      <c r="Z264" s="16"/>
    </row>
    <row r="265" ht="12.75" spans="1:26">
      <c r="A265" s="16"/>
      <c r="B265" s="1"/>
      <c r="C265" s="15"/>
      <c r="D265" s="16"/>
      <c r="E265" s="27"/>
      <c r="F265" s="21"/>
      <c r="G265" s="27"/>
      <c r="K265" s="21"/>
      <c r="L265" s="27"/>
      <c r="Q265" s="21"/>
      <c r="S265" s="21"/>
      <c r="T265" s="27"/>
      <c r="Y265" s="21"/>
      <c r="Z265" s="16"/>
    </row>
    <row r="266" ht="12.75" spans="1:26">
      <c r="A266" s="16"/>
      <c r="B266" s="1"/>
      <c r="C266" s="15"/>
      <c r="D266" s="16"/>
      <c r="E266" s="27"/>
      <c r="F266" s="21"/>
      <c r="G266" s="27"/>
      <c r="K266" s="21"/>
      <c r="L266" s="27"/>
      <c r="Q266" s="21"/>
      <c r="S266" s="21"/>
      <c r="T266" s="27"/>
      <c r="Y266" s="21"/>
      <c r="Z266" s="16"/>
    </row>
    <row r="267" ht="12.75" spans="1:26">
      <c r="A267" s="16"/>
      <c r="B267" s="1"/>
      <c r="C267" s="15"/>
      <c r="D267" s="16"/>
      <c r="E267" s="27"/>
      <c r="F267" s="21"/>
      <c r="G267" s="27"/>
      <c r="K267" s="21"/>
      <c r="L267" s="27"/>
      <c r="Q267" s="21"/>
      <c r="S267" s="21"/>
      <c r="T267" s="27"/>
      <c r="Y267" s="21"/>
      <c r="Z267" s="16"/>
    </row>
    <row r="268" ht="12.75" spans="1:26">
      <c r="A268" s="16"/>
      <c r="B268" s="1"/>
      <c r="C268" s="15"/>
      <c r="D268" s="16"/>
      <c r="E268" s="27"/>
      <c r="F268" s="21"/>
      <c r="G268" s="27"/>
      <c r="K268" s="21"/>
      <c r="L268" s="27"/>
      <c r="Q268" s="21"/>
      <c r="S268" s="21"/>
      <c r="T268" s="27"/>
      <c r="Y268" s="21"/>
      <c r="Z268" s="16"/>
    </row>
    <row r="269" ht="12.75" spans="1:26">
      <c r="A269" s="16"/>
      <c r="B269" s="1"/>
      <c r="C269" s="15"/>
      <c r="D269" s="16"/>
      <c r="E269" s="27"/>
      <c r="F269" s="21"/>
      <c r="G269" s="27"/>
      <c r="K269" s="21"/>
      <c r="L269" s="27"/>
      <c r="Q269" s="21"/>
      <c r="S269" s="21"/>
      <c r="T269" s="27"/>
      <c r="Y269" s="21"/>
      <c r="Z269" s="16"/>
    </row>
    <row r="270" ht="12.75" spans="1:26">
      <c r="A270" s="16"/>
      <c r="B270" s="1"/>
      <c r="C270" s="15"/>
      <c r="D270" s="16"/>
      <c r="E270" s="27"/>
      <c r="F270" s="21"/>
      <c r="G270" s="27"/>
      <c r="K270" s="21"/>
      <c r="L270" s="27"/>
      <c r="Q270" s="21"/>
      <c r="S270" s="21"/>
      <c r="T270" s="27"/>
      <c r="Y270" s="21"/>
      <c r="Z270" s="16"/>
    </row>
    <row r="271" ht="12.75" spans="1:26">
      <c r="A271" s="16"/>
      <c r="B271" s="1"/>
      <c r="C271" s="15"/>
      <c r="D271" s="16"/>
      <c r="E271" s="27"/>
      <c r="F271" s="21"/>
      <c r="G271" s="27"/>
      <c r="K271" s="21"/>
      <c r="L271" s="27"/>
      <c r="Q271" s="21"/>
      <c r="S271" s="21"/>
      <c r="T271" s="27"/>
      <c r="Y271" s="21"/>
      <c r="Z271" s="16"/>
    </row>
    <row r="272" ht="12.75" spans="1:26">
      <c r="A272" s="16"/>
      <c r="B272" s="1"/>
      <c r="C272" s="15"/>
      <c r="D272" s="16"/>
      <c r="E272" s="27"/>
      <c r="F272" s="21"/>
      <c r="G272" s="27"/>
      <c r="K272" s="21"/>
      <c r="L272" s="27"/>
      <c r="Q272" s="21"/>
      <c r="S272" s="21"/>
      <c r="T272" s="27"/>
      <c r="Y272" s="21"/>
      <c r="Z272" s="16"/>
    </row>
    <row r="273" ht="12.75" spans="1:26">
      <c r="A273" s="16"/>
      <c r="B273" s="1"/>
      <c r="C273" s="15"/>
      <c r="D273" s="16"/>
      <c r="E273" s="27"/>
      <c r="F273" s="21"/>
      <c r="G273" s="27"/>
      <c r="K273" s="21"/>
      <c r="L273" s="27"/>
      <c r="Q273" s="21"/>
      <c r="S273" s="21"/>
      <c r="T273" s="27"/>
      <c r="Y273" s="21"/>
      <c r="Z273" s="16"/>
    </row>
    <row r="274" ht="12.75" spans="1:26">
      <c r="A274" s="16"/>
      <c r="B274" s="1"/>
      <c r="C274" s="15"/>
      <c r="D274" s="16"/>
      <c r="E274" s="27"/>
      <c r="F274" s="21"/>
      <c r="G274" s="27"/>
      <c r="K274" s="21"/>
      <c r="L274" s="27"/>
      <c r="Q274" s="21"/>
      <c r="S274" s="21"/>
      <c r="T274" s="27"/>
      <c r="Y274" s="21"/>
      <c r="Z274" s="16"/>
    </row>
    <row r="275" ht="12.75" spans="1:26">
      <c r="A275" s="16"/>
      <c r="B275" s="1"/>
      <c r="C275" s="15"/>
      <c r="D275" s="16"/>
      <c r="E275" s="27"/>
      <c r="F275" s="21"/>
      <c r="G275" s="27"/>
      <c r="K275" s="21"/>
      <c r="L275" s="27"/>
      <c r="Q275" s="21"/>
      <c r="S275" s="21"/>
      <c r="T275" s="27"/>
      <c r="Y275" s="21"/>
      <c r="Z275" s="16"/>
    </row>
    <row r="276" ht="12.75" spans="1:26">
      <c r="A276" s="16"/>
      <c r="B276" s="1"/>
      <c r="C276" s="15"/>
      <c r="D276" s="16"/>
      <c r="E276" s="27"/>
      <c r="F276" s="21"/>
      <c r="G276" s="27"/>
      <c r="K276" s="21"/>
      <c r="L276" s="27"/>
      <c r="Q276" s="21"/>
      <c r="S276" s="21"/>
      <c r="T276" s="27"/>
      <c r="Y276" s="21"/>
      <c r="Z276" s="16"/>
    </row>
    <row r="277" ht="12.75" spans="1:26">
      <c r="A277" s="16"/>
      <c r="B277" s="1"/>
      <c r="C277" s="15"/>
      <c r="D277" s="16"/>
      <c r="E277" s="27"/>
      <c r="F277" s="21"/>
      <c r="G277" s="27"/>
      <c r="K277" s="21"/>
      <c r="L277" s="27"/>
      <c r="Q277" s="21"/>
      <c r="S277" s="21"/>
      <c r="T277" s="27"/>
      <c r="Y277" s="21"/>
      <c r="Z277" s="16"/>
    </row>
    <row r="278" ht="12.75" spans="1:26">
      <c r="A278" s="16"/>
      <c r="B278" s="1"/>
      <c r="C278" s="15"/>
      <c r="D278" s="16"/>
      <c r="E278" s="27"/>
      <c r="F278" s="21"/>
      <c r="G278" s="27"/>
      <c r="K278" s="21"/>
      <c r="L278" s="27"/>
      <c r="Q278" s="21"/>
      <c r="S278" s="21"/>
      <c r="T278" s="27"/>
      <c r="Y278" s="21"/>
      <c r="Z278" s="16"/>
    </row>
    <row r="279" ht="12.75" spans="1:26">
      <c r="A279" s="16"/>
      <c r="B279" s="1"/>
      <c r="C279" s="15"/>
      <c r="D279" s="16"/>
      <c r="E279" s="27"/>
      <c r="F279" s="21"/>
      <c r="G279" s="27"/>
      <c r="K279" s="21"/>
      <c r="L279" s="27"/>
      <c r="Q279" s="21"/>
      <c r="S279" s="21"/>
      <c r="T279" s="27"/>
      <c r="Y279" s="21"/>
      <c r="Z279" s="16"/>
    </row>
    <row r="280" ht="12.75" spans="1:26">
      <c r="A280" s="16"/>
      <c r="B280" s="1"/>
      <c r="C280" s="15"/>
      <c r="D280" s="16"/>
      <c r="E280" s="27"/>
      <c r="F280" s="21"/>
      <c r="G280" s="27"/>
      <c r="K280" s="21"/>
      <c r="L280" s="27"/>
      <c r="Q280" s="21"/>
      <c r="S280" s="21"/>
      <c r="T280" s="27"/>
      <c r="Y280" s="21"/>
      <c r="Z280" s="16"/>
    </row>
    <row r="281" ht="12.75" spans="1:26">
      <c r="A281" s="16"/>
      <c r="B281" s="1"/>
      <c r="C281" s="15"/>
      <c r="D281" s="16"/>
      <c r="E281" s="27"/>
      <c r="F281" s="21"/>
      <c r="G281" s="27"/>
      <c r="K281" s="21"/>
      <c r="L281" s="27"/>
      <c r="Q281" s="21"/>
      <c r="S281" s="21"/>
      <c r="T281" s="27"/>
      <c r="Y281" s="21"/>
      <c r="Z281" s="16"/>
    </row>
    <row r="282" ht="12.75" spans="1:26">
      <c r="A282" s="16"/>
      <c r="B282" s="1"/>
      <c r="C282" s="15"/>
      <c r="D282" s="16"/>
      <c r="E282" s="27"/>
      <c r="F282" s="21"/>
      <c r="G282" s="27"/>
      <c r="K282" s="21"/>
      <c r="L282" s="27"/>
      <c r="Q282" s="21"/>
      <c r="S282" s="21"/>
      <c r="T282" s="27"/>
      <c r="Y282" s="21"/>
      <c r="Z282" s="16"/>
    </row>
    <row r="283" ht="12.75" spans="1:26">
      <c r="A283" s="16"/>
      <c r="B283" s="1"/>
      <c r="C283" s="15"/>
      <c r="D283" s="16"/>
      <c r="E283" s="27"/>
      <c r="F283" s="21"/>
      <c r="G283" s="27"/>
      <c r="K283" s="21"/>
      <c r="L283" s="27"/>
      <c r="Q283" s="21"/>
      <c r="S283" s="21"/>
      <c r="T283" s="27"/>
      <c r="Y283" s="21"/>
      <c r="Z283" s="16"/>
    </row>
    <row r="284" ht="12.75" spans="1:26">
      <c r="A284" s="16"/>
      <c r="B284" s="1"/>
      <c r="C284" s="15"/>
      <c r="D284" s="16"/>
      <c r="E284" s="27"/>
      <c r="F284" s="21"/>
      <c r="G284" s="27"/>
      <c r="K284" s="21"/>
      <c r="L284" s="27"/>
      <c r="Q284" s="21"/>
      <c r="S284" s="21"/>
      <c r="T284" s="27"/>
      <c r="Y284" s="21"/>
      <c r="Z284" s="16"/>
    </row>
    <row r="285" ht="12.75" spans="1:26">
      <c r="A285" s="16"/>
      <c r="B285" s="1"/>
      <c r="C285" s="15"/>
      <c r="D285" s="16"/>
      <c r="E285" s="27"/>
      <c r="F285" s="21"/>
      <c r="G285" s="27"/>
      <c r="K285" s="21"/>
      <c r="L285" s="27"/>
      <c r="Q285" s="21"/>
      <c r="S285" s="21"/>
      <c r="T285" s="27"/>
      <c r="Y285" s="21"/>
      <c r="Z285" s="16"/>
    </row>
    <row r="286" ht="12.75" spans="1:26">
      <c r="A286" s="16"/>
      <c r="B286" s="1"/>
      <c r="C286" s="15"/>
      <c r="D286" s="16"/>
      <c r="E286" s="27"/>
      <c r="F286" s="21"/>
      <c r="G286" s="27"/>
      <c r="K286" s="21"/>
      <c r="L286" s="27"/>
      <c r="Q286" s="21"/>
      <c r="S286" s="21"/>
      <c r="T286" s="27"/>
      <c r="Y286" s="21"/>
      <c r="Z286" s="16"/>
    </row>
    <row r="287" ht="12.75" spans="1:26">
      <c r="A287" s="16"/>
      <c r="B287" s="1"/>
      <c r="C287" s="15"/>
      <c r="D287" s="16"/>
      <c r="E287" s="27"/>
      <c r="F287" s="21"/>
      <c r="G287" s="27"/>
      <c r="K287" s="21"/>
      <c r="L287" s="27"/>
      <c r="Q287" s="21"/>
      <c r="S287" s="21"/>
      <c r="T287" s="27"/>
      <c r="Y287" s="21"/>
      <c r="Z287" s="16"/>
    </row>
    <row r="288" ht="12.75" spans="1:26">
      <c r="A288" s="16"/>
      <c r="B288" s="1"/>
      <c r="C288" s="15"/>
      <c r="D288" s="16"/>
      <c r="E288" s="27"/>
      <c r="F288" s="21"/>
      <c r="G288" s="27"/>
      <c r="K288" s="21"/>
      <c r="L288" s="27"/>
      <c r="Q288" s="21"/>
      <c r="S288" s="21"/>
      <c r="T288" s="27"/>
      <c r="Y288" s="21"/>
      <c r="Z288" s="16"/>
    </row>
    <row r="289" ht="12.75" spans="1:26">
      <c r="A289" s="16"/>
      <c r="B289" s="1"/>
      <c r="C289" s="15"/>
      <c r="D289" s="16"/>
      <c r="E289" s="27"/>
      <c r="F289" s="21"/>
      <c r="G289" s="27"/>
      <c r="K289" s="21"/>
      <c r="L289" s="27"/>
      <c r="Q289" s="21"/>
      <c r="S289" s="21"/>
      <c r="T289" s="27"/>
      <c r="Y289" s="21"/>
      <c r="Z289" s="16"/>
    </row>
    <row r="290" ht="12.75" spans="1:26">
      <c r="A290" s="16"/>
      <c r="B290" s="1"/>
      <c r="C290" s="15"/>
      <c r="D290" s="16"/>
      <c r="E290" s="27"/>
      <c r="F290" s="21"/>
      <c r="G290" s="27"/>
      <c r="K290" s="21"/>
      <c r="L290" s="27"/>
      <c r="Q290" s="21"/>
      <c r="S290" s="21"/>
      <c r="T290" s="27"/>
      <c r="Y290" s="21"/>
      <c r="Z290" s="16"/>
    </row>
    <row r="291" ht="12.75" spans="1:26">
      <c r="A291" s="16"/>
      <c r="B291" s="1"/>
      <c r="C291" s="15"/>
      <c r="D291" s="16"/>
      <c r="E291" s="27"/>
      <c r="F291" s="21"/>
      <c r="G291" s="27"/>
      <c r="K291" s="21"/>
      <c r="L291" s="27"/>
      <c r="Q291" s="21"/>
      <c r="S291" s="21"/>
      <c r="T291" s="27"/>
      <c r="Y291" s="21"/>
      <c r="Z291" s="16"/>
    </row>
    <row r="292" ht="12.75" spans="1:26">
      <c r="A292" s="16"/>
      <c r="B292" s="1"/>
      <c r="C292" s="15"/>
      <c r="D292" s="16"/>
      <c r="E292" s="27"/>
      <c r="F292" s="21"/>
      <c r="G292" s="27"/>
      <c r="K292" s="21"/>
      <c r="L292" s="27"/>
      <c r="Q292" s="21"/>
      <c r="S292" s="21"/>
      <c r="T292" s="27"/>
      <c r="Y292" s="21"/>
      <c r="Z292" s="16"/>
    </row>
    <row r="293" ht="12.75" spans="1:26">
      <c r="A293" s="16"/>
      <c r="B293" s="1"/>
      <c r="C293" s="15"/>
      <c r="D293" s="16"/>
      <c r="E293" s="27"/>
      <c r="F293" s="21"/>
      <c r="G293" s="27"/>
      <c r="K293" s="21"/>
      <c r="L293" s="27"/>
      <c r="Q293" s="21"/>
      <c r="S293" s="21"/>
      <c r="T293" s="27"/>
      <c r="Y293" s="21"/>
      <c r="Z293" s="16"/>
    </row>
    <row r="294" ht="12.75" spans="1:26">
      <c r="A294" s="16"/>
      <c r="B294" s="1"/>
      <c r="C294" s="15"/>
      <c r="D294" s="16"/>
      <c r="E294" s="27"/>
      <c r="F294" s="21"/>
      <c r="G294" s="27"/>
      <c r="K294" s="21"/>
      <c r="L294" s="27"/>
      <c r="Q294" s="21"/>
      <c r="S294" s="21"/>
      <c r="T294" s="27"/>
      <c r="Y294" s="21"/>
      <c r="Z294" s="16"/>
    </row>
    <row r="295" ht="12.75" spans="1:26">
      <c r="A295" s="16"/>
      <c r="B295" s="1"/>
      <c r="C295" s="15"/>
      <c r="D295" s="16"/>
      <c r="E295" s="27"/>
      <c r="F295" s="21"/>
      <c r="G295" s="27"/>
      <c r="K295" s="21"/>
      <c r="L295" s="27"/>
      <c r="Q295" s="21"/>
      <c r="S295" s="21"/>
      <c r="T295" s="27"/>
      <c r="Y295" s="21"/>
      <c r="Z295" s="16"/>
    </row>
    <row r="296" ht="12.75" spans="1:26">
      <c r="A296" s="16"/>
      <c r="B296" s="1"/>
      <c r="C296" s="15"/>
      <c r="D296" s="16"/>
      <c r="E296" s="27"/>
      <c r="F296" s="21"/>
      <c r="G296" s="27"/>
      <c r="K296" s="21"/>
      <c r="L296" s="27"/>
      <c r="Q296" s="21"/>
      <c r="S296" s="21"/>
      <c r="T296" s="27"/>
      <c r="Y296" s="21"/>
      <c r="Z296" s="16"/>
    </row>
    <row r="297" ht="12.75" spans="1:26">
      <c r="A297" s="16"/>
      <c r="B297" s="1"/>
      <c r="C297" s="15"/>
      <c r="D297" s="16"/>
      <c r="E297" s="27"/>
      <c r="F297" s="21"/>
      <c r="G297" s="27"/>
      <c r="K297" s="21"/>
      <c r="L297" s="27"/>
      <c r="Q297" s="21"/>
      <c r="S297" s="21"/>
      <c r="T297" s="27"/>
      <c r="Y297" s="21"/>
      <c r="Z297" s="16"/>
    </row>
    <row r="298" ht="12.75" spans="1:26">
      <c r="A298" s="16"/>
      <c r="B298" s="1"/>
      <c r="C298" s="15"/>
      <c r="D298" s="16"/>
      <c r="E298" s="27"/>
      <c r="F298" s="21"/>
      <c r="G298" s="27"/>
      <c r="K298" s="21"/>
      <c r="L298" s="27"/>
      <c r="Q298" s="21"/>
      <c r="S298" s="21"/>
      <c r="T298" s="27"/>
      <c r="Y298" s="21"/>
      <c r="Z298" s="16"/>
    </row>
    <row r="299" ht="12.75" spans="1:26">
      <c r="A299" s="16"/>
      <c r="B299" s="1"/>
      <c r="C299" s="15"/>
      <c r="D299" s="16"/>
      <c r="E299" s="27"/>
      <c r="F299" s="21"/>
      <c r="G299" s="27"/>
      <c r="K299" s="21"/>
      <c r="L299" s="27"/>
      <c r="Q299" s="21"/>
      <c r="S299" s="21"/>
      <c r="T299" s="27"/>
      <c r="Y299" s="21"/>
      <c r="Z299" s="16"/>
    </row>
    <row r="300" ht="12.75" spans="1:26">
      <c r="A300" s="16"/>
      <c r="B300" s="1"/>
      <c r="C300" s="15"/>
      <c r="D300" s="16"/>
      <c r="E300" s="27"/>
      <c r="F300" s="21"/>
      <c r="G300" s="27"/>
      <c r="K300" s="21"/>
      <c r="L300" s="27"/>
      <c r="Q300" s="21"/>
      <c r="S300" s="21"/>
      <c r="T300" s="27"/>
      <c r="Y300" s="21"/>
      <c r="Z300" s="16"/>
    </row>
    <row r="301" ht="12.75" spans="1:26">
      <c r="A301" s="16"/>
      <c r="B301" s="1"/>
      <c r="C301" s="15"/>
      <c r="D301" s="16"/>
      <c r="E301" s="27"/>
      <c r="F301" s="21"/>
      <c r="G301" s="27"/>
      <c r="K301" s="21"/>
      <c r="L301" s="27"/>
      <c r="Q301" s="21"/>
      <c r="S301" s="21"/>
      <c r="T301" s="27"/>
      <c r="Y301" s="21"/>
      <c r="Z301" s="16"/>
    </row>
    <row r="302" ht="12.75" spans="1:26">
      <c r="A302" s="16"/>
      <c r="B302" s="1"/>
      <c r="C302" s="15"/>
      <c r="D302" s="16"/>
      <c r="E302" s="27"/>
      <c r="F302" s="21"/>
      <c r="G302" s="27"/>
      <c r="K302" s="21"/>
      <c r="L302" s="27"/>
      <c r="Q302" s="21"/>
      <c r="S302" s="21"/>
      <c r="T302" s="27"/>
      <c r="Y302" s="21"/>
      <c r="Z302" s="16"/>
    </row>
    <row r="303" ht="12.75" spans="1:26">
      <c r="A303" s="16"/>
      <c r="B303" s="1"/>
      <c r="C303" s="15"/>
      <c r="D303" s="16"/>
      <c r="E303" s="27"/>
      <c r="F303" s="21"/>
      <c r="G303" s="27"/>
      <c r="K303" s="21"/>
      <c r="L303" s="27"/>
      <c r="Q303" s="21"/>
      <c r="S303" s="21"/>
      <c r="T303" s="27"/>
      <c r="Y303" s="21"/>
      <c r="Z303" s="16"/>
    </row>
    <row r="304" ht="12.75" spans="1:26">
      <c r="A304" s="16"/>
      <c r="B304" s="1"/>
      <c r="C304" s="15"/>
      <c r="D304" s="16"/>
      <c r="E304" s="27"/>
      <c r="F304" s="21"/>
      <c r="G304" s="27"/>
      <c r="K304" s="21"/>
      <c r="L304" s="27"/>
      <c r="Q304" s="21"/>
      <c r="S304" s="21"/>
      <c r="T304" s="27"/>
      <c r="Y304" s="21"/>
      <c r="Z304" s="16"/>
    </row>
    <row r="305" ht="12.75" spans="1:26">
      <c r="A305" s="16"/>
      <c r="B305" s="1"/>
      <c r="C305" s="15"/>
      <c r="D305" s="16"/>
      <c r="E305" s="27"/>
      <c r="F305" s="21"/>
      <c r="G305" s="27"/>
      <c r="K305" s="21"/>
      <c r="L305" s="27"/>
      <c r="Q305" s="21"/>
      <c r="S305" s="21"/>
      <c r="T305" s="27"/>
      <c r="Y305" s="21"/>
      <c r="Z305" s="16"/>
    </row>
    <row r="306" ht="12.75" spans="1:26">
      <c r="A306" s="16"/>
      <c r="B306" s="1"/>
      <c r="C306" s="15"/>
      <c r="D306" s="16"/>
      <c r="E306" s="27"/>
      <c r="F306" s="21"/>
      <c r="G306" s="27"/>
      <c r="K306" s="21"/>
      <c r="L306" s="27"/>
      <c r="Q306" s="21"/>
      <c r="S306" s="21"/>
      <c r="T306" s="27"/>
      <c r="Y306" s="21"/>
      <c r="Z306" s="16"/>
    </row>
    <row r="307" ht="12.75" spans="1:26">
      <c r="A307" s="16"/>
      <c r="B307" s="1"/>
      <c r="C307" s="15"/>
      <c r="D307" s="16"/>
      <c r="E307" s="27"/>
      <c r="F307" s="21"/>
      <c r="G307" s="27"/>
      <c r="K307" s="21"/>
      <c r="L307" s="27"/>
      <c r="Q307" s="21"/>
      <c r="S307" s="21"/>
      <c r="T307" s="27"/>
      <c r="Y307" s="21"/>
      <c r="Z307" s="16"/>
    </row>
    <row r="308" ht="12.75" spans="1:26">
      <c r="A308" s="16"/>
      <c r="B308" s="1"/>
      <c r="C308" s="15"/>
      <c r="D308" s="16"/>
      <c r="E308" s="27"/>
      <c r="F308" s="21"/>
      <c r="G308" s="27"/>
      <c r="K308" s="21"/>
      <c r="L308" s="27"/>
      <c r="Q308" s="21"/>
      <c r="S308" s="21"/>
      <c r="T308" s="27"/>
      <c r="Y308" s="21"/>
      <c r="Z308" s="16"/>
    </row>
    <row r="309" ht="12.75" spans="1:26">
      <c r="A309" s="16"/>
      <c r="B309" s="1"/>
      <c r="C309" s="15"/>
      <c r="D309" s="16"/>
      <c r="E309" s="27"/>
      <c r="F309" s="21"/>
      <c r="G309" s="27"/>
      <c r="K309" s="21"/>
      <c r="L309" s="27"/>
      <c r="Q309" s="21"/>
      <c r="S309" s="21"/>
      <c r="T309" s="27"/>
      <c r="Y309" s="21"/>
      <c r="Z309" s="16"/>
    </row>
    <row r="310" ht="12.75" spans="1:26">
      <c r="A310" s="16"/>
      <c r="B310" s="1"/>
      <c r="C310" s="15"/>
      <c r="D310" s="16"/>
      <c r="E310" s="27"/>
      <c r="F310" s="21"/>
      <c r="G310" s="27"/>
      <c r="K310" s="21"/>
      <c r="L310" s="27"/>
      <c r="Q310" s="21"/>
      <c r="S310" s="21"/>
      <c r="T310" s="27"/>
      <c r="Y310" s="21"/>
      <c r="Z310" s="16"/>
    </row>
    <row r="311" ht="12.75" spans="1:26">
      <c r="A311" s="16"/>
      <c r="B311" s="1"/>
      <c r="C311" s="15"/>
      <c r="D311" s="16"/>
      <c r="E311" s="27"/>
      <c r="F311" s="21"/>
      <c r="G311" s="27"/>
      <c r="K311" s="21"/>
      <c r="L311" s="27"/>
      <c r="Q311" s="21"/>
      <c r="S311" s="21"/>
      <c r="T311" s="27"/>
      <c r="Y311" s="21"/>
      <c r="Z311" s="16"/>
    </row>
    <row r="312" ht="12.75" spans="1:26">
      <c r="A312" s="16"/>
      <c r="B312" s="1"/>
      <c r="C312" s="15"/>
      <c r="D312" s="16"/>
      <c r="E312" s="27"/>
      <c r="F312" s="21"/>
      <c r="G312" s="27"/>
      <c r="K312" s="21"/>
      <c r="L312" s="27"/>
      <c r="Q312" s="21"/>
      <c r="S312" s="21"/>
      <c r="T312" s="27"/>
      <c r="Y312" s="21"/>
      <c r="Z312" s="16"/>
    </row>
    <row r="313" ht="12.75" spans="1:26">
      <c r="A313" s="16"/>
      <c r="B313" s="1"/>
      <c r="C313" s="15"/>
      <c r="D313" s="16"/>
      <c r="E313" s="27"/>
      <c r="F313" s="21"/>
      <c r="G313" s="27"/>
      <c r="K313" s="21"/>
      <c r="L313" s="27"/>
      <c r="Q313" s="21"/>
      <c r="S313" s="21"/>
      <c r="T313" s="27"/>
      <c r="Y313" s="21"/>
      <c r="Z313" s="16"/>
    </row>
    <row r="314" ht="12.75" spans="1:26">
      <c r="A314" s="16"/>
      <c r="B314" s="1"/>
      <c r="C314" s="15"/>
      <c r="D314" s="16"/>
      <c r="E314" s="27"/>
      <c r="F314" s="21"/>
      <c r="G314" s="27"/>
      <c r="K314" s="21"/>
      <c r="L314" s="27"/>
      <c r="Q314" s="21"/>
      <c r="S314" s="21"/>
      <c r="T314" s="27"/>
      <c r="Y314" s="21"/>
      <c r="Z314" s="16"/>
    </row>
    <row r="315" ht="12.75" spans="1:26">
      <c r="A315" s="16"/>
      <c r="B315" s="1"/>
      <c r="C315" s="15"/>
      <c r="D315" s="16"/>
      <c r="E315" s="27"/>
      <c r="F315" s="21"/>
      <c r="G315" s="27"/>
      <c r="K315" s="21"/>
      <c r="L315" s="27"/>
      <c r="Q315" s="21"/>
      <c r="S315" s="21"/>
      <c r="T315" s="27"/>
      <c r="Y315" s="21"/>
      <c r="Z315" s="16"/>
    </row>
    <row r="316" ht="12.75" spans="1:26">
      <c r="A316" s="16"/>
      <c r="B316" s="1"/>
      <c r="C316" s="15"/>
      <c r="D316" s="16"/>
      <c r="E316" s="27"/>
      <c r="F316" s="21"/>
      <c r="G316" s="27"/>
      <c r="K316" s="21"/>
      <c r="L316" s="27"/>
      <c r="Q316" s="21"/>
      <c r="S316" s="21"/>
      <c r="T316" s="27"/>
      <c r="Y316" s="21"/>
      <c r="Z316" s="16"/>
    </row>
    <row r="317" ht="12.75" spans="1:26">
      <c r="A317" s="16"/>
      <c r="B317" s="1"/>
      <c r="C317" s="15"/>
      <c r="D317" s="16"/>
      <c r="E317" s="27"/>
      <c r="F317" s="21"/>
      <c r="G317" s="27"/>
      <c r="K317" s="21"/>
      <c r="L317" s="27"/>
      <c r="Q317" s="21"/>
      <c r="S317" s="21"/>
      <c r="T317" s="27"/>
      <c r="Y317" s="21"/>
      <c r="Z317" s="16"/>
    </row>
    <row r="318" ht="12.75" spans="1:26">
      <c r="A318" s="16"/>
      <c r="B318" s="1"/>
      <c r="C318" s="15"/>
      <c r="D318" s="16"/>
      <c r="E318" s="27"/>
      <c r="F318" s="21"/>
      <c r="G318" s="27"/>
      <c r="K318" s="21"/>
      <c r="L318" s="27"/>
      <c r="Q318" s="21"/>
      <c r="S318" s="21"/>
      <c r="T318" s="27"/>
      <c r="Y318" s="21"/>
      <c r="Z318" s="16"/>
    </row>
    <row r="319" ht="12.75" spans="1:26">
      <c r="A319" s="16"/>
      <c r="B319" s="1"/>
      <c r="C319" s="15"/>
      <c r="D319" s="16"/>
      <c r="E319" s="27"/>
      <c r="F319" s="21"/>
      <c r="G319" s="27"/>
      <c r="K319" s="21"/>
      <c r="L319" s="27"/>
      <c r="Q319" s="21"/>
      <c r="S319" s="21"/>
      <c r="T319" s="27"/>
      <c r="Y319" s="21"/>
      <c r="Z319" s="16"/>
    </row>
    <row r="320" ht="12.75" spans="1:26">
      <c r="A320" s="16"/>
      <c r="B320" s="1"/>
      <c r="C320" s="15"/>
      <c r="D320" s="16"/>
      <c r="E320" s="27"/>
      <c r="F320" s="21"/>
      <c r="G320" s="27"/>
      <c r="K320" s="21"/>
      <c r="L320" s="27"/>
      <c r="Q320" s="21"/>
      <c r="S320" s="21"/>
      <c r="T320" s="27"/>
      <c r="Y320" s="21"/>
      <c r="Z320" s="16"/>
    </row>
    <row r="321" ht="12.75" spans="1:26">
      <c r="A321" s="16"/>
      <c r="B321" s="1"/>
      <c r="C321" s="15"/>
      <c r="D321" s="16"/>
      <c r="E321" s="27"/>
      <c r="F321" s="21"/>
      <c r="G321" s="27"/>
      <c r="K321" s="21"/>
      <c r="L321" s="27"/>
      <c r="Q321" s="21"/>
      <c r="S321" s="21"/>
      <c r="T321" s="27"/>
      <c r="Y321" s="21"/>
      <c r="Z321" s="16"/>
    </row>
    <row r="322" ht="12.75" spans="1:26">
      <c r="A322" s="16"/>
      <c r="B322" s="1"/>
      <c r="C322" s="15"/>
      <c r="D322" s="16"/>
      <c r="E322" s="27"/>
      <c r="F322" s="21"/>
      <c r="G322" s="27"/>
      <c r="K322" s="21"/>
      <c r="L322" s="27"/>
      <c r="Q322" s="21"/>
      <c r="S322" s="21"/>
      <c r="T322" s="27"/>
      <c r="Y322" s="21"/>
      <c r="Z322" s="16"/>
    </row>
    <row r="323" ht="12.75" spans="1:26">
      <c r="A323" s="16"/>
      <c r="B323" s="1"/>
      <c r="C323" s="15"/>
      <c r="D323" s="16"/>
      <c r="E323" s="27"/>
      <c r="F323" s="21"/>
      <c r="G323" s="27"/>
      <c r="K323" s="21"/>
      <c r="L323" s="27"/>
      <c r="Q323" s="21"/>
      <c r="S323" s="21"/>
      <c r="T323" s="27"/>
      <c r="Y323" s="21"/>
      <c r="Z323" s="16"/>
    </row>
    <row r="324" ht="12.75" spans="1:26">
      <c r="A324" s="16"/>
      <c r="B324" s="1"/>
      <c r="C324" s="15"/>
      <c r="D324" s="16"/>
      <c r="E324" s="27"/>
      <c r="F324" s="21"/>
      <c r="G324" s="27"/>
      <c r="K324" s="21"/>
      <c r="L324" s="27"/>
      <c r="Q324" s="21"/>
      <c r="S324" s="21"/>
      <c r="T324" s="27"/>
      <c r="Y324" s="21"/>
      <c r="Z324" s="16"/>
    </row>
    <row r="325" ht="12.75" spans="1:26">
      <c r="A325" s="16"/>
      <c r="B325" s="1"/>
      <c r="C325" s="15"/>
      <c r="D325" s="16"/>
      <c r="E325" s="27"/>
      <c r="F325" s="21"/>
      <c r="G325" s="27"/>
      <c r="K325" s="21"/>
      <c r="L325" s="27"/>
      <c r="Q325" s="21"/>
      <c r="S325" s="21"/>
      <c r="T325" s="27"/>
      <c r="Y325" s="21"/>
      <c r="Z325" s="16"/>
    </row>
    <row r="326" ht="12.75" spans="1:26">
      <c r="A326" s="16"/>
      <c r="B326" s="1"/>
      <c r="C326" s="15"/>
      <c r="D326" s="16"/>
      <c r="E326" s="27"/>
      <c r="F326" s="21"/>
      <c r="G326" s="27"/>
      <c r="K326" s="21"/>
      <c r="L326" s="27"/>
      <c r="Q326" s="21"/>
      <c r="S326" s="21"/>
      <c r="T326" s="27"/>
      <c r="Y326" s="21"/>
      <c r="Z326" s="16"/>
    </row>
    <row r="327" ht="12.75" spans="1:26">
      <c r="A327" s="16"/>
      <c r="B327" s="1"/>
      <c r="C327" s="15"/>
      <c r="D327" s="16"/>
      <c r="E327" s="27"/>
      <c r="F327" s="21"/>
      <c r="G327" s="27"/>
      <c r="K327" s="21"/>
      <c r="L327" s="27"/>
      <c r="Q327" s="21"/>
      <c r="S327" s="21"/>
      <c r="T327" s="27"/>
      <c r="Y327" s="21"/>
      <c r="Z327" s="16"/>
    </row>
    <row r="328" ht="12.75" spans="1:26">
      <c r="A328" s="16"/>
      <c r="B328" s="1"/>
      <c r="C328" s="15"/>
      <c r="D328" s="16"/>
      <c r="E328" s="27"/>
      <c r="F328" s="21"/>
      <c r="G328" s="27"/>
      <c r="K328" s="21"/>
      <c r="L328" s="27"/>
      <c r="Q328" s="21"/>
      <c r="S328" s="21"/>
      <c r="T328" s="27"/>
      <c r="Y328" s="21"/>
      <c r="Z328" s="16"/>
    </row>
    <row r="329" ht="12.75" spans="1:26">
      <c r="A329" s="16"/>
      <c r="B329" s="1"/>
      <c r="C329" s="15"/>
      <c r="D329" s="16"/>
      <c r="E329" s="27"/>
      <c r="F329" s="21"/>
      <c r="G329" s="27"/>
      <c r="K329" s="21"/>
      <c r="L329" s="27"/>
      <c r="Q329" s="21"/>
      <c r="S329" s="21"/>
      <c r="T329" s="27"/>
      <c r="Y329" s="21"/>
      <c r="Z329" s="16"/>
    </row>
    <row r="330" ht="12.75" spans="1:26">
      <c r="A330" s="16"/>
      <c r="B330" s="1"/>
      <c r="C330" s="15"/>
      <c r="D330" s="16"/>
      <c r="E330" s="27"/>
      <c r="F330" s="21"/>
      <c r="G330" s="27"/>
      <c r="K330" s="21"/>
      <c r="L330" s="27"/>
      <c r="Q330" s="21"/>
      <c r="S330" s="21"/>
      <c r="T330" s="27"/>
      <c r="Y330" s="21"/>
      <c r="Z330" s="16"/>
    </row>
    <row r="331" ht="12.75" spans="1:26">
      <c r="A331" s="16"/>
      <c r="B331" s="1"/>
      <c r="C331" s="15"/>
      <c r="D331" s="16"/>
      <c r="E331" s="27"/>
      <c r="F331" s="21"/>
      <c r="G331" s="27"/>
      <c r="K331" s="21"/>
      <c r="L331" s="27"/>
      <c r="Q331" s="21"/>
      <c r="S331" s="21"/>
      <c r="T331" s="27"/>
      <c r="Y331" s="21"/>
      <c r="Z331" s="16"/>
    </row>
    <row r="332" ht="12.75" spans="1:26">
      <c r="A332" s="16"/>
      <c r="B332" s="1"/>
      <c r="C332" s="15"/>
      <c r="D332" s="16"/>
      <c r="E332" s="27"/>
      <c r="F332" s="21"/>
      <c r="G332" s="27"/>
      <c r="K332" s="21"/>
      <c r="L332" s="27"/>
      <c r="Q332" s="21"/>
      <c r="S332" s="21"/>
      <c r="T332" s="27"/>
      <c r="Y332" s="21"/>
      <c r="Z332" s="16"/>
    </row>
    <row r="333" ht="12.75" spans="1:26">
      <c r="A333" s="16"/>
      <c r="B333" s="1"/>
      <c r="C333" s="15"/>
      <c r="D333" s="16"/>
      <c r="E333" s="27"/>
      <c r="F333" s="21"/>
      <c r="G333" s="27"/>
      <c r="K333" s="21"/>
      <c r="L333" s="27"/>
      <c r="Q333" s="21"/>
      <c r="S333" s="21"/>
      <c r="T333" s="27"/>
      <c r="Y333" s="21"/>
      <c r="Z333" s="16"/>
    </row>
    <row r="334" ht="12.75" spans="1:26">
      <c r="A334" s="16"/>
      <c r="B334" s="1"/>
      <c r="C334" s="15"/>
      <c r="D334" s="16"/>
      <c r="E334" s="27"/>
      <c r="F334" s="21"/>
      <c r="G334" s="27"/>
      <c r="K334" s="21"/>
      <c r="L334" s="27"/>
      <c r="Q334" s="21"/>
      <c r="S334" s="21"/>
      <c r="T334" s="27"/>
      <c r="Y334" s="21"/>
      <c r="Z334" s="16"/>
    </row>
    <row r="335" ht="12.75" spans="1:26">
      <c r="A335" s="16"/>
      <c r="B335" s="1"/>
      <c r="C335" s="15"/>
      <c r="D335" s="16"/>
      <c r="E335" s="27"/>
      <c r="F335" s="21"/>
      <c r="G335" s="27"/>
      <c r="K335" s="21"/>
      <c r="L335" s="27"/>
      <c r="Q335" s="21"/>
      <c r="S335" s="21"/>
      <c r="T335" s="27"/>
      <c r="Y335" s="21"/>
      <c r="Z335" s="16"/>
    </row>
    <row r="336" ht="12.75" spans="1:26">
      <c r="A336" s="16"/>
      <c r="B336" s="1"/>
      <c r="C336" s="15"/>
      <c r="D336" s="16"/>
      <c r="E336" s="27"/>
      <c r="F336" s="21"/>
      <c r="G336" s="27"/>
      <c r="K336" s="21"/>
      <c r="L336" s="27"/>
      <c r="Q336" s="21"/>
      <c r="S336" s="21"/>
      <c r="T336" s="27"/>
      <c r="Y336" s="21"/>
      <c r="Z336" s="16"/>
    </row>
    <row r="337" ht="12.75" spans="1:26">
      <c r="A337" s="16"/>
      <c r="B337" s="1"/>
      <c r="C337" s="15"/>
      <c r="D337" s="16"/>
      <c r="E337" s="27"/>
      <c r="F337" s="21"/>
      <c r="G337" s="27"/>
      <c r="K337" s="21"/>
      <c r="L337" s="27"/>
      <c r="Q337" s="21"/>
      <c r="S337" s="21"/>
      <c r="T337" s="27"/>
      <c r="Y337" s="21"/>
      <c r="Z337" s="16"/>
    </row>
    <row r="338" ht="12.75" spans="1:26">
      <c r="A338" s="16"/>
      <c r="B338" s="1"/>
      <c r="C338" s="15"/>
      <c r="D338" s="16"/>
      <c r="E338" s="27"/>
      <c r="F338" s="21"/>
      <c r="G338" s="27"/>
      <c r="K338" s="21"/>
      <c r="L338" s="27"/>
      <c r="Q338" s="21"/>
      <c r="S338" s="21"/>
      <c r="T338" s="27"/>
      <c r="Y338" s="21"/>
      <c r="Z338" s="16"/>
    </row>
    <row r="339" ht="12.75" spans="1:26">
      <c r="A339" s="16"/>
      <c r="B339" s="1"/>
      <c r="C339" s="15"/>
      <c r="D339" s="16"/>
      <c r="E339" s="27"/>
      <c r="F339" s="21"/>
      <c r="G339" s="27"/>
      <c r="K339" s="21"/>
      <c r="L339" s="27"/>
      <c r="Q339" s="21"/>
      <c r="S339" s="21"/>
      <c r="T339" s="27"/>
      <c r="Y339" s="21"/>
      <c r="Z339" s="16"/>
    </row>
    <row r="340" ht="12.75" spans="1:26">
      <c r="A340" s="16"/>
      <c r="B340" s="1"/>
      <c r="C340" s="15"/>
      <c r="D340" s="16"/>
      <c r="E340" s="27"/>
      <c r="F340" s="21"/>
      <c r="G340" s="27"/>
      <c r="K340" s="21"/>
      <c r="L340" s="27"/>
      <c r="Q340" s="21"/>
      <c r="S340" s="21"/>
      <c r="T340" s="27"/>
      <c r="Y340" s="21"/>
      <c r="Z340" s="16"/>
    </row>
    <row r="341" ht="12.75" spans="1:26">
      <c r="A341" s="16"/>
      <c r="B341" s="1"/>
      <c r="C341" s="15"/>
      <c r="D341" s="16"/>
      <c r="E341" s="27"/>
      <c r="F341" s="21"/>
      <c r="G341" s="27"/>
      <c r="K341" s="21"/>
      <c r="L341" s="27"/>
      <c r="Q341" s="21"/>
      <c r="S341" s="21"/>
      <c r="T341" s="27"/>
      <c r="Y341" s="21"/>
      <c r="Z341" s="16"/>
    </row>
    <row r="342" ht="12.75" spans="1:26">
      <c r="A342" s="16"/>
      <c r="B342" s="1"/>
      <c r="C342" s="15"/>
      <c r="D342" s="16"/>
      <c r="E342" s="27"/>
      <c r="F342" s="21"/>
      <c r="G342" s="27"/>
      <c r="K342" s="21"/>
      <c r="L342" s="27"/>
      <c r="Q342" s="21"/>
      <c r="S342" s="21"/>
      <c r="T342" s="27"/>
      <c r="Y342" s="21"/>
      <c r="Z342" s="16"/>
    </row>
    <row r="343" ht="12.75" spans="1:26">
      <c r="A343" s="16"/>
      <c r="B343" s="1"/>
      <c r="C343" s="15"/>
      <c r="D343" s="16"/>
      <c r="E343" s="27"/>
      <c r="F343" s="21"/>
      <c r="G343" s="27"/>
      <c r="K343" s="21"/>
      <c r="L343" s="27"/>
      <c r="Q343" s="21"/>
      <c r="S343" s="21"/>
      <c r="T343" s="27"/>
      <c r="Y343" s="21"/>
      <c r="Z343" s="16"/>
    </row>
    <row r="344" ht="12.75" spans="1:26">
      <c r="A344" s="16"/>
      <c r="B344" s="1"/>
      <c r="C344" s="15"/>
      <c r="D344" s="16"/>
      <c r="E344" s="27"/>
      <c r="F344" s="21"/>
      <c r="G344" s="27"/>
      <c r="K344" s="21"/>
      <c r="L344" s="27"/>
      <c r="Q344" s="21"/>
      <c r="S344" s="21"/>
      <c r="T344" s="27"/>
      <c r="Y344" s="21"/>
      <c r="Z344" s="16"/>
    </row>
    <row r="345" ht="12.75" spans="1:26">
      <c r="A345" s="16"/>
      <c r="B345" s="1"/>
      <c r="C345" s="15"/>
      <c r="D345" s="16"/>
      <c r="E345" s="27"/>
      <c r="F345" s="21"/>
      <c r="G345" s="27"/>
      <c r="K345" s="21"/>
      <c r="L345" s="27"/>
      <c r="Q345" s="21"/>
      <c r="S345" s="21"/>
      <c r="T345" s="27"/>
      <c r="Y345" s="21"/>
      <c r="Z345" s="16"/>
    </row>
    <row r="346" ht="12.75" spans="1:26">
      <c r="A346" s="16"/>
      <c r="B346" s="1"/>
      <c r="C346" s="15"/>
      <c r="D346" s="16"/>
      <c r="E346" s="27"/>
      <c r="F346" s="21"/>
      <c r="G346" s="27"/>
      <c r="K346" s="21"/>
      <c r="L346" s="27"/>
      <c r="Q346" s="21"/>
      <c r="S346" s="21"/>
      <c r="T346" s="27"/>
      <c r="Y346" s="21"/>
      <c r="Z346" s="16"/>
    </row>
    <row r="347" ht="12.75" spans="1:26">
      <c r="A347" s="16"/>
      <c r="B347" s="1"/>
      <c r="C347" s="15"/>
      <c r="D347" s="16"/>
      <c r="E347" s="27"/>
      <c r="F347" s="21"/>
      <c r="G347" s="27"/>
      <c r="K347" s="21"/>
      <c r="L347" s="27"/>
      <c r="Q347" s="21"/>
      <c r="S347" s="21"/>
      <c r="T347" s="27"/>
      <c r="Y347" s="21"/>
      <c r="Z347" s="16"/>
    </row>
    <row r="348" ht="12.75" spans="1:26">
      <c r="A348" s="16"/>
      <c r="B348" s="1"/>
      <c r="C348" s="15"/>
      <c r="D348" s="16"/>
      <c r="E348" s="27"/>
      <c r="F348" s="21"/>
      <c r="G348" s="27"/>
      <c r="K348" s="21"/>
      <c r="L348" s="27"/>
      <c r="Q348" s="21"/>
      <c r="S348" s="21"/>
      <c r="T348" s="27"/>
      <c r="Y348" s="21"/>
      <c r="Z348" s="16"/>
    </row>
    <row r="349" ht="12.75" spans="1:26">
      <c r="A349" s="16"/>
      <c r="B349" s="1"/>
      <c r="C349" s="15"/>
      <c r="D349" s="16"/>
      <c r="E349" s="27"/>
      <c r="F349" s="21"/>
      <c r="G349" s="27"/>
      <c r="K349" s="21"/>
      <c r="L349" s="27"/>
      <c r="Q349" s="21"/>
      <c r="S349" s="21"/>
      <c r="T349" s="27"/>
      <c r="Y349" s="21"/>
      <c r="Z349" s="16"/>
    </row>
    <row r="350" ht="12.75" spans="1:26">
      <c r="A350" s="16"/>
      <c r="B350" s="1"/>
      <c r="C350" s="15"/>
      <c r="D350" s="16"/>
      <c r="E350" s="27"/>
      <c r="F350" s="21"/>
      <c r="G350" s="27"/>
      <c r="K350" s="21"/>
      <c r="L350" s="27"/>
      <c r="Q350" s="21"/>
      <c r="S350" s="21"/>
      <c r="T350" s="27"/>
      <c r="Y350" s="21"/>
      <c r="Z350" s="16"/>
    </row>
    <row r="351" ht="12.75" spans="1:26">
      <c r="A351" s="16"/>
      <c r="B351" s="1"/>
      <c r="C351" s="15"/>
      <c r="D351" s="16"/>
      <c r="E351" s="27"/>
      <c r="F351" s="21"/>
      <c r="G351" s="27"/>
      <c r="K351" s="21"/>
      <c r="L351" s="27"/>
      <c r="Q351" s="21"/>
      <c r="S351" s="21"/>
      <c r="T351" s="27"/>
      <c r="Y351" s="21"/>
      <c r="Z351" s="16"/>
    </row>
    <row r="352" ht="12.75" spans="1:26">
      <c r="A352" s="16"/>
      <c r="B352" s="1"/>
      <c r="C352" s="15"/>
      <c r="D352" s="16"/>
      <c r="E352" s="27"/>
      <c r="F352" s="21"/>
      <c r="G352" s="27"/>
      <c r="K352" s="21"/>
      <c r="L352" s="27"/>
      <c r="Q352" s="21"/>
      <c r="S352" s="21"/>
      <c r="T352" s="27"/>
      <c r="Y352" s="21"/>
      <c r="Z352" s="16"/>
    </row>
    <row r="353" ht="12.75" spans="1:26">
      <c r="A353" s="16"/>
      <c r="B353" s="1"/>
      <c r="C353" s="15"/>
      <c r="D353" s="16"/>
      <c r="E353" s="27"/>
      <c r="F353" s="21"/>
      <c r="G353" s="27"/>
      <c r="K353" s="21"/>
      <c r="L353" s="27"/>
      <c r="Q353" s="21"/>
      <c r="S353" s="21"/>
      <c r="T353" s="27"/>
      <c r="Y353" s="21"/>
      <c r="Z353" s="16"/>
    </row>
    <row r="354" ht="12.75" spans="1:26">
      <c r="A354" s="16"/>
      <c r="B354" s="1"/>
      <c r="C354" s="15"/>
      <c r="D354" s="16"/>
      <c r="E354" s="27"/>
      <c r="F354" s="21"/>
      <c r="G354" s="27"/>
      <c r="K354" s="21"/>
      <c r="L354" s="27"/>
      <c r="Q354" s="21"/>
      <c r="S354" s="21"/>
      <c r="T354" s="27"/>
      <c r="Y354" s="21"/>
      <c r="Z354" s="16"/>
    </row>
    <row r="355" ht="12.75" spans="1:26">
      <c r="A355" s="16"/>
      <c r="B355" s="1"/>
      <c r="C355" s="15"/>
      <c r="D355" s="16"/>
      <c r="E355" s="27"/>
      <c r="F355" s="21"/>
      <c r="G355" s="27"/>
      <c r="K355" s="21"/>
      <c r="L355" s="27"/>
      <c r="Q355" s="21"/>
      <c r="S355" s="21"/>
      <c r="T355" s="27"/>
      <c r="Y355" s="21"/>
      <c r="Z355" s="16"/>
    </row>
    <row r="356" ht="12.75" spans="1:26">
      <c r="A356" s="16"/>
      <c r="B356" s="1"/>
      <c r="C356" s="15"/>
      <c r="D356" s="16"/>
      <c r="E356" s="27"/>
      <c r="F356" s="21"/>
      <c r="G356" s="27"/>
      <c r="K356" s="21"/>
      <c r="L356" s="27"/>
      <c r="Q356" s="21"/>
      <c r="S356" s="21"/>
      <c r="T356" s="27"/>
      <c r="Y356" s="21"/>
      <c r="Z356" s="16"/>
    </row>
    <row r="357" ht="12.75" spans="1:26">
      <c r="A357" s="16"/>
      <c r="B357" s="1"/>
      <c r="C357" s="15"/>
      <c r="D357" s="16"/>
      <c r="E357" s="27"/>
      <c r="F357" s="21"/>
      <c r="G357" s="27"/>
      <c r="K357" s="21"/>
      <c r="L357" s="27"/>
      <c r="Q357" s="21"/>
      <c r="S357" s="21"/>
      <c r="T357" s="27"/>
      <c r="Y357" s="21"/>
      <c r="Z357" s="16"/>
    </row>
    <row r="358" ht="12.75" spans="1:26">
      <c r="A358" s="16"/>
      <c r="B358" s="1"/>
      <c r="C358" s="15"/>
      <c r="D358" s="16"/>
      <c r="E358" s="27"/>
      <c r="F358" s="21"/>
      <c r="G358" s="27"/>
      <c r="K358" s="21"/>
      <c r="L358" s="27"/>
      <c r="Q358" s="21"/>
      <c r="S358" s="21"/>
      <c r="T358" s="27"/>
      <c r="Y358" s="21"/>
      <c r="Z358" s="16"/>
    </row>
    <row r="359" ht="12.75" spans="1:26">
      <c r="A359" s="16"/>
      <c r="B359" s="1"/>
      <c r="C359" s="15"/>
      <c r="D359" s="16"/>
      <c r="E359" s="27"/>
      <c r="F359" s="21"/>
      <c r="G359" s="27"/>
      <c r="K359" s="21"/>
      <c r="L359" s="27"/>
      <c r="Q359" s="21"/>
      <c r="S359" s="21"/>
      <c r="T359" s="27"/>
      <c r="Y359" s="21"/>
      <c r="Z359" s="16"/>
    </row>
    <row r="360" ht="12.75" spans="1:26">
      <c r="A360" s="16"/>
      <c r="B360" s="1"/>
      <c r="C360" s="15"/>
      <c r="D360" s="16"/>
      <c r="E360" s="27"/>
      <c r="F360" s="21"/>
      <c r="G360" s="27"/>
      <c r="K360" s="21"/>
      <c r="L360" s="27"/>
      <c r="Q360" s="21"/>
      <c r="S360" s="21"/>
      <c r="T360" s="27"/>
      <c r="Y360" s="21"/>
      <c r="Z360" s="16"/>
    </row>
    <row r="361" ht="12.75" spans="1:26">
      <c r="A361" s="16"/>
      <c r="B361" s="1"/>
      <c r="C361" s="15"/>
      <c r="D361" s="16"/>
      <c r="E361" s="27"/>
      <c r="F361" s="21"/>
      <c r="G361" s="27"/>
      <c r="K361" s="21"/>
      <c r="L361" s="27"/>
      <c r="Q361" s="21"/>
      <c r="S361" s="21"/>
      <c r="T361" s="27"/>
      <c r="Y361" s="21"/>
      <c r="Z361" s="16"/>
    </row>
    <row r="362" ht="12.75" spans="1:26">
      <c r="A362" s="16"/>
      <c r="B362" s="1"/>
      <c r="C362" s="15"/>
      <c r="D362" s="16"/>
      <c r="E362" s="27"/>
      <c r="F362" s="21"/>
      <c r="G362" s="27"/>
      <c r="K362" s="21"/>
      <c r="L362" s="27"/>
      <c r="Q362" s="21"/>
      <c r="S362" s="21"/>
      <c r="T362" s="27"/>
      <c r="Y362" s="21"/>
      <c r="Z362" s="16"/>
    </row>
    <row r="363" ht="12.75" spans="1:26">
      <c r="A363" s="16"/>
      <c r="B363" s="1"/>
      <c r="C363" s="15"/>
      <c r="D363" s="16"/>
      <c r="E363" s="27"/>
      <c r="F363" s="21"/>
      <c r="G363" s="27"/>
      <c r="K363" s="21"/>
      <c r="L363" s="27"/>
      <c r="Q363" s="21"/>
      <c r="S363" s="21"/>
      <c r="T363" s="27"/>
      <c r="Y363" s="21"/>
      <c r="Z363" s="16"/>
    </row>
    <row r="364" ht="12.75" spans="1:26">
      <c r="A364" s="16"/>
      <c r="B364" s="1"/>
      <c r="C364" s="15"/>
      <c r="D364" s="16"/>
      <c r="E364" s="27"/>
      <c r="F364" s="21"/>
      <c r="G364" s="27"/>
      <c r="K364" s="21"/>
      <c r="L364" s="27"/>
      <c r="Q364" s="21"/>
      <c r="S364" s="21"/>
      <c r="T364" s="27"/>
      <c r="Y364" s="21"/>
      <c r="Z364" s="16"/>
    </row>
    <row r="365" ht="12.75" spans="1:26">
      <c r="A365" s="16"/>
      <c r="B365" s="1"/>
      <c r="C365" s="15"/>
      <c r="D365" s="16"/>
      <c r="E365" s="27"/>
      <c r="F365" s="21"/>
      <c r="G365" s="27"/>
      <c r="K365" s="21"/>
      <c r="L365" s="27"/>
      <c r="Q365" s="21"/>
      <c r="S365" s="21"/>
      <c r="T365" s="27"/>
      <c r="Y365" s="21"/>
      <c r="Z365" s="16"/>
    </row>
    <row r="366" ht="12.75" spans="1:26">
      <c r="A366" s="16"/>
      <c r="B366" s="1"/>
      <c r="C366" s="15"/>
      <c r="D366" s="16"/>
      <c r="E366" s="27"/>
      <c r="F366" s="21"/>
      <c r="G366" s="27"/>
      <c r="K366" s="21"/>
      <c r="L366" s="27"/>
      <c r="Q366" s="21"/>
      <c r="S366" s="21"/>
      <c r="T366" s="27"/>
      <c r="Y366" s="21"/>
      <c r="Z366" s="16"/>
    </row>
    <row r="367" ht="12.75" spans="1:26">
      <c r="A367" s="16"/>
      <c r="B367" s="1"/>
      <c r="C367" s="15"/>
      <c r="D367" s="16"/>
      <c r="E367" s="27"/>
      <c r="F367" s="21"/>
      <c r="G367" s="27"/>
      <c r="K367" s="21"/>
      <c r="L367" s="27"/>
      <c r="Q367" s="21"/>
      <c r="S367" s="21"/>
      <c r="T367" s="27"/>
      <c r="Y367" s="21"/>
      <c r="Z367" s="16"/>
    </row>
    <row r="368" ht="12.75" spans="1:26">
      <c r="A368" s="16"/>
      <c r="B368" s="1"/>
      <c r="C368" s="15"/>
      <c r="D368" s="16"/>
      <c r="E368" s="27"/>
      <c r="F368" s="21"/>
      <c r="G368" s="27"/>
      <c r="K368" s="21"/>
      <c r="L368" s="27"/>
      <c r="Q368" s="21"/>
      <c r="S368" s="21"/>
      <c r="T368" s="27"/>
      <c r="Y368" s="21"/>
      <c r="Z368" s="16"/>
    </row>
    <row r="369" ht="12.75" spans="1:26">
      <c r="A369" s="16"/>
      <c r="B369" s="1"/>
      <c r="C369" s="15"/>
      <c r="D369" s="16"/>
      <c r="E369" s="27"/>
      <c r="F369" s="21"/>
      <c r="G369" s="27"/>
      <c r="K369" s="21"/>
      <c r="L369" s="27"/>
      <c r="Q369" s="21"/>
      <c r="S369" s="21"/>
      <c r="T369" s="27"/>
      <c r="Y369" s="21"/>
      <c r="Z369" s="16"/>
    </row>
    <row r="370" ht="12.75" spans="1:26">
      <c r="A370" s="16"/>
      <c r="B370" s="1"/>
      <c r="C370" s="15"/>
      <c r="D370" s="16"/>
      <c r="E370" s="27"/>
      <c r="F370" s="21"/>
      <c r="G370" s="27"/>
      <c r="K370" s="21"/>
      <c r="L370" s="27"/>
      <c r="Q370" s="21"/>
      <c r="S370" s="21"/>
      <c r="T370" s="27"/>
      <c r="Y370" s="21"/>
      <c r="Z370" s="16"/>
    </row>
    <row r="371" ht="12.75" spans="1:26">
      <c r="A371" s="16"/>
      <c r="B371" s="1"/>
      <c r="C371" s="15"/>
      <c r="D371" s="16"/>
      <c r="E371" s="27"/>
      <c r="F371" s="21"/>
      <c r="G371" s="27"/>
      <c r="K371" s="21"/>
      <c r="L371" s="27"/>
      <c r="Q371" s="21"/>
      <c r="S371" s="21"/>
      <c r="T371" s="27"/>
      <c r="Y371" s="21"/>
      <c r="Z371" s="16"/>
    </row>
    <row r="372" ht="12.75" spans="1:26">
      <c r="A372" s="16"/>
      <c r="B372" s="1"/>
      <c r="C372" s="15"/>
      <c r="D372" s="16"/>
      <c r="E372" s="27"/>
      <c r="F372" s="21"/>
      <c r="G372" s="27"/>
      <c r="K372" s="21"/>
      <c r="L372" s="27"/>
      <c r="Q372" s="21"/>
      <c r="S372" s="21"/>
      <c r="T372" s="27"/>
      <c r="Y372" s="21"/>
      <c r="Z372" s="16"/>
    </row>
    <row r="373" ht="12.75" spans="1:26">
      <c r="A373" s="16"/>
      <c r="B373" s="1"/>
      <c r="C373" s="15"/>
      <c r="D373" s="16"/>
      <c r="E373" s="27"/>
      <c r="F373" s="21"/>
      <c r="G373" s="27"/>
      <c r="K373" s="21"/>
      <c r="L373" s="27"/>
      <c r="Q373" s="21"/>
      <c r="S373" s="21"/>
      <c r="T373" s="27"/>
      <c r="Y373" s="21"/>
      <c r="Z373" s="16"/>
    </row>
    <row r="374" ht="12.75" spans="1:26">
      <c r="A374" s="16"/>
      <c r="B374" s="1"/>
      <c r="C374" s="15"/>
      <c r="D374" s="16"/>
      <c r="E374" s="27"/>
      <c r="F374" s="21"/>
      <c r="G374" s="27"/>
      <c r="K374" s="21"/>
      <c r="L374" s="27"/>
      <c r="Q374" s="21"/>
      <c r="S374" s="21"/>
      <c r="T374" s="27"/>
      <c r="Y374" s="21"/>
      <c r="Z374" s="16"/>
    </row>
    <row r="375" ht="12.75" spans="1:26">
      <c r="A375" s="16"/>
      <c r="B375" s="1"/>
      <c r="C375" s="15"/>
      <c r="D375" s="16"/>
      <c r="E375" s="27"/>
      <c r="F375" s="21"/>
      <c r="G375" s="27"/>
      <c r="K375" s="21"/>
      <c r="L375" s="27"/>
      <c r="Q375" s="21"/>
      <c r="S375" s="21"/>
      <c r="T375" s="27"/>
      <c r="Y375" s="21"/>
      <c r="Z375" s="16"/>
    </row>
    <row r="376" ht="12.75" spans="1:26">
      <c r="A376" s="16"/>
      <c r="B376" s="1"/>
      <c r="C376" s="15"/>
      <c r="D376" s="16"/>
      <c r="E376" s="27"/>
      <c r="F376" s="21"/>
      <c r="G376" s="27"/>
      <c r="K376" s="21"/>
      <c r="L376" s="27"/>
      <c r="Q376" s="21"/>
      <c r="S376" s="21"/>
      <c r="T376" s="27"/>
      <c r="Y376" s="21"/>
      <c r="Z376" s="16"/>
    </row>
    <row r="377" ht="12.75" spans="1:26">
      <c r="A377" s="16"/>
      <c r="B377" s="1"/>
      <c r="C377" s="15"/>
      <c r="D377" s="16"/>
      <c r="E377" s="27"/>
      <c r="F377" s="21"/>
      <c r="G377" s="27"/>
      <c r="K377" s="21"/>
      <c r="L377" s="27"/>
      <c r="Q377" s="21"/>
      <c r="S377" s="21"/>
      <c r="T377" s="27"/>
      <c r="Y377" s="21"/>
      <c r="Z377" s="16"/>
    </row>
    <row r="378" ht="12.75" spans="1:26">
      <c r="A378" s="16"/>
      <c r="B378" s="1"/>
      <c r="C378" s="15"/>
      <c r="D378" s="16"/>
      <c r="E378" s="27"/>
      <c r="F378" s="21"/>
      <c r="G378" s="27"/>
      <c r="K378" s="21"/>
      <c r="L378" s="27"/>
      <c r="Q378" s="21"/>
      <c r="S378" s="21"/>
      <c r="T378" s="27"/>
      <c r="Y378" s="21"/>
      <c r="Z378" s="16"/>
    </row>
    <row r="379" ht="12.75" spans="1:26">
      <c r="A379" s="16"/>
      <c r="B379" s="1"/>
      <c r="C379" s="15"/>
      <c r="D379" s="16"/>
      <c r="E379" s="27"/>
      <c r="F379" s="21"/>
      <c r="G379" s="27"/>
      <c r="K379" s="21"/>
      <c r="L379" s="27"/>
      <c r="Q379" s="21"/>
      <c r="S379" s="21"/>
      <c r="T379" s="27"/>
      <c r="Y379" s="21"/>
      <c r="Z379" s="16"/>
    </row>
    <row r="380" ht="12.75" spans="1:26">
      <c r="A380" s="16"/>
      <c r="B380" s="1"/>
      <c r="C380" s="15"/>
      <c r="D380" s="16"/>
      <c r="E380" s="27"/>
      <c r="F380" s="21"/>
      <c r="G380" s="27"/>
      <c r="K380" s="21"/>
      <c r="L380" s="27"/>
      <c r="Q380" s="21"/>
      <c r="S380" s="21"/>
      <c r="T380" s="27"/>
      <c r="Y380" s="21"/>
      <c r="Z380" s="16"/>
    </row>
    <row r="381" ht="12.75" spans="1:26">
      <c r="A381" s="16"/>
      <c r="B381" s="1"/>
      <c r="C381" s="15"/>
      <c r="D381" s="16"/>
      <c r="E381" s="27"/>
      <c r="F381" s="21"/>
      <c r="G381" s="27"/>
      <c r="K381" s="21"/>
      <c r="L381" s="27"/>
      <c r="Q381" s="21"/>
      <c r="S381" s="21"/>
      <c r="T381" s="27"/>
      <c r="Y381" s="21"/>
      <c r="Z381" s="16"/>
    </row>
    <row r="382" ht="12.75" spans="1:26">
      <c r="A382" s="16"/>
      <c r="B382" s="1"/>
      <c r="C382" s="15"/>
      <c r="D382" s="16"/>
      <c r="E382" s="27"/>
      <c r="F382" s="21"/>
      <c r="G382" s="27"/>
      <c r="K382" s="21"/>
      <c r="L382" s="27"/>
      <c r="Q382" s="21"/>
      <c r="S382" s="21"/>
      <c r="T382" s="27"/>
      <c r="Y382" s="21"/>
      <c r="Z382" s="16"/>
    </row>
    <row r="383" ht="12.75" spans="1:26">
      <c r="A383" s="16"/>
      <c r="B383" s="1"/>
      <c r="C383" s="15"/>
      <c r="D383" s="16"/>
      <c r="E383" s="27"/>
      <c r="F383" s="21"/>
      <c r="G383" s="27"/>
      <c r="K383" s="21"/>
      <c r="L383" s="27"/>
      <c r="Q383" s="21"/>
      <c r="S383" s="21"/>
      <c r="T383" s="27"/>
      <c r="Y383" s="21"/>
      <c r="Z383" s="16"/>
    </row>
    <row r="384" ht="12.75" spans="1:26">
      <c r="A384" s="16"/>
      <c r="B384" s="1"/>
      <c r="C384" s="15"/>
      <c r="D384" s="16"/>
      <c r="E384" s="27"/>
      <c r="F384" s="21"/>
      <c r="G384" s="27"/>
      <c r="K384" s="21"/>
      <c r="L384" s="27"/>
      <c r="Q384" s="21"/>
      <c r="S384" s="21"/>
      <c r="T384" s="27"/>
      <c r="Y384" s="21"/>
      <c r="Z384" s="16"/>
    </row>
    <row r="385" ht="12.75" spans="1:26">
      <c r="A385" s="16"/>
      <c r="B385" s="1"/>
      <c r="C385" s="15"/>
      <c r="D385" s="16"/>
      <c r="E385" s="27"/>
      <c r="F385" s="21"/>
      <c r="G385" s="27"/>
      <c r="K385" s="21"/>
      <c r="L385" s="27"/>
      <c r="Q385" s="21"/>
      <c r="S385" s="21"/>
      <c r="T385" s="27"/>
      <c r="Y385" s="21"/>
      <c r="Z385" s="16"/>
    </row>
    <row r="386" ht="12.75" spans="1:26">
      <c r="A386" s="16"/>
      <c r="B386" s="1"/>
      <c r="C386" s="15"/>
      <c r="D386" s="16"/>
      <c r="E386" s="27"/>
      <c r="F386" s="21"/>
      <c r="G386" s="27"/>
      <c r="K386" s="21"/>
      <c r="L386" s="27"/>
      <c r="Q386" s="21"/>
      <c r="S386" s="21"/>
      <c r="T386" s="27"/>
      <c r="Y386" s="21"/>
      <c r="Z386" s="16"/>
    </row>
    <row r="387" ht="12.75" spans="1:26">
      <c r="A387" s="16"/>
      <c r="B387" s="1"/>
      <c r="C387" s="15"/>
      <c r="D387" s="16"/>
      <c r="E387" s="27"/>
      <c r="F387" s="21"/>
      <c r="G387" s="27"/>
      <c r="K387" s="21"/>
      <c r="L387" s="27"/>
      <c r="Q387" s="21"/>
      <c r="S387" s="21"/>
      <c r="T387" s="27"/>
      <c r="Y387" s="21"/>
      <c r="Z387" s="16"/>
    </row>
    <row r="388" ht="12.75" spans="1:26">
      <c r="A388" s="16"/>
      <c r="B388" s="1"/>
      <c r="C388" s="15"/>
      <c r="D388" s="16"/>
      <c r="E388" s="27"/>
      <c r="F388" s="21"/>
      <c r="G388" s="27"/>
      <c r="K388" s="21"/>
      <c r="L388" s="27"/>
      <c r="Q388" s="21"/>
      <c r="S388" s="21"/>
      <c r="T388" s="27"/>
      <c r="Y388" s="21"/>
      <c r="Z388" s="16"/>
    </row>
    <row r="389" ht="12.75" spans="1:26">
      <c r="A389" s="16"/>
      <c r="B389" s="1"/>
      <c r="C389" s="15"/>
      <c r="D389" s="16"/>
      <c r="E389" s="27"/>
      <c r="F389" s="21"/>
      <c r="G389" s="27"/>
      <c r="K389" s="21"/>
      <c r="L389" s="27"/>
      <c r="Q389" s="21"/>
      <c r="S389" s="21"/>
      <c r="T389" s="27"/>
      <c r="Y389" s="21"/>
      <c r="Z389" s="16"/>
    </row>
    <row r="390" ht="12.75" spans="1:26">
      <c r="A390" s="16"/>
      <c r="B390" s="1"/>
      <c r="C390" s="15"/>
      <c r="D390" s="16"/>
      <c r="E390" s="27"/>
      <c r="F390" s="21"/>
      <c r="G390" s="27"/>
      <c r="K390" s="21"/>
      <c r="L390" s="27"/>
      <c r="Q390" s="21"/>
      <c r="S390" s="21"/>
      <c r="T390" s="27"/>
      <c r="Y390" s="21"/>
      <c r="Z390" s="16"/>
    </row>
    <row r="391" ht="12.75" spans="1:26">
      <c r="A391" s="16"/>
      <c r="B391" s="1"/>
      <c r="C391" s="15"/>
      <c r="D391" s="16"/>
      <c r="E391" s="27"/>
      <c r="F391" s="21"/>
      <c r="G391" s="27"/>
      <c r="K391" s="21"/>
      <c r="L391" s="27"/>
      <c r="Q391" s="21"/>
      <c r="S391" s="21"/>
      <c r="T391" s="27"/>
      <c r="Y391" s="21"/>
      <c r="Z391" s="16"/>
    </row>
    <row r="392" ht="12.75" spans="1:26">
      <c r="A392" s="16"/>
      <c r="B392" s="1"/>
      <c r="C392" s="15"/>
      <c r="D392" s="16"/>
      <c r="E392" s="27"/>
      <c r="F392" s="21"/>
      <c r="G392" s="27"/>
      <c r="K392" s="21"/>
      <c r="L392" s="27"/>
      <c r="Q392" s="21"/>
      <c r="S392" s="21"/>
      <c r="T392" s="27"/>
      <c r="Y392" s="21"/>
      <c r="Z392" s="16"/>
    </row>
    <row r="393" ht="12.75" spans="1:26">
      <c r="A393" s="16"/>
      <c r="B393" s="1"/>
      <c r="C393" s="15"/>
      <c r="D393" s="16"/>
      <c r="E393" s="27"/>
      <c r="F393" s="21"/>
      <c r="G393" s="27"/>
      <c r="K393" s="21"/>
      <c r="L393" s="27"/>
      <c r="Q393" s="21"/>
      <c r="S393" s="21"/>
      <c r="T393" s="27"/>
      <c r="Y393" s="21"/>
      <c r="Z393" s="16"/>
    </row>
    <row r="394" ht="12.75" spans="1:26">
      <c r="A394" s="16"/>
      <c r="B394" s="1"/>
      <c r="C394" s="15"/>
      <c r="D394" s="16"/>
      <c r="E394" s="27"/>
      <c r="F394" s="21"/>
      <c r="G394" s="27"/>
      <c r="K394" s="21"/>
      <c r="L394" s="27"/>
      <c r="Q394" s="21"/>
      <c r="S394" s="21"/>
      <c r="T394" s="27"/>
      <c r="Y394" s="21"/>
      <c r="Z394" s="16"/>
    </row>
    <row r="395" ht="12.75" spans="1:26">
      <c r="A395" s="16"/>
      <c r="B395" s="1"/>
      <c r="C395" s="15"/>
      <c r="D395" s="16"/>
      <c r="E395" s="27"/>
      <c r="F395" s="21"/>
      <c r="G395" s="27"/>
      <c r="K395" s="21"/>
      <c r="L395" s="27"/>
      <c r="Q395" s="21"/>
      <c r="S395" s="21"/>
      <c r="T395" s="27"/>
      <c r="Y395" s="21"/>
      <c r="Z395" s="16"/>
    </row>
    <row r="396" ht="12.75" spans="1:26">
      <c r="A396" s="16"/>
      <c r="B396" s="1"/>
      <c r="C396" s="15"/>
      <c r="D396" s="16"/>
      <c r="E396" s="27"/>
      <c r="F396" s="21"/>
      <c r="G396" s="27"/>
      <c r="K396" s="21"/>
      <c r="L396" s="27"/>
      <c r="Q396" s="21"/>
      <c r="S396" s="21"/>
      <c r="T396" s="27"/>
      <c r="Y396" s="21"/>
      <c r="Z396" s="16"/>
    </row>
    <row r="397" ht="12.75" spans="1:26">
      <c r="A397" s="16"/>
      <c r="B397" s="1"/>
      <c r="C397" s="15"/>
      <c r="D397" s="16"/>
      <c r="E397" s="27"/>
      <c r="F397" s="21"/>
      <c r="G397" s="27"/>
      <c r="K397" s="21"/>
      <c r="L397" s="27"/>
      <c r="Q397" s="21"/>
      <c r="S397" s="21"/>
      <c r="T397" s="27"/>
      <c r="Y397" s="21"/>
      <c r="Z397" s="16"/>
    </row>
    <row r="398" ht="12.75" spans="1:26">
      <c r="A398" s="16"/>
      <c r="B398" s="1"/>
      <c r="C398" s="15"/>
      <c r="D398" s="16"/>
      <c r="E398" s="27"/>
      <c r="F398" s="21"/>
      <c r="G398" s="27"/>
      <c r="K398" s="21"/>
      <c r="L398" s="27"/>
      <c r="Q398" s="21"/>
      <c r="S398" s="21"/>
      <c r="T398" s="27"/>
      <c r="Y398" s="21"/>
      <c r="Z398" s="16"/>
    </row>
    <row r="399" ht="12.75" spans="1:26">
      <c r="A399" s="16"/>
      <c r="B399" s="1"/>
      <c r="C399" s="15"/>
      <c r="D399" s="16"/>
      <c r="E399" s="27"/>
      <c r="F399" s="21"/>
      <c r="G399" s="27"/>
      <c r="K399" s="21"/>
      <c r="L399" s="27"/>
      <c r="Q399" s="21"/>
      <c r="S399" s="21"/>
      <c r="T399" s="27"/>
      <c r="Y399" s="21"/>
      <c r="Z399" s="16"/>
    </row>
    <row r="400" ht="12.75" spans="1:26">
      <c r="A400" s="16"/>
      <c r="B400" s="1"/>
      <c r="C400" s="15"/>
      <c r="D400" s="16"/>
      <c r="E400" s="27"/>
      <c r="F400" s="21"/>
      <c r="G400" s="27"/>
      <c r="K400" s="21"/>
      <c r="L400" s="27"/>
      <c r="Q400" s="21"/>
      <c r="S400" s="21"/>
      <c r="T400" s="27"/>
      <c r="Y400" s="21"/>
      <c r="Z400" s="16"/>
    </row>
    <row r="401" ht="12.75" spans="1:26">
      <c r="A401" s="16"/>
      <c r="B401" s="1"/>
      <c r="C401" s="15"/>
      <c r="D401" s="16"/>
      <c r="E401" s="27"/>
      <c r="F401" s="21"/>
      <c r="G401" s="27"/>
      <c r="K401" s="21"/>
      <c r="L401" s="27"/>
      <c r="Q401" s="21"/>
      <c r="S401" s="21"/>
      <c r="T401" s="27"/>
      <c r="Y401" s="21"/>
      <c r="Z401" s="16"/>
    </row>
    <row r="402" ht="12.75" spans="1:26">
      <c r="A402" s="16"/>
      <c r="B402" s="1"/>
      <c r="C402" s="15"/>
      <c r="D402" s="16"/>
      <c r="E402" s="27"/>
      <c r="F402" s="21"/>
      <c r="G402" s="27"/>
      <c r="K402" s="21"/>
      <c r="L402" s="27"/>
      <c r="Q402" s="21"/>
      <c r="S402" s="21"/>
      <c r="T402" s="27"/>
      <c r="Y402" s="21"/>
      <c r="Z402" s="16"/>
    </row>
    <row r="403" ht="12.75" spans="1:26">
      <c r="A403" s="16"/>
      <c r="B403" s="1"/>
      <c r="C403" s="15"/>
      <c r="D403" s="16"/>
      <c r="E403" s="27"/>
      <c r="F403" s="21"/>
      <c r="G403" s="27"/>
      <c r="K403" s="21"/>
      <c r="L403" s="27"/>
      <c r="Q403" s="21"/>
      <c r="S403" s="21"/>
      <c r="T403" s="27"/>
      <c r="Y403" s="21"/>
      <c r="Z403" s="16"/>
    </row>
    <row r="404" ht="12.75" spans="1:26">
      <c r="A404" s="16"/>
      <c r="B404" s="1"/>
      <c r="C404" s="15"/>
      <c r="D404" s="16"/>
      <c r="E404" s="27"/>
      <c r="F404" s="21"/>
      <c r="G404" s="27"/>
      <c r="K404" s="21"/>
      <c r="L404" s="27"/>
      <c r="Q404" s="21"/>
      <c r="S404" s="21"/>
      <c r="T404" s="27"/>
      <c r="Y404" s="21"/>
      <c r="Z404" s="16"/>
    </row>
    <row r="405" ht="12.75" spans="1:26">
      <c r="A405" s="16"/>
      <c r="B405" s="1"/>
      <c r="C405" s="15"/>
      <c r="D405" s="16"/>
      <c r="E405" s="27"/>
      <c r="F405" s="21"/>
      <c r="G405" s="27"/>
      <c r="K405" s="21"/>
      <c r="L405" s="27"/>
      <c r="Q405" s="21"/>
      <c r="S405" s="21"/>
      <c r="T405" s="27"/>
      <c r="Y405" s="21"/>
      <c r="Z405" s="16"/>
    </row>
    <row r="406" ht="12.75" spans="1:26">
      <c r="A406" s="16"/>
      <c r="B406" s="1"/>
      <c r="C406" s="15"/>
      <c r="D406" s="16"/>
      <c r="E406" s="27"/>
      <c r="F406" s="21"/>
      <c r="G406" s="27"/>
      <c r="K406" s="21"/>
      <c r="L406" s="27"/>
      <c r="Q406" s="21"/>
      <c r="S406" s="21"/>
      <c r="T406" s="27"/>
      <c r="Y406" s="21"/>
      <c r="Z406" s="16"/>
    </row>
    <row r="407" ht="12.75" spans="1:26">
      <c r="A407" s="16"/>
      <c r="B407" s="1"/>
      <c r="C407" s="15"/>
      <c r="D407" s="16"/>
      <c r="E407" s="27"/>
      <c r="F407" s="21"/>
      <c r="G407" s="27"/>
      <c r="K407" s="21"/>
      <c r="L407" s="27"/>
      <c r="Q407" s="21"/>
      <c r="S407" s="21"/>
      <c r="T407" s="27"/>
      <c r="Y407" s="21"/>
      <c r="Z407" s="16"/>
    </row>
    <row r="408" ht="12.75" spans="1:26">
      <c r="A408" s="16"/>
      <c r="B408" s="1"/>
      <c r="C408" s="15"/>
      <c r="D408" s="16"/>
      <c r="E408" s="27"/>
      <c r="F408" s="21"/>
      <c r="G408" s="27"/>
      <c r="K408" s="21"/>
      <c r="L408" s="27"/>
      <c r="Q408" s="21"/>
      <c r="S408" s="21"/>
      <c r="T408" s="27"/>
      <c r="Y408" s="21"/>
      <c r="Z408" s="16"/>
    </row>
    <row r="409" ht="12.75" spans="1:26">
      <c r="A409" s="16"/>
      <c r="B409" s="1"/>
      <c r="C409" s="15"/>
      <c r="D409" s="16"/>
      <c r="E409" s="27"/>
      <c r="F409" s="21"/>
      <c r="G409" s="27"/>
      <c r="K409" s="21"/>
      <c r="L409" s="27"/>
      <c r="Q409" s="21"/>
      <c r="S409" s="21"/>
      <c r="T409" s="27"/>
      <c r="Y409" s="21"/>
      <c r="Z409" s="16"/>
    </row>
    <row r="410" ht="12.75" spans="1:26">
      <c r="A410" s="16"/>
      <c r="B410" s="1"/>
      <c r="C410" s="15"/>
      <c r="D410" s="16"/>
      <c r="E410" s="27"/>
      <c r="F410" s="21"/>
      <c r="G410" s="27"/>
      <c r="K410" s="21"/>
      <c r="L410" s="27"/>
      <c r="Q410" s="21"/>
      <c r="S410" s="21"/>
      <c r="T410" s="27"/>
      <c r="Y410" s="21"/>
      <c r="Z410" s="16"/>
    </row>
    <row r="411" ht="12.75" spans="1:26">
      <c r="A411" s="16"/>
      <c r="B411" s="1"/>
      <c r="C411" s="15"/>
      <c r="D411" s="16"/>
      <c r="E411" s="27"/>
      <c r="F411" s="21"/>
      <c r="G411" s="27"/>
      <c r="K411" s="21"/>
      <c r="L411" s="27"/>
      <c r="Q411" s="21"/>
      <c r="S411" s="21"/>
      <c r="T411" s="27"/>
      <c r="Y411" s="21"/>
      <c r="Z411" s="16"/>
    </row>
    <row r="412" ht="12.75" spans="1:26">
      <c r="A412" s="16"/>
      <c r="B412" s="1"/>
      <c r="C412" s="15"/>
      <c r="D412" s="16"/>
      <c r="E412" s="27"/>
      <c r="F412" s="21"/>
      <c r="G412" s="27"/>
      <c r="K412" s="21"/>
      <c r="L412" s="27"/>
      <c r="Q412" s="21"/>
      <c r="S412" s="21"/>
      <c r="T412" s="27"/>
      <c r="Y412" s="21"/>
      <c r="Z412" s="16"/>
    </row>
    <row r="413" ht="12.75" spans="1:26">
      <c r="A413" s="16"/>
      <c r="B413" s="1"/>
      <c r="C413" s="15"/>
      <c r="D413" s="16"/>
      <c r="E413" s="27"/>
      <c r="F413" s="21"/>
      <c r="G413" s="27"/>
      <c r="K413" s="21"/>
      <c r="L413" s="27"/>
      <c r="Q413" s="21"/>
      <c r="S413" s="21"/>
      <c r="T413" s="27"/>
      <c r="Y413" s="21"/>
      <c r="Z413" s="16"/>
    </row>
    <row r="414" ht="12.75" spans="1:26">
      <c r="A414" s="16"/>
      <c r="B414" s="1"/>
      <c r="C414" s="15"/>
      <c r="D414" s="16"/>
      <c r="E414" s="27"/>
      <c r="F414" s="21"/>
      <c r="G414" s="27"/>
      <c r="K414" s="21"/>
      <c r="L414" s="27"/>
      <c r="Q414" s="21"/>
      <c r="S414" s="21"/>
      <c r="T414" s="27"/>
      <c r="Y414" s="21"/>
      <c r="Z414" s="16"/>
    </row>
    <row r="415" ht="12.75" spans="1:26">
      <c r="A415" s="16"/>
      <c r="B415" s="1"/>
      <c r="C415" s="15"/>
      <c r="D415" s="16"/>
      <c r="E415" s="27"/>
      <c r="F415" s="21"/>
      <c r="G415" s="27"/>
      <c r="K415" s="21"/>
      <c r="L415" s="27"/>
      <c r="Q415" s="21"/>
      <c r="S415" s="21"/>
      <c r="T415" s="27"/>
      <c r="Y415" s="21"/>
      <c r="Z415" s="16"/>
    </row>
    <row r="416" ht="12.75" spans="1:26">
      <c r="A416" s="16"/>
      <c r="B416" s="1"/>
      <c r="C416" s="15"/>
      <c r="D416" s="16"/>
      <c r="E416" s="27"/>
      <c r="F416" s="21"/>
      <c r="G416" s="27"/>
      <c r="K416" s="21"/>
      <c r="L416" s="27"/>
      <c r="Q416" s="21"/>
      <c r="S416" s="21"/>
      <c r="T416" s="27"/>
      <c r="Y416" s="21"/>
      <c r="Z416" s="16"/>
    </row>
    <row r="417" ht="12.75" spans="1:26">
      <c r="A417" s="16"/>
      <c r="B417" s="1"/>
      <c r="C417" s="15"/>
      <c r="D417" s="16"/>
      <c r="E417" s="27"/>
      <c r="F417" s="21"/>
      <c r="G417" s="27"/>
      <c r="K417" s="21"/>
      <c r="L417" s="27"/>
      <c r="Q417" s="21"/>
      <c r="S417" s="21"/>
      <c r="T417" s="27"/>
      <c r="Y417" s="21"/>
      <c r="Z417" s="16"/>
    </row>
    <row r="418" ht="12.75" spans="1:26">
      <c r="A418" s="16"/>
      <c r="B418" s="1"/>
      <c r="C418" s="15"/>
      <c r="D418" s="16"/>
      <c r="E418" s="27"/>
      <c r="F418" s="21"/>
      <c r="G418" s="27"/>
      <c r="K418" s="21"/>
      <c r="L418" s="27"/>
      <c r="Q418" s="21"/>
      <c r="S418" s="21"/>
      <c r="T418" s="27"/>
      <c r="Y418" s="21"/>
      <c r="Z418" s="16"/>
    </row>
    <row r="419" ht="12.75" spans="1:26">
      <c r="A419" s="16"/>
      <c r="B419" s="1"/>
      <c r="C419" s="15"/>
      <c r="D419" s="16"/>
      <c r="E419" s="27"/>
      <c r="F419" s="21"/>
      <c r="G419" s="27"/>
      <c r="K419" s="21"/>
      <c r="L419" s="27"/>
      <c r="Q419" s="21"/>
      <c r="S419" s="21"/>
      <c r="T419" s="27"/>
      <c r="Y419" s="21"/>
      <c r="Z419" s="16"/>
    </row>
    <row r="420" ht="12.75" spans="1:26">
      <c r="A420" s="16"/>
      <c r="B420" s="1"/>
      <c r="C420" s="15"/>
      <c r="D420" s="16"/>
      <c r="E420" s="27"/>
      <c r="F420" s="21"/>
      <c r="G420" s="27"/>
      <c r="K420" s="21"/>
      <c r="L420" s="27"/>
      <c r="Q420" s="21"/>
      <c r="S420" s="21"/>
      <c r="T420" s="27"/>
      <c r="Y420" s="21"/>
      <c r="Z420" s="16"/>
    </row>
    <row r="421" ht="12.75" spans="1:26">
      <c r="A421" s="16"/>
      <c r="B421" s="1"/>
      <c r="C421" s="15"/>
      <c r="D421" s="16"/>
      <c r="E421" s="27"/>
      <c r="F421" s="21"/>
      <c r="G421" s="27"/>
      <c r="K421" s="21"/>
      <c r="L421" s="27"/>
      <c r="Q421" s="21"/>
      <c r="S421" s="21"/>
      <c r="T421" s="27"/>
      <c r="Y421" s="21"/>
      <c r="Z421" s="16"/>
    </row>
    <row r="422" ht="12.75" spans="1:26">
      <c r="A422" s="16"/>
      <c r="B422" s="1"/>
      <c r="C422" s="15"/>
      <c r="D422" s="16"/>
      <c r="E422" s="27"/>
      <c r="F422" s="21"/>
      <c r="G422" s="27"/>
      <c r="K422" s="21"/>
      <c r="L422" s="27"/>
      <c r="Q422" s="21"/>
      <c r="S422" s="21"/>
      <c r="T422" s="27"/>
      <c r="Y422" s="21"/>
      <c r="Z422" s="16"/>
    </row>
    <row r="423" ht="12.75" spans="1:26">
      <c r="A423" s="16"/>
      <c r="B423" s="1"/>
      <c r="C423" s="15"/>
      <c r="D423" s="16"/>
      <c r="E423" s="27"/>
      <c r="F423" s="21"/>
      <c r="G423" s="27"/>
      <c r="K423" s="21"/>
      <c r="L423" s="27"/>
      <c r="Q423" s="21"/>
      <c r="S423" s="21"/>
      <c r="T423" s="27"/>
      <c r="Y423" s="21"/>
      <c r="Z423" s="16"/>
    </row>
    <row r="424" ht="12.75" spans="1:26">
      <c r="A424" s="16"/>
      <c r="B424" s="1"/>
      <c r="C424" s="15"/>
      <c r="D424" s="16"/>
      <c r="E424" s="27"/>
      <c r="F424" s="21"/>
      <c r="G424" s="27"/>
      <c r="K424" s="21"/>
      <c r="L424" s="27"/>
      <c r="Q424" s="21"/>
      <c r="S424" s="21"/>
      <c r="T424" s="27"/>
      <c r="Y424" s="21"/>
      <c r="Z424" s="16"/>
    </row>
    <row r="425" ht="12.75" spans="1:26">
      <c r="A425" s="16"/>
      <c r="B425" s="1"/>
      <c r="C425" s="15"/>
      <c r="D425" s="16"/>
      <c r="E425" s="27"/>
      <c r="F425" s="21"/>
      <c r="G425" s="27"/>
      <c r="K425" s="21"/>
      <c r="L425" s="27"/>
      <c r="Q425" s="21"/>
      <c r="S425" s="21"/>
      <c r="T425" s="27"/>
      <c r="Y425" s="21"/>
      <c r="Z425" s="16"/>
    </row>
    <row r="426" ht="12.75" spans="1:26">
      <c r="A426" s="16"/>
      <c r="B426" s="1"/>
      <c r="C426" s="15"/>
      <c r="D426" s="16"/>
      <c r="E426" s="27"/>
      <c r="F426" s="21"/>
      <c r="G426" s="27"/>
      <c r="K426" s="21"/>
      <c r="L426" s="27"/>
      <c r="Q426" s="21"/>
      <c r="S426" s="21"/>
      <c r="T426" s="27"/>
      <c r="Y426" s="21"/>
      <c r="Z426" s="16"/>
    </row>
    <row r="427" ht="12.75" spans="1:26">
      <c r="A427" s="16"/>
      <c r="B427" s="1"/>
      <c r="C427" s="15"/>
      <c r="D427" s="16"/>
      <c r="E427" s="27"/>
      <c r="F427" s="21"/>
      <c r="G427" s="27"/>
      <c r="K427" s="21"/>
      <c r="L427" s="27"/>
      <c r="Q427" s="21"/>
      <c r="S427" s="21"/>
      <c r="T427" s="27"/>
      <c r="Y427" s="21"/>
      <c r="Z427" s="16"/>
    </row>
    <row r="428" ht="12.75" spans="1:26">
      <c r="A428" s="16"/>
      <c r="B428" s="1"/>
      <c r="C428" s="15"/>
      <c r="D428" s="16"/>
      <c r="E428" s="27"/>
      <c r="F428" s="21"/>
      <c r="G428" s="27"/>
      <c r="K428" s="21"/>
      <c r="L428" s="27"/>
      <c r="Q428" s="21"/>
      <c r="S428" s="21"/>
      <c r="T428" s="27"/>
      <c r="Y428" s="21"/>
      <c r="Z428" s="16"/>
    </row>
    <row r="429" ht="12.75" spans="1:26">
      <c r="A429" s="16"/>
      <c r="B429" s="1"/>
      <c r="C429" s="15"/>
      <c r="D429" s="16"/>
      <c r="E429" s="27"/>
      <c r="F429" s="21"/>
      <c r="G429" s="27"/>
      <c r="K429" s="21"/>
      <c r="L429" s="27"/>
      <c r="Q429" s="21"/>
      <c r="S429" s="21"/>
      <c r="T429" s="27"/>
      <c r="Y429" s="21"/>
      <c r="Z429" s="16"/>
    </row>
    <row r="430" ht="12.75" spans="1:26">
      <c r="A430" s="16"/>
      <c r="B430" s="1"/>
      <c r="C430" s="15"/>
      <c r="D430" s="16"/>
      <c r="E430" s="27"/>
      <c r="F430" s="21"/>
      <c r="G430" s="27"/>
      <c r="K430" s="21"/>
      <c r="L430" s="27"/>
      <c r="Q430" s="21"/>
      <c r="S430" s="21"/>
      <c r="T430" s="27"/>
      <c r="Y430" s="21"/>
      <c r="Z430" s="16"/>
    </row>
    <row r="431" ht="12.75" spans="1:26">
      <c r="A431" s="16"/>
      <c r="B431" s="1"/>
      <c r="C431" s="15"/>
      <c r="D431" s="16"/>
      <c r="E431" s="27"/>
      <c r="F431" s="21"/>
      <c r="G431" s="27"/>
      <c r="K431" s="21"/>
      <c r="L431" s="27"/>
      <c r="Q431" s="21"/>
      <c r="S431" s="21"/>
      <c r="T431" s="27"/>
      <c r="Y431" s="21"/>
      <c r="Z431" s="16"/>
    </row>
    <row r="432" ht="12.75" spans="1:26">
      <c r="A432" s="16"/>
      <c r="B432" s="1"/>
      <c r="C432" s="15"/>
      <c r="D432" s="16"/>
      <c r="E432" s="27"/>
      <c r="F432" s="21"/>
      <c r="G432" s="27"/>
      <c r="K432" s="21"/>
      <c r="L432" s="27"/>
      <c r="Q432" s="21"/>
      <c r="S432" s="21"/>
      <c r="T432" s="27"/>
      <c r="Y432" s="21"/>
      <c r="Z432" s="16"/>
    </row>
    <row r="433" ht="12.75" spans="1:26">
      <c r="A433" s="16"/>
      <c r="B433" s="1"/>
      <c r="C433" s="15"/>
      <c r="D433" s="16"/>
      <c r="E433" s="27"/>
      <c r="F433" s="21"/>
      <c r="G433" s="27"/>
      <c r="K433" s="21"/>
      <c r="L433" s="27"/>
      <c r="Q433" s="21"/>
      <c r="S433" s="21"/>
      <c r="T433" s="27"/>
      <c r="Y433" s="21"/>
      <c r="Z433" s="16"/>
    </row>
    <row r="434" ht="12.75" spans="1:26">
      <c r="A434" s="16"/>
      <c r="B434" s="1"/>
      <c r="C434" s="15"/>
      <c r="D434" s="16"/>
      <c r="E434" s="27"/>
      <c r="F434" s="21"/>
      <c r="G434" s="27"/>
      <c r="K434" s="21"/>
      <c r="L434" s="27"/>
      <c r="Q434" s="21"/>
      <c r="S434" s="21"/>
      <c r="T434" s="27"/>
      <c r="Y434" s="21"/>
      <c r="Z434" s="16"/>
    </row>
    <row r="435" ht="12.75" spans="1:26">
      <c r="A435" s="16"/>
      <c r="B435" s="1"/>
      <c r="C435" s="15"/>
      <c r="D435" s="16"/>
      <c r="E435" s="27"/>
      <c r="F435" s="21"/>
      <c r="G435" s="27"/>
      <c r="K435" s="21"/>
      <c r="L435" s="27"/>
      <c r="Q435" s="21"/>
      <c r="S435" s="21"/>
      <c r="T435" s="27"/>
      <c r="Y435" s="21"/>
      <c r="Z435" s="16"/>
    </row>
    <row r="436" ht="12.75" spans="1:26">
      <c r="A436" s="16"/>
      <c r="B436" s="1"/>
      <c r="C436" s="15"/>
      <c r="D436" s="16"/>
      <c r="E436" s="27"/>
      <c r="F436" s="21"/>
      <c r="G436" s="27"/>
      <c r="K436" s="21"/>
      <c r="L436" s="27"/>
      <c r="Q436" s="21"/>
      <c r="S436" s="21"/>
      <c r="T436" s="27"/>
      <c r="Y436" s="21"/>
      <c r="Z436" s="16"/>
    </row>
    <row r="437" ht="12.75" spans="1:26">
      <c r="A437" s="16"/>
      <c r="B437" s="1"/>
      <c r="C437" s="15"/>
      <c r="D437" s="16"/>
      <c r="E437" s="27"/>
      <c r="F437" s="21"/>
      <c r="G437" s="27"/>
      <c r="K437" s="21"/>
      <c r="L437" s="27"/>
      <c r="Q437" s="21"/>
      <c r="S437" s="21"/>
      <c r="T437" s="27"/>
      <c r="Y437" s="21"/>
      <c r="Z437" s="16"/>
    </row>
    <row r="438" ht="12.75" spans="1:26">
      <c r="A438" s="16"/>
      <c r="B438" s="1"/>
      <c r="C438" s="15"/>
      <c r="D438" s="16"/>
      <c r="E438" s="27"/>
      <c r="F438" s="21"/>
      <c r="G438" s="27"/>
      <c r="K438" s="21"/>
      <c r="L438" s="27"/>
      <c r="Q438" s="21"/>
      <c r="S438" s="21"/>
      <c r="T438" s="27"/>
      <c r="Y438" s="21"/>
      <c r="Z438" s="16"/>
    </row>
    <row r="439" ht="12.75" spans="1:26">
      <c r="A439" s="16"/>
      <c r="B439" s="1"/>
      <c r="C439" s="15"/>
      <c r="D439" s="16"/>
      <c r="E439" s="27"/>
      <c r="F439" s="21"/>
      <c r="G439" s="27"/>
      <c r="K439" s="21"/>
      <c r="L439" s="27"/>
      <c r="Q439" s="21"/>
      <c r="S439" s="21"/>
      <c r="T439" s="27"/>
      <c r="Y439" s="21"/>
      <c r="Z439" s="16"/>
    </row>
    <row r="440" ht="12.75" spans="1:26">
      <c r="A440" s="16"/>
      <c r="B440" s="1"/>
      <c r="C440" s="15"/>
      <c r="D440" s="16"/>
      <c r="E440" s="27"/>
      <c r="F440" s="21"/>
      <c r="G440" s="27"/>
      <c r="K440" s="21"/>
      <c r="L440" s="27"/>
      <c r="Q440" s="21"/>
      <c r="S440" s="21"/>
      <c r="T440" s="27"/>
      <c r="Y440" s="21"/>
      <c r="Z440" s="16"/>
    </row>
    <row r="441" ht="12.75" spans="1:26">
      <c r="A441" s="16"/>
      <c r="B441" s="1"/>
      <c r="C441" s="15"/>
      <c r="D441" s="16"/>
      <c r="E441" s="27"/>
      <c r="F441" s="21"/>
      <c r="G441" s="27"/>
      <c r="K441" s="21"/>
      <c r="L441" s="27"/>
      <c r="Q441" s="21"/>
      <c r="S441" s="21"/>
      <c r="T441" s="27"/>
      <c r="Y441" s="21"/>
      <c r="Z441" s="16"/>
    </row>
    <row r="442" ht="12.75" spans="1:26">
      <c r="A442" s="16"/>
      <c r="B442" s="1"/>
      <c r="C442" s="15"/>
      <c r="D442" s="16"/>
      <c r="E442" s="27"/>
      <c r="F442" s="21"/>
      <c r="G442" s="27"/>
      <c r="K442" s="21"/>
      <c r="L442" s="27"/>
      <c r="Q442" s="21"/>
      <c r="S442" s="21"/>
      <c r="T442" s="27"/>
      <c r="Y442" s="21"/>
      <c r="Z442" s="16"/>
    </row>
    <row r="443" ht="12.75" spans="1:26">
      <c r="A443" s="16"/>
      <c r="B443" s="1"/>
      <c r="C443" s="15"/>
      <c r="D443" s="16"/>
      <c r="E443" s="27"/>
      <c r="F443" s="21"/>
      <c r="G443" s="27"/>
      <c r="K443" s="21"/>
      <c r="L443" s="27"/>
      <c r="Q443" s="21"/>
      <c r="S443" s="21"/>
      <c r="T443" s="27"/>
      <c r="Y443" s="21"/>
      <c r="Z443" s="16"/>
    </row>
    <row r="444" ht="12.75" spans="1:26">
      <c r="A444" s="16"/>
      <c r="B444" s="1"/>
      <c r="C444" s="15"/>
      <c r="D444" s="16"/>
      <c r="E444" s="27"/>
      <c r="F444" s="21"/>
      <c r="G444" s="27"/>
      <c r="K444" s="21"/>
      <c r="L444" s="27"/>
      <c r="Q444" s="21"/>
      <c r="S444" s="21"/>
      <c r="T444" s="27"/>
      <c r="Y444" s="21"/>
      <c r="Z444" s="16"/>
    </row>
    <row r="445" ht="12.75" spans="1:26">
      <c r="A445" s="16"/>
      <c r="B445" s="1"/>
      <c r="C445" s="15"/>
      <c r="D445" s="16"/>
      <c r="E445" s="27"/>
      <c r="F445" s="21"/>
      <c r="G445" s="27"/>
      <c r="K445" s="21"/>
      <c r="L445" s="27"/>
      <c r="Q445" s="21"/>
      <c r="S445" s="21"/>
      <c r="T445" s="27"/>
      <c r="Y445" s="21"/>
      <c r="Z445" s="16"/>
    </row>
    <row r="446" ht="12.75" spans="1:26">
      <c r="A446" s="16"/>
      <c r="B446" s="1"/>
      <c r="C446" s="15"/>
      <c r="D446" s="16"/>
      <c r="E446" s="27"/>
      <c r="F446" s="21"/>
      <c r="G446" s="27"/>
      <c r="K446" s="21"/>
      <c r="L446" s="27"/>
      <c r="Q446" s="21"/>
      <c r="S446" s="21"/>
      <c r="T446" s="27"/>
      <c r="Y446" s="21"/>
      <c r="Z446" s="16"/>
    </row>
    <row r="447" ht="12.75" spans="1:26">
      <c r="A447" s="16"/>
      <c r="B447" s="1"/>
      <c r="C447" s="15"/>
      <c r="D447" s="16"/>
      <c r="E447" s="27"/>
      <c r="F447" s="21"/>
      <c r="G447" s="27"/>
      <c r="K447" s="21"/>
      <c r="L447" s="27"/>
      <c r="Q447" s="21"/>
      <c r="S447" s="21"/>
      <c r="T447" s="27"/>
      <c r="Y447" s="21"/>
      <c r="Z447" s="16"/>
    </row>
    <row r="448" ht="12.75" spans="1:26">
      <c r="A448" s="16"/>
      <c r="B448" s="1"/>
      <c r="C448" s="15"/>
      <c r="D448" s="16"/>
      <c r="E448" s="27"/>
      <c r="F448" s="21"/>
      <c r="G448" s="27"/>
      <c r="K448" s="21"/>
      <c r="L448" s="27"/>
      <c r="Q448" s="21"/>
      <c r="S448" s="21"/>
      <c r="T448" s="27"/>
      <c r="Y448" s="21"/>
      <c r="Z448" s="16"/>
    </row>
    <row r="449" ht="12.75" spans="1:26">
      <c r="A449" s="16"/>
      <c r="B449" s="1"/>
      <c r="C449" s="15"/>
      <c r="D449" s="16"/>
      <c r="E449" s="27"/>
      <c r="F449" s="21"/>
      <c r="G449" s="27"/>
      <c r="K449" s="21"/>
      <c r="L449" s="27"/>
      <c r="Q449" s="21"/>
      <c r="S449" s="21"/>
      <c r="T449" s="27"/>
      <c r="Y449" s="21"/>
      <c r="Z449" s="16"/>
    </row>
    <row r="450" ht="12.75" spans="1:26">
      <c r="A450" s="16"/>
      <c r="B450" s="1"/>
      <c r="C450" s="15"/>
      <c r="D450" s="16"/>
      <c r="E450" s="27"/>
      <c r="F450" s="21"/>
      <c r="G450" s="27"/>
      <c r="K450" s="21"/>
      <c r="L450" s="27"/>
      <c r="Q450" s="21"/>
      <c r="S450" s="21"/>
      <c r="T450" s="27"/>
      <c r="Y450" s="21"/>
      <c r="Z450" s="16"/>
    </row>
    <row r="451" ht="12.75" spans="1:26">
      <c r="A451" s="16"/>
      <c r="B451" s="1"/>
      <c r="C451" s="15"/>
      <c r="D451" s="16"/>
      <c r="E451" s="27"/>
      <c r="F451" s="21"/>
      <c r="G451" s="27"/>
      <c r="K451" s="21"/>
      <c r="L451" s="27"/>
      <c r="Q451" s="21"/>
      <c r="S451" s="21"/>
      <c r="T451" s="27"/>
      <c r="Y451" s="21"/>
      <c r="Z451" s="16"/>
    </row>
    <row r="452" ht="12.75" spans="1:26">
      <c r="A452" s="16"/>
      <c r="B452" s="1"/>
      <c r="C452" s="15"/>
      <c r="D452" s="16"/>
      <c r="E452" s="27"/>
      <c r="F452" s="21"/>
      <c r="G452" s="27"/>
      <c r="K452" s="21"/>
      <c r="L452" s="27"/>
      <c r="Q452" s="21"/>
      <c r="S452" s="21"/>
      <c r="T452" s="27"/>
      <c r="Y452" s="21"/>
      <c r="Z452" s="16"/>
    </row>
    <row r="453" ht="12.75" spans="1:26">
      <c r="A453" s="16"/>
      <c r="B453" s="1"/>
      <c r="C453" s="15"/>
      <c r="D453" s="16"/>
      <c r="E453" s="27"/>
      <c r="F453" s="21"/>
      <c r="G453" s="27"/>
      <c r="K453" s="21"/>
      <c r="L453" s="27"/>
      <c r="Q453" s="21"/>
      <c r="S453" s="21"/>
      <c r="T453" s="27"/>
      <c r="Y453" s="21"/>
      <c r="Z453" s="16"/>
    </row>
    <row r="454" ht="12.75" spans="1:26">
      <c r="A454" s="16"/>
      <c r="B454" s="1"/>
      <c r="C454" s="15"/>
      <c r="D454" s="16"/>
      <c r="E454" s="27"/>
      <c r="F454" s="21"/>
      <c r="G454" s="27"/>
      <c r="K454" s="21"/>
      <c r="L454" s="27"/>
      <c r="Q454" s="21"/>
      <c r="S454" s="21"/>
      <c r="T454" s="27"/>
      <c r="Y454" s="21"/>
      <c r="Z454" s="16"/>
    </row>
    <row r="455" ht="12.75" spans="1:26">
      <c r="A455" s="16"/>
      <c r="B455" s="1"/>
      <c r="C455" s="15"/>
      <c r="D455" s="16"/>
      <c r="E455" s="27"/>
      <c r="F455" s="21"/>
      <c r="G455" s="27"/>
      <c r="K455" s="21"/>
      <c r="L455" s="27"/>
      <c r="Q455" s="21"/>
      <c r="S455" s="21"/>
      <c r="T455" s="27"/>
      <c r="Y455" s="21"/>
      <c r="Z455" s="16"/>
    </row>
    <row r="456" ht="12.75" spans="1:26">
      <c r="A456" s="16"/>
      <c r="B456" s="1"/>
      <c r="C456" s="15"/>
      <c r="D456" s="16"/>
      <c r="E456" s="27"/>
      <c r="F456" s="21"/>
      <c r="G456" s="27"/>
      <c r="K456" s="21"/>
      <c r="L456" s="27"/>
      <c r="Q456" s="21"/>
      <c r="S456" s="21"/>
      <c r="T456" s="27"/>
      <c r="Y456" s="21"/>
      <c r="Z456" s="16"/>
    </row>
    <row r="457" ht="12.75" spans="1:26">
      <c r="A457" s="16"/>
      <c r="B457" s="1"/>
      <c r="C457" s="15"/>
      <c r="D457" s="16"/>
      <c r="E457" s="27"/>
      <c r="F457" s="21"/>
      <c r="G457" s="27"/>
      <c r="K457" s="21"/>
      <c r="L457" s="27"/>
      <c r="Q457" s="21"/>
      <c r="S457" s="21"/>
      <c r="T457" s="27"/>
      <c r="Y457" s="21"/>
      <c r="Z457" s="16"/>
    </row>
    <row r="458" ht="12.75" spans="1:26">
      <c r="A458" s="16"/>
      <c r="B458" s="1"/>
      <c r="C458" s="15"/>
      <c r="D458" s="16"/>
      <c r="E458" s="27"/>
      <c r="F458" s="21"/>
      <c r="G458" s="27"/>
      <c r="K458" s="21"/>
      <c r="L458" s="27"/>
      <c r="Q458" s="21"/>
      <c r="S458" s="21"/>
      <c r="T458" s="27"/>
      <c r="Y458" s="21"/>
      <c r="Z458" s="16"/>
    </row>
    <row r="459" ht="12.75" spans="1:26">
      <c r="A459" s="16"/>
      <c r="B459" s="1"/>
      <c r="C459" s="15"/>
      <c r="D459" s="16"/>
      <c r="E459" s="27"/>
      <c r="F459" s="21"/>
      <c r="G459" s="27"/>
      <c r="K459" s="21"/>
      <c r="L459" s="27"/>
      <c r="Q459" s="21"/>
      <c r="S459" s="21"/>
      <c r="T459" s="27"/>
      <c r="Y459" s="21"/>
      <c r="Z459" s="16"/>
    </row>
    <row r="460" ht="12.75" spans="1:26">
      <c r="A460" s="16"/>
      <c r="B460" s="1"/>
      <c r="C460" s="15"/>
      <c r="D460" s="16"/>
      <c r="E460" s="27"/>
      <c r="F460" s="21"/>
      <c r="G460" s="27"/>
      <c r="K460" s="21"/>
      <c r="L460" s="27"/>
      <c r="Q460" s="21"/>
      <c r="S460" s="21"/>
      <c r="T460" s="27"/>
      <c r="Y460" s="21"/>
      <c r="Z460" s="16"/>
    </row>
    <row r="461" ht="12.75" spans="1:26">
      <c r="A461" s="16"/>
      <c r="B461" s="1"/>
      <c r="C461" s="15"/>
      <c r="D461" s="16"/>
      <c r="E461" s="27"/>
      <c r="F461" s="21"/>
      <c r="G461" s="27"/>
      <c r="K461" s="21"/>
      <c r="L461" s="27"/>
      <c r="Q461" s="21"/>
      <c r="S461" s="21"/>
      <c r="T461" s="27"/>
      <c r="Y461" s="21"/>
      <c r="Z461" s="16"/>
    </row>
    <row r="462" ht="12.75" spans="1:26">
      <c r="A462" s="16"/>
      <c r="B462" s="1"/>
      <c r="C462" s="15"/>
      <c r="D462" s="16"/>
      <c r="E462" s="27"/>
      <c r="F462" s="21"/>
      <c r="G462" s="27"/>
      <c r="K462" s="21"/>
      <c r="L462" s="27"/>
      <c r="Q462" s="21"/>
      <c r="S462" s="21"/>
      <c r="T462" s="27"/>
      <c r="Y462" s="21"/>
      <c r="Z462" s="16"/>
    </row>
    <row r="463" ht="12.75" spans="1:26">
      <c r="A463" s="16"/>
      <c r="B463" s="1"/>
      <c r="C463" s="15"/>
      <c r="D463" s="16"/>
      <c r="E463" s="27"/>
      <c r="F463" s="21"/>
      <c r="G463" s="27"/>
      <c r="K463" s="21"/>
      <c r="L463" s="27"/>
      <c r="Q463" s="21"/>
      <c r="S463" s="21"/>
      <c r="T463" s="27"/>
      <c r="Y463" s="21"/>
      <c r="Z463" s="16"/>
    </row>
    <row r="464" ht="12.75" spans="1:26">
      <c r="A464" s="16"/>
      <c r="B464" s="1"/>
      <c r="C464" s="15"/>
      <c r="D464" s="16"/>
      <c r="E464" s="27"/>
      <c r="F464" s="21"/>
      <c r="G464" s="27"/>
      <c r="K464" s="21"/>
      <c r="L464" s="27"/>
      <c r="Q464" s="21"/>
      <c r="S464" s="21"/>
      <c r="T464" s="27"/>
      <c r="Y464" s="21"/>
      <c r="Z464" s="16"/>
    </row>
    <row r="465" ht="12.75" spans="1:26">
      <c r="A465" s="16"/>
      <c r="B465" s="1"/>
      <c r="C465" s="15"/>
      <c r="D465" s="16"/>
      <c r="E465" s="27"/>
      <c r="F465" s="21"/>
      <c r="G465" s="27"/>
      <c r="K465" s="21"/>
      <c r="L465" s="27"/>
      <c r="Q465" s="21"/>
      <c r="S465" s="21"/>
      <c r="T465" s="27"/>
      <c r="Y465" s="21"/>
      <c r="Z465" s="16"/>
    </row>
    <row r="466" ht="12.75" spans="1:26">
      <c r="A466" s="16"/>
      <c r="B466" s="1"/>
      <c r="C466" s="15"/>
      <c r="D466" s="16"/>
      <c r="E466" s="27"/>
      <c r="F466" s="21"/>
      <c r="G466" s="27"/>
      <c r="K466" s="21"/>
      <c r="L466" s="27"/>
      <c r="Q466" s="21"/>
      <c r="S466" s="21"/>
      <c r="T466" s="27"/>
      <c r="Y466" s="21"/>
      <c r="Z466" s="16"/>
    </row>
    <row r="467" ht="12.75" spans="1:26">
      <c r="A467" s="16"/>
      <c r="B467" s="1"/>
      <c r="C467" s="15"/>
      <c r="D467" s="16"/>
      <c r="E467" s="27"/>
      <c r="F467" s="21"/>
      <c r="G467" s="27"/>
      <c r="K467" s="21"/>
      <c r="L467" s="27"/>
      <c r="Q467" s="21"/>
      <c r="S467" s="21"/>
      <c r="T467" s="27"/>
      <c r="Y467" s="21"/>
      <c r="Z467" s="16"/>
    </row>
    <row r="468" ht="12.75" spans="1:26">
      <c r="A468" s="16"/>
      <c r="B468" s="1"/>
      <c r="C468" s="15"/>
      <c r="D468" s="16"/>
      <c r="E468" s="27"/>
      <c r="F468" s="21"/>
      <c r="G468" s="27"/>
      <c r="K468" s="21"/>
      <c r="L468" s="27"/>
      <c r="Q468" s="21"/>
      <c r="S468" s="21"/>
      <c r="T468" s="27"/>
      <c r="Y468" s="21"/>
      <c r="Z468" s="16"/>
    </row>
    <row r="469" ht="12.75" spans="1:26">
      <c r="A469" s="16"/>
      <c r="B469" s="1"/>
      <c r="C469" s="15"/>
      <c r="D469" s="16"/>
      <c r="E469" s="27"/>
      <c r="F469" s="21"/>
      <c r="G469" s="27"/>
      <c r="K469" s="21"/>
      <c r="L469" s="27"/>
      <c r="Q469" s="21"/>
      <c r="S469" s="21"/>
      <c r="T469" s="27"/>
      <c r="Y469" s="21"/>
      <c r="Z469" s="16"/>
    </row>
    <row r="470" ht="12.75" spans="1:26">
      <c r="A470" s="16"/>
      <c r="B470" s="1"/>
      <c r="C470" s="15"/>
      <c r="D470" s="16"/>
      <c r="E470" s="27"/>
      <c r="F470" s="21"/>
      <c r="G470" s="27"/>
      <c r="K470" s="21"/>
      <c r="L470" s="27"/>
      <c r="Q470" s="21"/>
      <c r="S470" s="21"/>
      <c r="T470" s="27"/>
      <c r="Y470" s="21"/>
      <c r="Z470" s="16"/>
    </row>
    <row r="471" ht="12.75" spans="1:26">
      <c r="A471" s="16"/>
      <c r="B471" s="1"/>
      <c r="C471" s="15"/>
      <c r="D471" s="16"/>
      <c r="E471" s="27"/>
      <c r="F471" s="21"/>
      <c r="G471" s="27"/>
      <c r="K471" s="21"/>
      <c r="L471" s="27"/>
      <c r="Q471" s="21"/>
      <c r="S471" s="21"/>
      <c r="T471" s="27"/>
      <c r="Y471" s="21"/>
      <c r="Z471" s="16"/>
    </row>
    <row r="472" ht="12.75" spans="1:26">
      <c r="A472" s="16"/>
      <c r="B472" s="1"/>
      <c r="C472" s="15"/>
      <c r="D472" s="16"/>
      <c r="E472" s="27"/>
      <c r="F472" s="21"/>
      <c r="G472" s="27"/>
      <c r="K472" s="21"/>
      <c r="L472" s="27"/>
      <c r="Q472" s="21"/>
      <c r="S472" s="21"/>
      <c r="T472" s="27"/>
      <c r="Y472" s="21"/>
      <c r="Z472" s="16"/>
    </row>
    <row r="473" ht="12.75" spans="1:26">
      <c r="A473" s="16"/>
      <c r="B473" s="1"/>
      <c r="C473" s="15"/>
      <c r="D473" s="16"/>
      <c r="E473" s="27"/>
      <c r="F473" s="21"/>
      <c r="G473" s="27"/>
      <c r="K473" s="21"/>
      <c r="L473" s="27"/>
      <c r="Q473" s="21"/>
      <c r="S473" s="21"/>
      <c r="T473" s="27"/>
      <c r="Y473" s="21"/>
      <c r="Z473" s="16"/>
    </row>
    <row r="474" ht="12.75" spans="1:26">
      <c r="A474" s="16"/>
      <c r="B474" s="1"/>
      <c r="C474" s="15"/>
      <c r="D474" s="16"/>
      <c r="E474" s="27"/>
      <c r="F474" s="21"/>
      <c r="G474" s="27"/>
      <c r="K474" s="21"/>
      <c r="L474" s="27"/>
      <c r="Q474" s="21"/>
      <c r="S474" s="21"/>
      <c r="T474" s="27"/>
      <c r="Y474" s="21"/>
      <c r="Z474" s="16"/>
    </row>
    <row r="475" ht="12.75" spans="1:26">
      <c r="A475" s="16"/>
      <c r="B475" s="1"/>
      <c r="C475" s="15"/>
      <c r="D475" s="16"/>
      <c r="E475" s="27"/>
      <c r="F475" s="21"/>
      <c r="G475" s="27"/>
      <c r="K475" s="21"/>
      <c r="L475" s="27"/>
      <c r="Q475" s="21"/>
      <c r="S475" s="21"/>
      <c r="T475" s="27"/>
      <c r="Y475" s="21"/>
      <c r="Z475" s="16"/>
    </row>
    <row r="476" ht="12.75" spans="1:26">
      <c r="A476" s="16"/>
      <c r="B476" s="1"/>
      <c r="C476" s="15"/>
      <c r="D476" s="16"/>
      <c r="E476" s="27"/>
      <c r="F476" s="21"/>
      <c r="G476" s="27"/>
      <c r="K476" s="21"/>
      <c r="L476" s="27"/>
      <c r="Q476" s="21"/>
      <c r="S476" s="21"/>
      <c r="T476" s="27"/>
      <c r="Y476" s="21"/>
      <c r="Z476" s="16"/>
    </row>
    <row r="477" ht="12.75" spans="1:26">
      <c r="A477" s="16"/>
      <c r="B477" s="1"/>
      <c r="C477" s="15"/>
      <c r="D477" s="16"/>
      <c r="E477" s="27"/>
      <c r="F477" s="21"/>
      <c r="G477" s="27"/>
      <c r="K477" s="21"/>
      <c r="L477" s="27"/>
      <c r="Q477" s="21"/>
      <c r="S477" s="21"/>
      <c r="T477" s="27"/>
      <c r="Y477" s="21"/>
      <c r="Z477" s="16"/>
    </row>
    <row r="478" ht="12.75" spans="1:26">
      <c r="A478" s="16"/>
      <c r="B478" s="1"/>
      <c r="C478" s="15"/>
      <c r="D478" s="16"/>
      <c r="E478" s="27"/>
      <c r="F478" s="21"/>
      <c r="G478" s="27"/>
      <c r="K478" s="21"/>
      <c r="L478" s="27"/>
      <c r="Q478" s="21"/>
      <c r="S478" s="21"/>
      <c r="T478" s="27"/>
      <c r="Y478" s="21"/>
      <c r="Z478" s="16"/>
    </row>
    <row r="479" ht="12.75" spans="1:26">
      <c r="A479" s="16"/>
      <c r="B479" s="1"/>
      <c r="C479" s="15"/>
      <c r="D479" s="16"/>
      <c r="E479" s="27"/>
      <c r="F479" s="21"/>
      <c r="G479" s="27"/>
      <c r="K479" s="21"/>
      <c r="L479" s="27"/>
      <c r="Q479" s="21"/>
      <c r="S479" s="21"/>
      <c r="T479" s="27"/>
      <c r="Y479" s="21"/>
      <c r="Z479" s="16"/>
    </row>
    <row r="480" ht="12.75" spans="1:26">
      <c r="A480" s="16"/>
      <c r="B480" s="1"/>
      <c r="C480" s="15"/>
      <c r="D480" s="16"/>
      <c r="E480" s="27"/>
      <c r="F480" s="21"/>
      <c r="G480" s="27"/>
      <c r="K480" s="21"/>
      <c r="L480" s="27"/>
      <c r="Q480" s="21"/>
      <c r="S480" s="21"/>
      <c r="T480" s="27"/>
      <c r="Y480" s="21"/>
      <c r="Z480" s="16"/>
    </row>
    <row r="481" ht="12.75" spans="1:26">
      <c r="A481" s="16"/>
      <c r="B481" s="1"/>
      <c r="C481" s="15"/>
      <c r="D481" s="16"/>
      <c r="E481" s="27"/>
      <c r="F481" s="21"/>
      <c r="G481" s="27"/>
      <c r="K481" s="21"/>
      <c r="L481" s="27"/>
      <c r="Q481" s="21"/>
      <c r="S481" s="21"/>
      <c r="T481" s="27"/>
      <c r="Y481" s="21"/>
      <c r="Z481" s="16"/>
    </row>
    <row r="482" ht="12.75" spans="1:26">
      <c r="A482" s="16"/>
      <c r="B482" s="1"/>
      <c r="C482" s="15"/>
      <c r="D482" s="16"/>
      <c r="E482" s="27"/>
      <c r="F482" s="21"/>
      <c r="G482" s="27"/>
      <c r="K482" s="21"/>
      <c r="L482" s="27"/>
      <c r="Q482" s="21"/>
      <c r="S482" s="21"/>
      <c r="T482" s="27"/>
      <c r="Y482" s="21"/>
      <c r="Z482" s="16"/>
    </row>
    <row r="483" ht="12.75" spans="1:26">
      <c r="A483" s="16"/>
      <c r="B483" s="1"/>
      <c r="C483" s="15"/>
      <c r="D483" s="16"/>
      <c r="E483" s="27"/>
      <c r="F483" s="21"/>
      <c r="G483" s="27"/>
      <c r="K483" s="21"/>
      <c r="L483" s="27"/>
      <c r="Q483" s="21"/>
      <c r="S483" s="21"/>
      <c r="T483" s="27"/>
      <c r="Y483" s="21"/>
      <c r="Z483" s="16"/>
    </row>
    <row r="484" ht="12.75" spans="1:26">
      <c r="A484" s="16"/>
      <c r="B484" s="1"/>
      <c r="C484" s="15"/>
      <c r="D484" s="16"/>
      <c r="E484" s="27"/>
      <c r="F484" s="21"/>
      <c r="G484" s="27"/>
      <c r="K484" s="21"/>
      <c r="L484" s="27"/>
      <c r="Q484" s="21"/>
      <c r="S484" s="21"/>
      <c r="T484" s="27"/>
      <c r="Y484" s="21"/>
      <c r="Z484" s="16"/>
    </row>
    <row r="485" ht="12.75" spans="1:26">
      <c r="A485" s="16"/>
      <c r="B485" s="1"/>
      <c r="C485" s="15"/>
      <c r="D485" s="16"/>
      <c r="E485" s="27"/>
      <c r="F485" s="21"/>
      <c r="G485" s="27"/>
      <c r="K485" s="21"/>
      <c r="L485" s="27"/>
      <c r="Q485" s="21"/>
      <c r="S485" s="21"/>
      <c r="T485" s="27"/>
      <c r="Y485" s="21"/>
      <c r="Z485" s="16"/>
    </row>
    <row r="486" ht="12.75" spans="1:26">
      <c r="A486" s="16"/>
      <c r="B486" s="1"/>
      <c r="C486" s="15"/>
      <c r="D486" s="16"/>
      <c r="E486" s="27"/>
      <c r="F486" s="21"/>
      <c r="G486" s="27"/>
      <c r="K486" s="21"/>
      <c r="L486" s="27"/>
      <c r="Q486" s="21"/>
      <c r="S486" s="21"/>
      <c r="T486" s="27"/>
      <c r="Y486" s="21"/>
      <c r="Z486" s="16"/>
    </row>
    <row r="487" ht="12.75" spans="1:26">
      <c r="A487" s="16"/>
      <c r="B487" s="1"/>
      <c r="C487" s="15"/>
      <c r="D487" s="16"/>
      <c r="E487" s="27"/>
      <c r="F487" s="21"/>
      <c r="G487" s="27"/>
      <c r="K487" s="21"/>
      <c r="L487" s="27"/>
      <c r="Q487" s="21"/>
      <c r="S487" s="21"/>
      <c r="T487" s="27"/>
      <c r="Y487" s="21"/>
      <c r="Z487" s="16"/>
    </row>
    <row r="488" ht="12.75" spans="1:26">
      <c r="A488" s="16"/>
      <c r="B488" s="1"/>
      <c r="C488" s="15"/>
      <c r="D488" s="16"/>
      <c r="E488" s="27"/>
      <c r="F488" s="21"/>
      <c r="G488" s="27"/>
      <c r="K488" s="21"/>
      <c r="L488" s="27"/>
      <c r="Q488" s="21"/>
      <c r="S488" s="21"/>
      <c r="T488" s="27"/>
      <c r="Y488" s="21"/>
      <c r="Z488" s="16"/>
    </row>
    <row r="489" ht="12.75" spans="1:26">
      <c r="A489" s="16"/>
      <c r="B489" s="1"/>
      <c r="C489" s="15"/>
      <c r="D489" s="16"/>
      <c r="E489" s="27"/>
      <c r="F489" s="21"/>
      <c r="G489" s="27"/>
      <c r="K489" s="21"/>
      <c r="L489" s="27"/>
      <c r="Q489" s="21"/>
      <c r="S489" s="21"/>
      <c r="T489" s="27"/>
      <c r="Y489" s="21"/>
      <c r="Z489" s="16"/>
    </row>
    <row r="490" ht="12.75" spans="1:26">
      <c r="A490" s="16"/>
      <c r="B490" s="1"/>
      <c r="C490" s="15"/>
      <c r="D490" s="16"/>
      <c r="E490" s="27"/>
      <c r="F490" s="21"/>
      <c r="G490" s="27"/>
      <c r="K490" s="21"/>
      <c r="L490" s="27"/>
      <c r="Q490" s="21"/>
      <c r="S490" s="21"/>
      <c r="T490" s="27"/>
      <c r="Y490" s="21"/>
      <c r="Z490" s="16"/>
    </row>
    <row r="491" ht="12.75" spans="1:26">
      <c r="A491" s="16"/>
      <c r="B491" s="1"/>
      <c r="C491" s="15"/>
      <c r="D491" s="16"/>
      <c r="E491" s="27"/>
      <c r="F491" s="21"/>
      <c r="G491" s="27"/>
      <c r="K491" s="21"/>
      <c r="L491" s="27"/>
      <c r="Q491" s="21"/>
      <c r="S491" s="21"/>
      <c r="T491" s="27"/>
      <c r="Y491" s="21"/>
      <c r="Z491" s="16"/>
    </row>
    <row r="492" ht="12.75" spans="1:26">
      <c r="A492" s="16"/>
      <c r="B492" s="1"/>
      <c r="C492" s="15"/>
      <c r="D492" s="16"/>
      <c r="E492" s="27"/>
      <c r="F492" s="21"/>
      <c r="G492" s="27"/>
      <c r="K492" s="21"/>
      <c r="L492" s="27"/>
      <c r="Q492" s="21"/>
      <c r="S492" s="21"/>
      <c r="T492" s="27"/>
      <c r="Y492" s="21"/>
      <c r="Z492" s="16"/>
    </row>
    <row r="493" ht="12.75" spans="1:26">
      <c r="A493" s="16"/>
      <c r="B493" s="1"/>
      <c r="C493" s="15"/>
      <c r="D493" s="16"/>
      <c r="E493" s="27"/>
      <c r="F493" s="21"/>
      <c r="G493" s="27"/>
      <c r="K493" s="21"/>
      <c r="L493" s="27"/>
      <c r="Q493" s="21"/>
      <c r="S493" s="21"/>
      <c r="T493" s="27"/>
      <c r="Y493" s="21"/>
      <c r="Z493" s="16"/>
    </row>
    <row r="494" ht="12.75" spans="1:26">
      <c r="A494" s="16"/>
      <c r="B494" s="1"/>
      <c r="C494" s="15"/>
      <c r="D494" s="16"/>
      <c r="E494" s="27"/>
      <c r="F494" s="21"/>
      <c r="G494" s="27"/>
      <c r="K494" s="21"/>
      <c r="L494" s="27"/>
      <c r="Q494" s="21"/>
      <c r="S494" s="21"/>
      <c r="T494" s="27"/>
      <c r="Y494" s="21"/>
      <c r="Z494" s="16"/>
    </row>
    <row r="495" ht="12.75" spans="1:26">
      <c r="A495" s="16"/>
      <c r="B495" s="1"/>
      <c r="C495" s="15"/>
      <c r="D495" s="16"/>
      <c r="E495" s="27"/>
      <c r="F495" s="21"/>
      <c r="G495" s="27"/>
      <c r="K495" s="21"/>
      <c r="L495" s="27"/>
      <c r="Q495" s="21"/>
      <c r="S495" s="21"/>
      <c r="T495" s="27"/>
      <c r="Y495" s="21"/>
      <c r="Z495" s="16"/>
    </row>
    <row r="496" ht="12.75" spans="1:26">
      <c r="A496" s="16"/>
      <c r="B496" s="1"/>
      <c r="C496" s="15"/>
      <c r="D496" s="16"/>
      <c r="E496" s="27"/>
      <c r="F496" s="21"/>
      <c r="G496" s="27"/>
      <c r="K496" s="21"/>
      <c r="L496" s="27"/>
      <c r="Q496" s="21"/>
      <c r="S496" s="21"/>
      <c r="T496" s="27"/>
      <c r="Y496" s="21"/>
      <c r="Z496" s="16"/>
    </row>
    <row r="497" ht="12.75" spans="1:26">
      <c r="A497" s="16"/>
      <c r="B497" s="1"/>
      <c r="C497" s="15"/>
      <c r="D497" s="16"/>
      <c r="E497" s="27"/>
      <c r="F497" s="21"/>
      <c r="G497" s="27"/>
      <c r="K497" s="21"/>
      <c r="L497" s="27"/>
      <c r="Q497" s="21"/>
      <c r="S497" s="21"/>
      <c r="T497" s="27"/>
      <c r="Y497" s="21"/>
      <c r="Z497" s="16"/>
    </row>
    <row r="498" ht="12.75" spans="1:26">
      <c r="A498" s="16"/>
      <c r="B498" s="1"/>
      <c r="C498" s="15"/>
      <c r="D498" s="16"/>
      <c r="E498" s="27"/>
      <c r="F498" s="21"/>
      <c r="G498" s="27"/>
      <c r="K498" s="21"/>
      <c r="L498" s="27"/>
      <c r="Q498" s="21"/>
      <c r="S498" s="21"/>
      <c r="T498" s="27"/>
      <c r="Y498" s="21"/>
      <c r="Z498" s="16"/>
    </row>
    <row r="499" ht="12.75" spans="1:26">
      <c r="A499" s="16"/>
      <c r="B499" s="1"/>
      <c r="C499" s="15"/>
      <c r="D499" s="16"/>
      <c r="E499" s="27"/>
      <c r="F499" s="21"/>
      <c r="G499" s="27"/>
      <c r="K499" s="21"/>
      <c r="L499" s="27"/>
      <c r="Q499" s="21"/>
      <c r="S499" s="21"/>
      <c r="T499" s="27"/>
      <c r="Y499" s="21"/>
      <c r="Z499" s="16"/>
    </row>
    <row r="500" ht="12.75" spans="1:26">
      <c r="A500" s="16"/>
      <c r="B500" s="1"/>
      <c r="C500" s="15"/>
      <c r="D500" s="16"/>
      <c r="E500" s="27"/>
      <c r="F500" s="21"/>
      <c r="G500" s="27"/>
      <c r="K500" s="21"/>
      <c r="L500" s="27"/>
      <c r="Q500" s="21"/>
      <c r="S500" s="21"/>
      <c r="T500" s="27"/>
      <c r="Y500" s="21"/>
      <c r="Z500" s="16"/>
    </row>
    <row r="501" ht="12.75" spans="1:26">
      <c r="A501" s="16"/>
      <c r="B501" s="1"/>
      <c r="C501" s="15"/>
      <c r="D501" s="16"/>
      <c r="E501" s="27"/>
      <c r="F501" s="21"/>
      <c r="G501" s="27"/>
      <c r="K501" s="21"/>
      <c r="L501" s="27"/>
      <c r="Q501" s="21"/>
      <c r="S501" s="21"/>
      <c r="T501" s="27"/>
      <c r="Y501" s="21"/>
      <c r="Z501" s="16"/>
    </row>
    <row r="502" ht="12.75" spans="1:26">
      <c r="A502" s="16"/>
      <c r="B502" s="1"/>
      <c r="C502" s="15"/>
      <c r="D502" s="16"/>
      <c r="E502" s="27"/>
      <c r="F502" s="21"/>
      <c r="G502" s="27"/>
      <c r="K502" s="21"/>
      <c r="L502" s="27"/>
      <c r="Q502" s="21"/>
      <c r="S502" s="21"/>
      <c r="T502" s="27"/>
      <c r="Y502" s="21"/>
      <c r="Z502" s="16"/>
    </row>
    <row r="503" ht="12.75" spans="1:26">
      <c r="A503" s="16"/>
      <c r="B503" s="1"/>
      <c r="C503" s="15"/>
      <c r="D503" s="16"/>
      <c r="E503" s="27"/>
      <c r="F503" s="21"/>
      <c r="G503" s="27"/>
      <c r="K503" s="21"/>
      <c r="L503" s="27"/>
      <c r="Q503" s="21"/>
      <c r="S503" s="21"/>
      <c r="T503" s="27"/>
      <c r="Y503" s="21"/>
      <c r="Z503" s="16"/>
    </row>
    <row r="504" ht="12.75" spans="1:26">
      <c r="A504" s="16"/>
      <c r="B504" s="1"/>
      <c r="C504" s="15"/>
      <c r="D504" s="16"/>
      <c r="E504" s="27"/>
      <c r="F504" s="21"/>
      <c r="G504" s="27"/>
      <c r="K504" s="21"/>
      <c r="L504" s="27"/>
      <c r="Q504" s="21"/>
      <c r="S504" s="21"/>
      <c r="T504" s="27"/>
      <c r="Y504" s="21"/>
      <c r="Z504" s="16"/>
    </row>
    <row r="505" ht="12.75" spans="1:26">
      <c r="A505" s="16"/>
      <c r="B505" s="1"/>
      <c r="C505" s="15"/>
      <c r="D505" s="16"/>
      <c r="E505" s="27"/>
      <c r="F505" s="21"/>
      <c r="G505" s="27"/>
      <c r="K505" s="21"/>
      <c r="L505" s="27"/>
      <c r="Q505" s="21"/>
      <c r="S505" s="21"/>
      <c r="T505" s="27"/>
      <c r="Y505" s="21"/>
      <c r="Z505" s="16"/>
    </row>
    <row r="506" ht="12.75" spans="1:26">
      <c r="A506" s="16"/>
      <c r="B506" s="1"/>
      <c r="C506" s="15"/>
      <c r="D506" s="16"/>
      <c r="E506" s="27"/>
      <c r="F506" s="21"/>
      <c r="G506" s="27"/>
      <c r="K506" s="21"/>
      <c r="L506" s="27"/>
      <c r="Q506" s="21"/>
      <c r="S506" s="21"/>
      <c r="T506" s="27"/>
      <c r="Y506" s="21"/>
      <c r="Z506" s="16"/>
    </row>
    <row r="507" ht="12.75" spans="1:26">
      <c r="A507" s="16"/>
      <c r="B507" s="1"/>
      <c r="C507" s="15"/>
      <c r="D507" s="16"/>
      <c r="E507" s="27"/>
      <c r="F507" s="21"/>
      <c r="G507" s="27"/>
      <c r="K507" s="21"/>
      <c r="L507" s="27"/>
      <c r="Q507" s="21"/>
      <c r="S507" s="21"/>
      <c r="T507" s="27"/>
      <c r="Y507" s="21"/>
      <c r="Z507" s="16"/>
    </row>
    <row r="508" ht="12.75" spans="1:26">
      <c r="A508" s="16"/>
      <c r="B508" s="1"/>
      <c r="C508" s="15"/>
      <c r="D508" s="16"/>
      <c r="E508" s="27"/>
      <c r="F508" s="21"/>
      <c r="G508" s="27"/>
      <c r="K508" s="21"/>
      <c r="L508" s="27"/>
      <c r="Q508" s="21"/>
      <c r="S508" s="21"/>
      <c r="T508" s="27"/>
      <c r="Y508" s="21"/>
      <c r="Z508" s="16"/>
    </row>
    <row r="509" ht="12.75" spans="1:26">
      <c r="A509" s="16"/>
      <c r="B509" s="1"/>
      <c r="C509" s="15"/>
      <c r="D509" s="16"/>
      <c r="E509" s="27"/>
      <c r="F509" s="21"/>
      <c r="G509" s="27"/>
      <c r="K509" s="21"/>
      <c r="L509" s="27"/>
      <c r="Q509" s="21"/>
      <c r="S509" s="21"/>
      <c r="T509" s="27"/>
      <c r="Y509" s="21"/>
      <c r="Z509" s="16"/>
    </row>
    <row r="510" ht="12.75" spans="1:26">
      <c r="A510" s="16"/>
      <c r="B510" s="1"/>
      <c r="C510" s="15"/>
      <c r="D510" s="16"/>
      <c r="E510" s="27"/>
      <c r="F510" s="21"/>
      <c r="G510" s="27"/>
      <c r="K510" s="21"/>
      <c r="L510" s="27"/>
      <c r="Q510" s="21"/>
      <c r="S510" s="21"/>
      <c r="T510" s="27"/>
      <c r="Y510" s="21"/>
      <c r="Z510" s="16"/>
    </row>
    <row r="511" ht="12.75" spans="1:26">
      <c r="A511" s="16"/>
      <c r="B511" s="1"/>
      <c r="C511" s="15"/>
      <c r="D511" s="16"/>
      <c r="E511" s="27"/>
      <c r="F511" s="21"/>
      <c r="G511" s="27"/>
      <c r="K511" s="21"/>
      <c r="L511" s="27"/>
      <c r="Q511" s="21"/>
      <c r="S511" s="21"/>
      <c r="T511" s="27"/>
      <c r="Y511" s="21"/>
      <c r="Z511" s="16"/>
    </row>
    <row r="512" ht="12.75" spans="1:26">
      <c r="A512" s="16"/>
      <c r="B512" s="1"/>
      <c r="C512" s="15"/>
      <c r="D512" s="16"/>
      <c r="E512" s="27"/>
      <c r="F512" s="21"/>
      <c r="G512" s="27"/>
      <c r="K512" s="21"/>
      <c r="L512" s="27"/>
      <c r="Q512" s="21"/>
      <c r="S512" s="21"/>
      <c r="T512" s="27"/>
      <c r="Y512" s="21"/>
      <c r="Z512" s="16"/>
    </row>
    <row r="513" ht="12.75" spans="1:26">
      <c r="A513" s="16"/>
      <c r="B513" s="1"/>
      <c r="C513" s="15"/>
      <c r="D513" s="16"/>
      <c r="E513" s="27"/>
      <c r="F513" s="21"/>
      <c r="G513" s="27"/>
      <c r="K513" s="21"/>
      <c r="L513" s="27"/>
      <c r="Q513" s="21"/>
      <c r="S513" s="21"/>
      <c r="T513" s="27"/>
      <c r="Y513" s="21"/>
      <c r="Z513" s="16"/>
    </row>
    <row r="514" ht="12.75" spans="1:26">
      <c r="A514" s="16"/>
      <c r="B514" s="1"/>
      <c r="C514" s="15"/>
      <c r="D514" s="16"/>
      <c r="E514" s="27"/>
      <c r="F514" s="21"/>
      <c r="G514" s="27"/>
      <c r="K514" s="21"/>
      <c r="L514" s="27"/>
      <c r="Q514" s="21"/>
      <c r="S514" s="21"/>
      <c r="T514" s="27"/>
      <c r="Y514" s="21"/>
      <c r="Z514" s="16"/>
    </row>
    <row r="515" ht="12.75" spans="1:26">
      <c r="A515" s="16"/>
      <c r="B515" s="1"/>
      <c r="C515" s="15"/>
      <c r="D515" s="16"/>
      <c r="E515" s="27"/>
      <c r="F515" s="21"/>
      <c r="G515" s="27"/>
      <c r="K515" s="21"/>
      <c r="L515" s="27"/>
      <c r="Q515" s="21"/>
      <c r="S515" s="21"/>
      <c r="T515" s="27"/>
      <c r="Y515" s="21"/>
      <c r="Z515" s="16"/>
    </row>
    <row r="516" ht="12.75" spans="1:26">
      <c r="A516" s="16"/>
      <c r="B516" s="1"/>
      <c r="C516" s="15"/>
      <c r="D516" s="16"/>
      <c r="E516" s="27"/>
      <c r="F516" s="21"/>
      <c r="G516" s="27"/>
      <c r="K516" s="21"/>
      <c r="L516" s="27"/>
      <c r="Q516" s="21"/>
      <c r="S516" s="21"/>
      <c r="T516" s="27"/>
      <c r="Y516" s="21"/>
      <c r="Z516" s="16"/>
    </row>
    <row r="517" ht="12.75" spans="1:26">
      <c r="A517" s="16"/>
      <c r="B517" s="1"/>
      <c r="C517" s="15"/>
      <c r="D517" s="16"/>
      <c r="E517" s="27"/>
      <c r="F517" s="21"/>
      <c r="G517" s="27"/>
      <c r="K517" s="21"/>
      <c r="L517" s="27"/>
      <c r="Q517" s="21"/>
      <c r="S517" s="21"/>
      <c r="T517" s="27"/>
      <c r="Y517" s="21"/>
      <c r="Z517" s="16"/>
    </row>
    <row r="518" ht="12.75" spans="1:26">
      <c r="A518" s="16"/>
      <c r="B518" s="1"/>
      <c r="C518" s="15"/>
      <c r="D518" s="16"/>
      <c r="E518" s="27"/>
      <c r="F518" s="21"/>
      <c r="G518" s="27"/>
      <c r="K518" s="21"/>
      <c r="L518" s="27"/>
      <c r="Q518" s="21"/>
      <c r="S518" s="21"/>
      <c r="T518" s="27"/>
      <c r="Y518" s="21"/>
      <c r="Z518" s="16"/>
    </row>
    <row r="519" ht="12.75" spans="1:26">
      <c r="A519" s="16"/>
      <c r="B519" s="1"/>
      <c r="C519" s="15"/>
      <c r="D519" s="16"/>
      <c r="E519" s="27"/>
      <c r="F519" s="21"/>
      <c r="G519" s="27"/>
      <c r="K519" s="21"/>
      <c r="L519" s="27"/>
      <c r="Q519" s="21"/>
      <c r="S519" s="21"/>
      <c r="T519" s="27"/>
      <c r="Y519" s="21"/>
      <c r="Z519" s="16"/>
    </row>
    <row r="520" ht="12.75" spans="1:26">
      <c r="A520" s="16"/>
      <c r="B520" s="1"/>
      <c r="C520" s="15"/>
      <c r="D520" s="16"/>
      <c r="E520" s="27"/>
      <c r="F520" s="21"/>
      <c r="G520" s="27"/>
      <c r="K520" s="21"/>
      <c r="L520" s="27"/>
      <c r="Q520" s="21"/>
      <c r="S520" s="21"/>
      <c r="T520" s="27"/>
      <c r="Y520" s="21"/>
      <c r="Z520" s="16"/>
    </row>
    <row r="521" ht="12.75" spans="1:26">
      <c r="A521" s="16"/>
      <c r="B521" s="1"/>
      <c r="C521" s="15"/>
      <c r="D521" s="16"/>
      <c r="E521" s="27"/>
      <c r="F521" s="21"/>
      <c r="G521" s="27"/>
      <c r="K521" s="21"/>
      <c r="L521" s="27"/>
      <c r="Q521" s="21"/>
      <c r="S521" s="21"/>
      <c r="T521" s="27"/>
      <c r="Y521" s="21"/>
      <c r="Z521" s="16"/>
    </row>
    <row r="522" ht="12.75" spans="1:26">
      <c r="A522" s="16"/>
      <c r="B522" s="1"/>
      <c r="C522" s="15"/>
      <c r="D522" s="16"/>
      <c r="E522" s="27"/>
      <c r="F522" s="21"/>
      <c r="G522" s="27"/>
      <c r="K522" s="21"/>
      <c r="L522" s="27"/>
      <c r="Q522" s="21"/>
      <c r="S522" s="21"/>
      <c r="T522" s="27"/>
      <c r="Y522" s="21"/>
      <c r="Z522" s="16"/>
    </row>
    <row r="523" ht="12.75" spans="1:26">
      <c r="A523" s="16"/>
      <c r="B523" s="1"/>
      <c r="C523" s="15"/>
      <c r="D523" s="16"/>
      <c r="E523" s="27"/>
      <c r="F523" s="21"/>
      <c r="G523" s="27"/>
      <c r="K523" s="21"/>
      <c r="L523" s="27"/>
      <c r="Q523" s="21"/>
      <c r="S523" s="21"/>
      <c r="T523" s="27"/>
      <c r="Y523" s="21"/>
      <c r="Z523" s="16"/>
    </row>
    <row r="524" ht="12.75" spans="1:26">
      <c r="A524" s="16"/>
      <c r="B524" s="1"/>
      <c r="C524" s="15"/>
      <c r="D524" s="16"/>
      <c r="E524" s="27"/>
      <c r="F524" s="21"/>
      <c r="G524" s="27"/>
      <c r="K524" s="21"/>
      <c r="L524" s="27"/>
      <c r="Q524" s="21"/>
      <c r="S524" s="21"/>
      <c r="T524" s="27"/>
      <c r="Y524" s="21"/>
      <c r="Z524" s="16"/>
    </row>
    <row r="525" ht="12.75" spans="1:26">
      <c r="A525" s="16"/>
      <c r="B525" s="1"/>
      <c r="C525" s="15"/>
      <c r="D525" s="16"/>
      <c r="E525" s="27"/>
      <c r="F525" s="21"/>
      <c r="G525" s="27"/>
      <c r="K525" s="21"/>
      <c r="L525" s="27"/>
      <c r="Q525" s="21"/>
      <c r="S525" s="21"/>
      <c r="T525" s="27"/>
      <c r="Y525" s="21"/>
      <c r="Z525" s="16"/>
    </row>
    <row r="526" ht="12.75" spans="1:26">
      <c r="A526" s="16"/>
      <c r="B526" s="1"/>
      <c r="C526" s="15"/>
      <c r="D526" s="16"/>
      <c r="E526" s="27"/>
      <c r="F526" s="21"/>
      <c r="G526" s="27"/>
      <c r="K526" s="21"/>
      <c r="L526" s="27"/>
      <c r="Q526" s="21"/>
      <c r="S526" s="21"/>
      <c r="T526" s="27"/>
      <c r="Y526" s="21"/>
      <c r="Z526" s="16"/>
    </row>
    <row r="527" ht="12.75" spans="1:26">
      <c r="A527" s="16"/>
      <c r="B527" s="1"/>
      <c r="C527" s="15"/>
      <c r="D527" s="16"/>
      <c r="E527" s="27"/>
      <c r="F527" s="21"/>
      <c r="G527" s="27"/>
      <c r="K527" s="21"/>
      <c r="L527" s="27"/>
      <c r="Q527" s="21"/>
      <c r="S527" s="21"/>
      <c r="T527" s="27"/>
      <c r="Y527" s="21"/>
      <c r="Z527" s="16"/>
    </row>
    <row r="528" ht="12.75" spans="1:26">
      <c r="A528" s="16"/>
      <c r="B528" s="1"/>
      <c r="C528" s="15"/>
      <c r="D528" s="16"/>
      <c r="E528" s="27"/>
      <c r="F528" s="21"/>
      <c r="G528" s="27"/>
      <c r="K528" s="21"/>
      <c r="L528" s="27"/>
      <c r="Q528" s="21"/>
      <c r="S528" s="21"/>
      <c r="T528" s="27"/>
      <c r="Y528" s="21"/>
      <c r="Z528" s="16"/>
    </row>
    <row r="529" ht="12.75" spans="1:26">
      <c r="A529" s="16"/>
      <c r="B529" s="1"/>
      <c r="C529" s="15"/>
      <c r="D529" s="16"/>
      <c r="E529" s="27"/>
      <c r="F529" s="21"/>
      <c r="G529" s="27"/>
      <c r="K529" s="21"/>
      <c r="L529" s="27"/>
      <c r="Q529" s="21"/>
      <c r="S529" s="21"/>
      <c r="T529" s="27"/>
      <c r="Y529" s="21"/>
      <c r="Z529" s="16"/>
    </row>
    <row r="530" ht="12.75" spans="1:26">
      <c r="A530" s="16"/>
      <c r="B530" s="1"/>
      <c r="C530" s="15"/>
      <c r="D530" s="16"/>
      <c r="E530" s="27"/>
      <c r="F530" s="21"/>
      <c r="G530" s="27"/>
      <c r="K530" s="21"/>
      <c r="L530" s="27"/>
      <c r="Q530" s="21"/>
      <c r="S530" s="21"/>
      <c r="T530" s="27"/>
      <c r="Y530" s="21"/>
      <c r="Z530" s="16"/>
    </row>
    <row r="531" ht="12.75" spans="1:26">
      <c r="A531" s="16"/>
      <c r="B531" s="1"/>
      <c r="C531" s="15"/>
      <c r="D531" s="16"/>
      <c r="E531" s="27"/>
      <c r="F531" s="21"/>
      <c r="G531" s="27"/>
      <c r="K531" s="21"/>
      <c r="L531" s="27"/>
      <c r="Q531" s="21"/>
      <c r="S531" s="21"/>
      <c r="T531" s="27"/>
      <c r="Y531" s="21"/>
      <c r="Z531" s="16"/>
    </row>
    <row r="532" ht="12.75" spans="1:26">
      <c r="A532" s="16"/>
      <c r="B532" s="1"/>
      <c r="C532" s="15"/>
      <c r="D532" s="16"/>
      <c r="E532" s="27"/>
      <c r="F532" s="21"/>
      <c r="G532" s="27"/>
      <c r="K532" s="21"/>
      <c r="L532" s="27"/>
      <c r="Q532" s="21"/>
      <c r="S532" s="21"/>
      <c r="T532" s="27"/>
      <c r="Y532" s="21"/>
      <c r="Z532" s="16"/>
    </row>
    <row r="533" ht="12.75" spans="1:26">
      <c r="A533" s="16"/>
      <c r="B533" s="1"/>
      <c r="C533" s="15"/>
      <c r="D533" s="16"/>
      <c r="E533" s="27"/>
      <c r="F533" s="21"/>
      <c r="G533" s="27"/>
      <c r="K533" s="21"/>
      <c r="L533" s="27"/>
      <c r="Q533" s="21"/>
      <c r="S533" s="21"/>
      <c r="T533" s="27"/>
      <c r="Y533" s="21"/>
      <c r="Z533" s="16"/>
    </row>
    <row r="534" ht="12.75" spans="1:26">
      <c r="A534" s="16"/>
      <c r="B534" s="1"/>
      <c r="C534" s="15"/>
      <c r="D534" s="16"/>
      <c r="E534" s="27"/>
      <c r="F534" s="21"/>
      <c r="G534" s="27"/>
      <c r="K534" s="21"/>
      <c r="L534" s="27"/>
      <c r="Q534" s="21"/>
      <c r="S534" s="21"/>
      <c r="T534" s="27"/>
      <c r="Y534" s="21"/>
      <c r="Z534" s="16"/>
    </row>
    <row r="535" ht="12.75" spans="1:26">
      <c r="A535" s="16"/>
      <c r="B535" s="1"/>
      <c r="C535" s="15"/>
      <c r="D535" s="16"/>
      <c r="E535" s="27"/>
      <c r="F535" s="21"/>
      <c r="G535" s="27"/>
      <c r="K535" s="21"/>
      <c r="L535" s="27"/>
      <c r="Q535" s="21"/>
      <c r="S535" s="21"/>
      <c r="T535" s="27"/>
      <c r="Y535" s="21"/>
      <c r="Z535" s="16"/>
    </row>
    <row r="536" ht="12.75" spans="1:26">
      <c r="A536" s="16"/>
      <c r="B536" s="1"/>
      <c r="C536" s="15"/>
      <c r="D536" s="16"/>
      <c r="E536" s="27"/>
      <c r="F536" s="21"/>
      <c r="G536" s="27"/>
      <c r="K536" s="21"/>
      <c r="L536" s="27"/>
      <c r="Q536" s="21"/>
      <c r="S536" s="21"/>
      <c r="T536" s="27"/>
      <c r="Y536" s="21"/>
      <c r="Z536" s="16"/>
    </row>
    <row r="537" ht="12.75" spans="1:26">
      <c r="A537" s="16"/>
      <c r="B537" s="1"/>
      <c r="C537" s="15"/>
      <c r="D537" s="16"/>
      <c r="E537" s="27"/>
      <c r="F537" s="21"/>
      <c r="G537" s="27"/>
      <c r="K537" s="21"/>
      <c r="L537" s="27"/>
      <c r="Q537" s="21"/>
      <c r="S537" s="21"/>
      <c r="T537" s="27"/>
      <c r="Y537" s="21"/>
      <c r="Z537" s="16"/>
    </row>
    <row r="538" ht="12.75" spans="1:26">
      <c r="A538" s="16"/>
      <c r="B538" s="1"/>
      <c r="C538" s="15"/>
      <c r="D538" s="16"/>
      <c r="E538" s="27"/>
      <c r="F538" s="21"/>
      <c r="G538" s="27"/>
      <c r="K538" s="21"/>
      <c r="L538" s="27"/>
      <c r="Q538" s="21"/>
      <c r="S538" s="21"/>
      <c r="T538" s="27"/>
      <c r="Y538" s="21"/>
      <c r="Z538" s="16"/>
    </row>
    <row r="539" ht="12.75" spans="1:26">
      <c r="A539" s="16"/>
      <c r="B539" s="1"/>
      <c r="C539" s="15"/>
      <c r="D539" s="16"/>
      <c r="E539" s="27"/>
      <c r="F539" s="21"/>
      <c r="G539" s="27"/>
      <c r="K539" s="21"/>
      <c r="L539" s="27"/>
      <c r="Q539" s="21"/>
      <c r="S539" s="21"/>
      <c r="T539" s="27"/>
      <c r="Y539" s="21"/>
      <c r="Z539" s="16"/>
    </row>
    <row r="540" ht="12.75" spans="1:26">
      <c r="A540" s="16"/>
      <c r="B540" s="1"/>
      <c r="C540" s="15"/>
      <c r="D540" s="16"/>
      <c r="E540" s="27"/>
      <c r="F540" s="21"/>
      <c r="G540" s="27"/>
      <c r="K540" s="21"/>
      <c r="L540" s="27"/>
      <c r="Q540" s="21"/>
      <c r="S540" s="21"/>
      <c r="T540" s="27"/>
      <c r="Y540" s="21"/>
      <c r="Z540" s="16"/>
    </row>
    <row r="541" ht="12.75" spans="1:26">
      <c r="A541" s="16"/>
      <c r="B541" s="1"/>
      <c r="C541" s="15"/>
      <c r="D541" s="16"/>
      <c r="E541" s="27"/>
      <c r="F541" s="21"/>
      <c r="G541" s="27"/>
      <c r="K541" s="21"/>
      <c r="L541" s="27"/>
      <c r="Q541" s="21"/>
      <c r="S541" s="21"/>
      <c r="T541" s="27"/>
      <c r="Y541" s="21"/>
      <c r="Z541" s="16"/>
    </row>
    <row r="542" ht="12.75" spans="1:26">
      <c r="A542" s="16"/>
      <c r="B542" s="1"/>
      <c r="C542" s="15"/>
      <c r="D542" s="16"/>
      <c r="E542" s="27"/>
      <c r="F542" s="21"/>
      <c r="G542" s="27"/>
      <c r="K542" s="21"/>
      <c r="L542" s="27"/>
      <c r="Q542" s="21"/>
      <c r="S542" s="21"/>
      <c r="T542" s="27"/>
      <c r="Y542" s="21"/>
      <c r="Z542" s="16"/>
    </row>
    <row r="543" ht="12.75" spans="1:26">
      <c r="A543" s="16"/>
      <c r="B543" s="1"/>
      <c r="C543" s="15"/>
      <c r="D543" s="16"/>
      <c r="E543" s="27"/>
      <c r="F543" s="21"/>
      <c r="G543" s="27"/>
      <c r="K543" s="21"/>
      <c r="L543" s="27"/>
      <c r="Q543" s="21"/>
      <c r="S543" s="21"/>
      <c r="T543" s="27"/>
      <c r="Y543" s="21"/>
      <c r="Z543" s="16"/>
    </row>
    <row r="544" ht="12.75" spans="1:26">
      <c r="A544" s="16"/>
      <c r="B544" s="1"/>
      <c r="C544" s="15"/>
      <c r="D544" s="16"/>
      <c r="E544" s="27"/>
      <c r="F544" s="21"/>
      <c r="G544" s="27"/>
      <c r="K544" s="21"/>
      <c r="L544" s="27"/>
      <c r="Q544" s="21"/>
      <c r="S544" s="21"/>
      <c r="T544" s="27"/>
      <c r="Y544" s="21"/>
      <c r="Z544" s="16"/>
    </row>
    <row r="545" ht="12.75" spans="1:26">
      <c r="A545" s="16"/>
      <c r="B545" s="1"/>
      <c r="C545" s="15"/>
      <c r="D545" s="16"/>
      <c r="E545" s="27"/>
      <c r="F545" s="21"/>
      <c r="G545" s="27"/>
      <c r="K545" s="21"/>
      <c r="L545" s="27"/>
      <c r="Q545" s="21"/>
      <c r="S545" s="21"/>
      <c r="T545" s="27"/>
      <c r="Y545" s="21"/>
      <c r="Z545" s="16"/>
    </row>
    <row r="546" ht="12.75" spans="1:26">
      <c r="A546" s="16"/>
      <c r="B546" s="1"/>
      <c r="C546" s="15"/>
      <c r="D546" s="16"/>
      <c r="E546" s="27"/>
      <c r="F546" s="21"/>
      <c r="G546" s="27"/>
      <c r="K546" s="21"/>
      <c r="L546" s="27"/>
      <c r="Q546" s="21"/>
      <c r="S546" s="21"/>
      <c r="T546" s="27"/>
      <c r="Y546" s="21"/>
      <c r="Z546" s="16"/>
    </row>
    <row r="547" ht="12.75" spans="1:26">
      <c r="A547" s="16"/>
      <c r="B547" s="1"/>
      <c r="C547" s="15"/>
      <c r="D547" s="16"/>
      <c r="E547" s="27"/>
      <c r="F547" s="21"/>
      <c r="G547" s="27"/>
      <c r="K547" s="21"/>
      <c r="L547" s="27"/>
      <c r="Q547" s="21"/>
      <c r="S547" s="21"/>
      <c r="T547" s="27"/>
      <c r="Y547" s="21"/>
      <c r="Z547" s="16"/>
    </row>
    <row r="548" ht="12.75" spans="1:26">
      <c r="A548" s="16"/>
      <c r="B548" s="1"/>
      <c r="C548" s="15"/>
      <c r="D548" s="16"/>
      <c r="E548" s="27"/>
      <c r="F548" s="21"/>
      <c r="G548" s="27"/>
      <c r="K548" s="21"/>
      <c r="L548" s="27"/>
      <c r="Q548" s="21"/>
      <c r="S548" s="21"/>
      <c r="T548" s="27"/>
      <c r="Y548" s="21"/>
      <c r="Z548" s="16"/>
    </row>
    <row r="549" ht="12.75" spans="1:26">
      <c r="A549" s="16"/>
      <c r="B549" s="1"/>
      <c r="C549" s="15"/>
      <c r="D549" s="16"/>
      <c r="E549" s="27"/>
      <c r="F549" s="21"/>
      <c r="G549" s="27"/>
      <c r="K549" s="21"/>
      <c r="L549" s="27"/>
      <c r="Q549" s="21"/>
      <c r="S549" s="21"/>
      <c r="T549" s="27"/>
      <c r="Y549" s="21"/>
      <c r="Z549" s="16"/>
    </row>
    <row r="550" ht="12.75" spans="1:26">
      <c r="A550" s="16"/>
      <c r="B550" s="1"/>
      <c r="C550" s="15"/>
      <c r="D550" s="16"/>
      <c r="E550" s="27"/>
      <c r="F550" s="21"/>
      <c r="G550" s="27"/>
      <c r="K550" s="21"/>
      <c r="L550" s="27"/>
      <c r="Q550" s="21"/>
      <c r="S550" s="21"/>
      <c r="T550" s="27"/>
      <c r="Y550" s="21"/>
      <c r="Z550" s="16"/>
    </row>
    <row r="551" ht="12.75" spans="1:26">
      <c r="A551" s="16"/>
      <c r="B551" s="1"/>
      <c r="C551" s="15"/>
      <c r="D551" s="16"/>
      <c r="E551" s="27"/>
      <c r="F551" s="21"/>
      <c r="G551" s="27"/>
      <c r="K551" s="21"/>
      <c r="L551" s="27"/>
      <c r="Q551" s="21"/>
      <c r="S551" s="21"/>
      <c r="T551" s="27"/>
      <c r="Y551" s="21"/>
      <c r="Z551" s="16"/>
    </row>
    <row r="552" ht="12.75" spans="1:26">
      <c r="A552" s="16"/>
      <c r="B552" s="1"/>
      <c r="C552" s="15"/>
      <c r="D552" s="16"/>
      <c r="E552" s="27"/>
      <c r="F552" s="21"/>
      <c r="G552" s="27"/>
      <c r="K552" s="21"/>
      <c r="L552" s="27"/>
      <c r="Q552" s="21"/>
      <c r="S552" s="21"/>
      <c r="T552" s="27"/>
      <c r="Y552" s="21"/>
      <c r="Z552" s="16"/>
    </row>
    <row r="553" ht="12.75" spans="1:26">
      <c r="A553" s="16"/>
      <c r="B553" s="1"/>
      <c r="C553" s="15"/>
      <c r="D553" s="16"/>
      <c r="E553" s="27"/>
      <c r="F553" s="21"/>
      <c r="G553" s="27"/>
      <c r="K553" s="21"/>
      <c r="L553" s="27"/>
      <c r="Q553" s="21"/>
      <c r="S553" s="21"/>
      <c r="T553" s="27"/>
      <c r="Y553" s="21"/>
      <c r="Z553" s="16"/>
    </row>
    <row r="554" ht="12.75" spans="1:26">
      <c r="A554" s="16"/>
      <c r="B554" s="1"/>
      <c r="C554" s="15"/>
      <c r="D554" s="16"/>
      <c r="E554" s="27"/>
      <c r="F554" s="21"/>
      <c r="G554" s="27"/>
      <c r="K554" s="21"/>
      <c r="L554" s="27"/>
      <c r="Q554" s="21"/>
      <c r="S554" s="21"/>
      <c r="T554" s="27"/>
      <c r="Y554" s="21"/>
      <c r="Z554" s="16"/>
    </row>
    <row r="555" ht="12.75" spans="1:26">
      <c r="A555" s="16"/>
      <c r="B555" s="1"/>
      <c r="C555" s="15"/>
      <c r="D555" s="16"/>
      <c r="E555" s="27"/>
      <c r="F555" s="21"/>
      <c r="G555" s="27"/>
      <c r="K555" s="21"/>
      <c r="L555" s="27"/>
      <c r="Q555" s="21"/>
      <c r="S555" s="21"/>
      <c r="T555" s="27"/>
      <c r="Y555" s="21"/>
      <c r="Z555" s="16"/>
    </row>
    <row r="556" ht="12.75" spans="1:26">
      <c r="A556" s="16"/>
      <c r="B556" s="1"/>
      <c r="C556" s="15"/>
      <c r="D556" s="16"/>
      <c r="E556" s="27"/>
      <c r="F556" s="21"/>
      <c r="G556" s="27"/>
      <c r="K556" s="21"/>
      <c r="L556" s="27"/>
      <c r="Q556" s="21"/>
      <c r="S556" s="21"/>
      <c r="T556" s="27"/>
      <c r="Y556" s="21"/>
      <c r="Z556" s="16"/>
    </row>
    <row r="557" ht="12.75" spans="1:26">
      <c r="A557" s="16"/>
      <c r="B557" s="1"/>
      <c r="C557" s="15"/>
      <c r="D557" s="16"/>
      <c r="E557" s="27"/>
      <c r="F557" s="21"/>
      <c r="G557" s="27"/>
      <c r="K557" s="21"/>
      <c r="L557" s="27"/>
      <c r="Q557" s="21"/>
      <c r="S557" s="21"/>
      <c r="T557" s="27"/>
      <c r="Y557" s="21"/>
      <c r="Z557" s="16"/>
    </row>
    <row r="558" ht="12.75" spans="1:26">
      <c r="A558" s="16"/>
      <c r="B558" s="1"/>
      <c r="C558" s="15"/>
      <c r="D558" s="16"/>
      <c r="E558" s="27"/>
      <c r="F558" s="21"/>
      <c r="G558" s="27"/>
      <c r="K558" s="21"/>
      <c r="L558" s="27"/>
      <c r="Q558" s="21"/>
      <c r="S558" s="21"/>
      <c r="T558" s="27"/>
      <c r="Y558" s="21"/>
      <c r="Z558" s="16"/>
    </row>
    <row r="559" ht="12.75" spans="1:26">
      <c r="A559" s="16"/>
      <c r="B559" s="1"/>
      <c r="C559" s="15"/>
      <c r="D559" s="16"/>
      <c r="E559" s="27"/>
      <c r="F559" s="21"/>
      <c r="G559" s="27"/>
      <c r="K559" s="21"/>
      <c r="L559" s="27"/>
      <c r="Q559" s="21"/>
      <c r="S559" s="21"/>
      <c r="T559" s="27"/>
      <c r="Y559" s="21"/>
      <c r="Z559" s="16"/>
    </row>
    <row r="560" ht="12.75" spans="1:26">
      <c r="A560" s="16"/>
      <c r="B560" s="1"/>
      <c r="C560" s="15"/>
      <c r="D560" s="16"/>
      <c r="E560" s="27"/>
      <c r="F560" s="21"/>
      <c r="G560" s="27"/>
      <c r="K560" s="21"/>
      <c r="L560" s="27"/>
      <c r="Q560" s="21"/>
      <c r="S560" s="21"/>
      <c r="T560" s="27"/>
      <c r="Y560" s="21"/>
      <c r="Z560" s="16"/>
    </row>
    <row r="561" ht="12.75" spans="1:26">
      <c r="A561" s="16"/>
      <c r="B561" s="1"/>
      <c r="C561" s="15"/>
      <c r="D561" s="16"/>
      <c r="E561" s="27"/>
      <c r="F561" s="21"/>
      <c r="G561" s="27"/>
      <c r="K561" s="21"/>
      <c r="L561" s="27"/>
      <c r="Q561" s="21"/>
      <c r="S561" s="21"/>
      <c r="T561" s="27"/>
      <c r="Y561" s="21"/>
      <c r="Z561" s="16"/>
    </row>
    <row r="562" ht="12.75" spans="1:26">
      <c r="A562" s="16"/>
      <c r="B562" s="1"/>
      <c r="C562" s="15"/>
      <c r="D562" s="16"/>
      <c r="E562" s="27"/>
      <c r="F562" s="21"/>
      <c r="G562" s="27"/>
      <c r="K562" s="21"/>
      <c r="L562" s="27"/>
      <c r="Q562" s="21"/>
      <c r="S562" s="21"/>
      <c r="T562" s="27"/>
      <c r="Y562" s="21"/>
      <c r="Z562" s="16"/>
    </row>
    <row r="563" ht="12.75" spans="1:26">
      <c r="A563" s="16"/>
      <c r="B563" s="1"/>
      <c r="C563" s="15"/>
      <c r="D563" s="16"/>
      <c r="E563" s="27"/>
      <c r="F563" s="21"/>
      <c r="G563" s="27"/>
      <c r="K563" s="21"/>
      <c r="L563" s="27"/>
      <c r="Q563" s="21"/>
      <c r="S563" s="21"/>
      <c r="T563" s="27"/>
      <c r="Y563" s="21"/>
      <c r="Z563" s="16"/>
    </row>
    <row r="564" ht="12.75" spans="1:26">
      <c r="A564" s="16"/>
      <c r="B564" s="1"/>
      <c r="C564" s="15"/>
      <c r="D564" s="16"/>
      <c r="E564" s="27"/>
      <c r="F564" s="21"/>
      <c r="G564" s="27"/>
      <c r="K564" s="21"/>
      <c r="L564" s="27"/>
      <c r="Q564" s="21"/>
      <c r="S564" s="21"/>
      <c r="T564" s="27"/>
      <c r="Y564" s="21"/>
      <c r="Z564" s="16"/>
    </row>
    <row r="565" ht="12.75" spans="1:26">
      <c r="A565" s="16"/>
      <c r="B565" s="1"/>
      <c r="C565" s="15"/>
      <c r="D565" s="16"/>
      <c r="E565" s="27"/>
      <c r="F565" s="21"/>
      <c r="G565" s="27"/>
      <c r="K565" s="21"/>
      <c r="L565" s="27"/>
      <c r="Q565" s="21"/>
      <c r="S565" s="21"/>
      <c r="T565" s="27"/>
      <c r="Y565" s="21"/>
      <c r="Z565" s="16"/>
    </row>
    <row r="566" ht="12.75" spans="1:26">
      <c r="A566" s="16"/>
      <c r="B566" s="1"/>
      <c r="C566" s="15"/>
      <c r="D566" s="16"/>
      <c r="E566" s="27"/>
      <c r="F566" s="21"/>
      <c r="G566" s="27"/>
      <c r="K566" s="21"/>
      <c r="L566" s="27"/>
      <c r="Q566" s="21"/>
      <c r="S566" s="21"/>
      <c r="T566" s="27"/>
      <c r="Y566" s="21"/>
      <c r="Z566" s="16"/>
    </row>
    <row r="567" ht="12.75" spans="1:26">
      <c r="A567" s="16"/>
      <c r="B567" s="1"/>
      <c r="C567" s="15"/>
      <c r="D567" s="16"/>
      <c r="E567" s="27"/>
      <c r="F567" s="21"/>
      <c r="G567" s="27"/>
      <c r="K567" s="21"/>
      <c r="L567" s="27"/>
      <c r="Q567" s="21"/>
      <c r="S567" s="21"/>
      <c r="T567" s="27"/>
      <c r="Y567" s="21"/>
      <c r="Z567" s="16"/>
    </row>
    <row r="568" ht="12.75" spans="1:26">
      <c r="A568" s="16"/>
      <c r="B568" s="1"/>
      <c r="C568" s="15"/>
      <c r="D568" s="16"/>
      <c r="E568" s="27"/>
      <c r="F568" s="21"/>
      <c r="G568" s="27"/>
      <c r="K568" s="21"/>
      <c r="L568" s="27"/>
      <c r="Q568" s="21"/>
      <c r="S568" s="21"/>
      <c r="T568" s="27"/>
      <c r="Y568" s="21"/>
      <c r="Z568" s="16"/>
    </row>
    <row r="569" ht="12.75" spans="1:26">
      <c r="A569" s="16"/>
      <c r="B569" s="1"/>
      <c r="C569" s="15"/>
      <c r="D569" s="16"/>
      <c r="E569" s="27"/>
      <c r="F569" s="21"/>
      <c r="G569" s="27"/>
      <c r="K569" s="21"/>
      <c r="L569" s="27"/>
      <c r="Q569" s="21"/>
      <c r="S569" s="21"/>
      <c r="T569" s="27"/>
      <c r="Y569" s="21"/>
      <c r="Z569" s="16"/>
    </row>
    <row r="570" ht="12.75" spans="1:26">
      <c r="A570" s="16"/>
      <c r="B570" s="1"/>
      <c r="C570" s="15"/>
      <c r="D570" s="16"/>
      <c r="E570" s="27"/>
      <c r="F570" s="21"/>
      <c r="G570" s="27"/>
      <c r="K570" s="21"/>
      <c r="L570" s="27"/>
      <c r="Q570" s="21"/>
      <c r="S570" s="21"/>
      <c r="T570" s="27"/>
      <c r="Y570" s="21"/>
      <c r="Z570" s="16"/>
    </row>
    <row r="571" ht="12.75" spans="1:26">
      <c r="A571" s="16"/>
      <c r="B571" s="1"/>
      <c r="C571" s="15"/>
      <c r="D571" s="16"/>
      <c r="E571" s="27"/>
      <c r="F571" s="21"/>
      <c r="G571" s="27"/>
      <c r="K571" s="21"/>
      <c r="L571" s="27"/>
      <c r="Q571" s="21"/>
      <c r="S571" s="21"/>
      <c r="T571" s="27"/>
      <c r="Y571" s="21"/>
      <c r="Z571" s="16"/>
    </row>
    <row r="572" ht="12.75" spans="1:26">
      <c r="A572" s="16"/>
      <c r="B572" s="1"/>
      <c r="C572" s="15"/>
      <c r="D572" s="16"/>
      <c r="E572" s="27"/>
      <c r="F572" s="21"/>
      <c r="G572" s="27"/>
      <c r="K572" s="21"/>
      <c r="L572" s="27"/>
      <c r="Q572" s="21"/>
      <c r="S572" s="21"/>
      <c r="T572" s="27"/>
      <c r="Y572" s="21"/>
      <c r="Z572" s="16"/>
    </row>
    <row r="573" ht="12.75" spans="1:26">
      <c r="A573" s="16"/>
      <c r="B573" s="1"/>
      <c r="C573" s="15"/>
      <c r="D573" s="16"/>
      <c r="E573" s="27"/>
      <c r="F573" s="21"/>
      <c r="G573" s="27"/>
      <c r="K573" s="21"/>
      <c r="L573" s="27"/>
      <c r="Q573" s="21"/>
      <c r="S573" s="21"/>
      <c r="T573" s="27"/>
      <c r="Y573" s="21"/>
      <c r="Z573" s="16"/>
    </row>
    <row r="574" ht="12.75" spans="1:26">
      <c r="A574" s="16"/>
      <c r="B574" s="1"/>
      <c r="C574" s="15"/>
      <c r="D574" s="16"/>
      <c r="E574" s="27"/>
      <c r="F574" s="21"/>
      <c r="G574" s="27"/>
      <c r="K574" s="21"/>
      <c r="L574" s="27"/>
      <c r="Q574" s="21"/>
      <c r="S574" s="21"/>
      <c r="T574" s="27"/>
      <c r="Y574" s="21"/>
      <c r="Z574" s="16"/>
    </row>
    <row r="575" ht="12.75" spans="1:26">
      <c r="A575" s="16"/>
      <c r="B575" s="1"/>
      <c r="C575" s="15"/>
      <c r="D575" s="16"/>
      <c r="E575" s="27"/>
      <c r="F575" s="21"/>
      <c r="G575" s="27"/>
      <c r="K575" s="21"/>
      <c r="L575" s="27"/>
      <c r="Q575" s="21"/>
      <c r="S575" s="21"/>
      <c r="T575" s="27"/>
      <c r="Y575" s="21"/>
      <c r="Z575" s="16"/>
    </row>
    <row r="576" ht="12.75" spans="1:26">
      <c r="A576" s="16"/>
      <c r="B576" s="1"/>
      <c r="C576" s="15"/>
      <c r="D576" s="16"/>
      <c r="E576" s="27"/>
      <c r="F576" s="21"/>
      <c r="G576" s="27"/>
      <c r="K576" s="21"/>
      <c r="L576" s="27"/>
      <c r="Q576" s="21"/>
      <c r="S576" s="21"/>
      <c r="T576" s="27"/>
      <c r="Y576" s="21"/>
      <c r="Z576" s="16"/>
    </row>
    <row r="577" ht="12.75" spans="1:26">
      <c r="A577" s="16"/>
      <c r="B577" s="1"/>
      <c r="C577" s="15"/>
      <c r="D577" s="16"/>
      <c r="E577" s="27"/>
      <c r="F577" s="21"/>
      <c r="G577" s="27"/>
      <c r="K577" s="21"/>
      <c r="L577" s="27"/>
      <c r="Q577" s="21"/>
      <c r="S577" s="21"/>
      <c r="T577" s="27"/>
      <c r="Y577" s="21"/>
      <c r="Z577" s="16"/>
    </row>
    <row r="578" ht="12.75" spans="1:26">
      <c r="A578" s="16"/>
      <c r="B578" s="1"/>
      <c r="C578" s="15"/>
      <c r="D578" s="16"/>
      <c r="E578" s="27"/>
      <c r="F578" s="21"/>
      <c r="G578" s="27"/>
      <c r="K578" s="21"/>
      <c r="L578" s="27"/>
      <c r="Q578" s="21"/>
      <c r="S578" s="21"/>
      <c r="T578" s="27"/>
      <c r="Y578" s="21"/>
      <c r="Z578" s="16"/>
    </row>
    <row r="579" ht="12.75" spans="1:26">
      <c r="A579" s="16"/>
      <c r="B579" s="1"/>
      <c r="C579" s="15"/>
      <c r="D579" s="16"/>
      <c r="E579" s="27"/>
      <c r="F579" s="21"/>
      <c r="G579" s="27"/>
      <c r="K579" s="21"/>
      <c r="L579" s="27"/>
      <c r="Q579" s="21"/>
      <c r="S579" s="21"/>
      <c r="T579" s="27"/>
      <c r="Y579" s="21"/>
      <c r="Z579" s="16"/>
    </row>
    <row r="580" ht="12.75" spans="1:26">
      <c r="A580" s="16"/>
      <c r="B580" s="1"/>
      <c r="C580" s="15"/>
      <c r="D580" s="16"/>
      <c r="E580" s="27"/>
      <c r="F580" s="21"/>
      <c r="G580" s="27"/>
      <c r="K580" s="21"/>
      <c r="L580" s="27"/>
      <c r="Q580" s="21"/>
      <c r="S580" s="21"/>
      <c r="T580" s="27"/>
      <c r="Y580" s="21"/>
      <c r="Z580" s="16"/>
    </row>
    <row r="581" ht="12.75" spans="1:26">
      <c r="A581" s="16"/>
      <c r="B581" s="1"/>
      <c r="C581" s="15"/>
      <c r="D581" s="16"/>
      <c r="E581" s="27"/>
      <c r="F581" s="21"/>
      <c r="G581" s="27"/>
      <c r="K581" s="21"/>
      <c r="L581" s="27"/>
      <c r="Q581" s="21"/>
      <c r="S581" s="21"/>
      <c r="T581" s="27"/>
      <c r="Y581" s="21"/>
      <c r="Z581" s="16"/>
    </row>
    <row r="582" ht="12.75" spans="1:26">
      <c r="A582" s="16"/>
      <c r="B582" s="1"/>
      <c r="C582" s="15"/>
      <c r="D582" s="16"/>
      <c r="E582" s="27"/>
      <c r="F582" s="21"/>
      <c r="G582" s="27"/>
      <c r="K582" s="21"/>
      <c r="L582" s="27"/>
      <c r="Q582" s="21"/>
      <c r="S582" s="21"/>
      <c r="T582" s="27"/>
      <c r="Y582" s="21"/>
      <c r="Z582" s="16"/>
    </row>
    <row r="583" ht="12.75" spans="1:26">
      <c r="A583" s="16"/>
      <c r="B583" s="1"/>
      <c r="C583" s="15"/>
      <c r="D583" s="16"/>
      <c r="E583" s="27"/>
      <c r="F583" s="21"/>
      <c r="G583" s="27"/>
      <c r="K583" s="21"/>
      <c r="L583" s="27"/>
      <c r="Q583" s="21"/>
      <c r="S583" s="21"/>
      <c r="T583" s="27"/>
      <c r="Y583" s="21"/>
      <c r="Z583" s="16"/>
    </row>
    <row r="584" ht="12.75" spans="1:26">
      <c r="A584" s="16"/>
      <c r="B584" s="1"/>
      <c r="C584" s="15"/>
      <c r="D584" s="16"/>
      <c r="E584" s="27"/>
      <c r="F584" s="21"/>
      <c r="G584" s="27"/>
      <c r="K584" s="21"/>
      <c r="L584" s="27"/>
      <c r="Q584" s="21"/>
      <c r="S584" s="21"/>
      <c r="T584" s="27"/>
      <c r="Y584" s="21"/>
      <c r="Z584" s="16"/>
    </row>
    <row r="585" ht="12.75" spans="1:26">
      <c r="A585" s="16"/>
      <c r="B585" s="1"/>
      <c r="C585" s="15"/>
      <c r="D585" s="16"/>
      <c r="E585" s="27"/>
      <c r="F585" s="21"/>
      <c r="G585" s="27"/>
      <c r="K585" s="21"/>
      <c r="L585" s="27"/>
      <c r="Q585" s="21"/>
      <c r="S585" s="21"/>
      <c r="T585" s="27"/>
      <c r="Y585" s="21"/>
      <c r="Z585" s="16"/>
    </row>
    <row r="586" ht="12.75" spans="1:26">
      <c r="A586" s="16"/>
      <c r="B586" s="1"/>
      <c r="C586" s="15"/>
      <c r="D586" s="16"/>
      <c r="E586" s="27"/>
      <c r="F586" s="21"/>
      <c r="G586" s="27"/>
      <c r="K586" s="21"/>
      <c r="L586" s="27"/>
      <c r="Q586" s="21"/>
      <c r="S586" s="21"/>
      <c r="T586" s="27"/>
      <c r="Y586" s="21"/>
      <c r="Z586" s="16"/>
    </row>
    <row r="587" ht="12.75" spans="1:26">
      <c r="A587" s="16"/>
      <c r="B587" s="1"/>
      <c r="C587" s="15"/>
      <c r="D587" s="16"/>
      <c r="E587" s="27"/>
      <c r="F587" s="21"/>
      <c r="G587" s="27"/>
      <c r="K587" s="21"/>
      <c r="L587" s="27"/>
      <c r="Q587" s="21"/>
      <c r="S587" s="21"/>
      <c r="T587" s="27"/>
      <c r="Y587" s="21"/>
      <c r="Z587" s="16"/>
    </row>
    <row r="588" ht="12.75" spans="1:26">
      <c r="A588" s="16"/>
      <c r="B588" s="1"/>
      <c r="C588" s="15"/>
      <c r="D588" s="16"/>
      <c r="E588" s="27"/>
      <c r="F588" s="21"/>
      <c r="G588" s="27"/>
      <c r="K588" s="21"/>
      <c r="L588" s="27"/>
      <c r="Q588" s="21"/>
      <c r="S588" s="21"/>
      <c r="T588" s="27"/>
      <c r="Y588" s="21"/>
      <c r="Z588" s="16"/>
    </row>
    <row r="589" ht="12.75" spans="1:26">
      <c r="A589" s="16"/>
      <c r="B589" s="1"/>
      <c r="C589" s="15"/>
      <c r="D589" s="16"/>
      <c r="E589" s="27"/>
      <c r="F589" s="21"/>
      <c r="G589" s="27"/>
      <c r="K589" s="21"/>
      <c r="L589" s="27"/>
      <c r="Q589" s="21"/>
      <c r="S589" s="21"/>
      <c r="T589" s="27"/>
      <c r="Y589" s="21"/>
      <c r="Z589" s="16"/>
    </row>
    <row r="590" ht="12.75" spans="1:26">
      <c r="A590" s="16"/>
      <c r="B590" s="1"/>
      <c r="C590" s="15"/>
      <c r="D590" s="16"/>
      <c r="E590" s="27"/>
      <c r="F590" s="21"/>
      <c r="G590" s="27"/>
      <c r="K590" s="21"/>
      <c r="L590" s="27"/>
      <c r="Q590" s="21"/>
      <c r="S590" s="21"/>
      <c r="T590" s="27"/>
      <c r="Y590" s="21"/>
      <c r="Z590" s="16"/>
    </row>
    <row r="591" ht="12.75" spans="1:26">
      <c r="A591" s="16"/>
      <c r="B591" s="1"/>
      <c r="C591" s="15"/>
      <c r="D591" s="16"/>
      <c r="E591" s="27"/>
      <c r="F591" s="21"/>
      <c r="G591" s="27"/>
      <c r="K591" s="21"/>
      <c r="L591" s="27"/>
      <c r="Q591" s="21"/>
      <c r="S591" s="21"/>
      <c r="T591" s="27"/>
      <c r="Y591" s="21"/>
      <c r="Z591" s="16"/>
    </row>
    <row r="592" ht="12.75" spans="1:26">
      <c r="A592" s="16"/>
      <c r="B592" s="1"/>
      <c r="C592" s="15"/>
      <c r="D592" s="16"/>
      <c r="E592" s="27"/>
      <c r="F592" s="21"/>
      <c r="G592" s="27"/>
      <c r="K592" s="21"/>
      <c r="L592" s="27"/>
      <c r="Q592" s="21"/>
      <c r="S592" s="21"/>
      <c r="T592" s="27"/>
      <c r="Y592" s="21"/>
      <c r="Z592" s="16"/>
    </row>
    <row r="593" ht="12.75" spans="1:26">
      <c r="A593" s="16"/>
      <c r="B593" s="1"/>
      <c r="C593" s="15"/>
      <c r="D593" s="16"/>
      <c r="E593" s="27"/>
      <c r="F593" s="21"/>
      <c r="G593" s="27"/>
      <c r="K593" s="21"/>
      <c r="L593" s="27"/>
      <c r="Q593" s="21"/>
      <c r="S593" s="21"/>
      <c r="T593" s="27"/>
      <c r="Y593" s="21"/>
      <c r="Z593" s="16"/>
    </row>
    <row r="594" ht="12.75" spans="1:26">
      <c r="A594" s="16"/>
      <c r="B594" s="1"/>
      <c r="C594" s="15"/>
      <c r="D594" s="16"/>
      <c r="E594" s="27"/>
      <c r="F594" s="21"/>
      <c r="G594" s="27"/>
      <c r="K594" s="21"/>
      <c r="L594" s="27"/>
      <c r="Q594" s="21"/>
      <c r="S594" s="21"/>
      <c r="T594" s="27"/>
      <c r="Y594" s="21"/>
      <c r="Z594" s="16"/>
    </row>
    <row r="595" ht="12.75" spans="1:26">
      <c r="A595" s="16"/>
      <c r="B595" s="1"/>
      <c r="C595" s="15"/>
      <c r="D595" s="16"/>
      <c r="E595" s="27"/>
      <c r="F595" s="21"/>
      <c r="G595" s="27"/>
      <c r="K595" s="21"/>
      <c r="L595" s="27"/>
      <c r="Q595" s="21"/>
      <c r="S595" s="21"/>
      <c r="T595" s="27"/>
      <c r="Y595" s="21"/>
      <c r="Z595" s="16"/>
    </row>
    <row r="596" ht="12.75" spans="1:26">
      <c r="A596" s="16"/>
      <c r="B596" s="1"/>
      <c r="C596" s="15"/>
      <c r="D596" s="16"/>
      <c r="E596" s="27"/>
      <c r="F596" s="21"/>
      <c r="G596" s="27"/>
      <c r="K596" s="21"/>
      <c r="L596" s="27"/>
      <c r="Q596" s="21"/>
      <c r="S596" s="21"/>
      <c r="T596" s="27"/>
      <c r="Y596" s="21"/>
      <c r="Z596" s="16"/>
    </row>
    <row r="597" ht="12.75" spans="1:26">
      <c r="A597" s="16"/>
      <c r="B597" s="1"/>
      <c r="C597" s="15"/>
      <c r="D597" s="16"/>
      <c r="E597" s="27"/>
      <c r="F597" s="21"/>
      <c r="G597" s="27"/>
      <c r="K597" s="21"/>
      <c r="L597" s="27"/>
      <c r="Q597" s="21"/>
      <c r="S597" s="21"/>
      <c r="T597" s="27"/>
      <c r="Y597" s="21"/>
      <c r="Z597" s="16"/>
    </row>
    <row r="598" ht="12.75" spans="1:26">
      <c r="A598" s="16"/>
      <c r="B598" s="1"/>
      <c r="C598" s="15"/>
      <c r="D598" s="16"/>
      <c r="E598" s="27"/>
      <c r="F598" s="21"/>
      <c r="G598" s="27"/>
      <c r="K598" s="21"/>
      <c r="L598" s="27"/>
      <c r="Q598" s="21"/>
      <c r="S598" s="21"/>
      <c r="T598" s="27"/>
      <c r="Y598" s="21"/>
      <c r="Z598" s="16"/>
    </row>
    <row r="599" ht="12.75" spans="1:26">
      <c r="A599" s="16"/>
      <c r="B599" s="1"/>
      <c r="C599" s="15"/>
      <c r="D599" s="16"/>
      <c r="E599" s="27"/>
      <c r="F599" s="21"/>
      <c r="G599" s="27"/>
      <c r="K599" s="21"/>
      <c r="L599" s="27"/>
      <c r="Q599" s="21"/>
      <c r="S599" s="21"/>
      <c r="T599" s="27"/>
      <c r="Y599" s="21"/>
      <c r="Z599" s="16"/>
    </row>
    <row r="600" ht="12.75" spans="1:26">
      <c r="A600" s="16"/>
      <c r="B600" s="1"/>
      <c r="C600" s="15"/>
      <c r="D600" s="16"/>
      <c r="E600" s="27"/>
      <c r="F600" s="21"/>
      <c r="G600" s="27"/>
      <c r="K600" s="21"/>
      <c r="L600" s="27"/>
      <c r="Q600" s="21"/>
      <c r="S600" s="21"/>
      <c r="T600" s="27"/>
      <c r="Y600" s="21"/>
      <c r="Z600" s="16"/>
    </row>
    <row r="601" ht="12.75" spans="1:26">
      <c r="A601" s="16"/>
      <c r="B601" s="1"/>
      <c r="C601" s="15"/>
      <c r="D601" s="16"/>
      <c r="E601" s="27"/>
      <c r="F601" s="21"/>
      <c r="G601" s="27"/>
      <c r="K601" s="21"/>
      <c r="L601" s="27"/>
      <c r="Q601" s="21"/>
      <c r="S601" s="21"/>
      <c r="T601" s="27"/>
      <c r="Y601" s="21"/>
      <c r="Z601" s="16"/>
    </row>
    <row r="602" ht="12.75" spans="1:26">
      <c r="A602" s="16"/>
      <c r="B602" s="1"/>
      <c r="C602" s="15"/>
      <c r="D602" s="16"/>
      <c r="E602" s="27"/>
      <c r="F602" s="21"/>
      <c r="G602" s="27"/>
      <c r="K602" s="21"/>
      <c r="L602" s="27"/>
      <c r="Q602" s="21"/>
      <c r="S602" s="21"/>
      <c r="T602" s="27"/>
      <c r="Y602" s="21"/>
      <c r="Z602" s="16"/>
    </row>
    <row r="603" ht="12.75" spans="1:26">
      <c r="A603" s="16"/>
      <c r="B603" s="1"/>
      <c r="C603" s="15"/>
      <c r="D603" s="16"/>
      <c r="E603" s="27"/>
      <c r="F603" s="21"/>
      <c r="G603" s="27"/>
      <c r="K603" s="21"/>
      <c r="L603" s="27"/>
      <c r="Q603" s="21"/>
      <c r="S603" s="21"/>
      <c r="T603" s="27"/>
      <c r="Y603" s="21"/>
      <c r="Z603" s="16"/>
    </row>
    <row r="604" ht="12.75" spans="1:26">
      <c r="A604" s="16"/>
      <c r="B604" s="1"/>
      <c r="C604" s="15"/>
      <c r="D604" s="16"/>
      <c r="E604" s="27"/>
      <c r="F604" s="21"/>
      <c r="G604" s="27"/>
      <c r="K604" s="21"/>
      <c r="L604" s="27"/>
      <c r="Q604" s="21"/>
      <c r="S604" s="21"/>
      <c r="T604" s="27"/>
      <c r="Y604" s="21"/>
      <c r="Z604" s="16"/>
    </row>
    <row r="605" ht="12.75" spans="1:26">
      <c r="A605" s="16"/>
      <c r="B605" s="1"/>
      <c r="C605" s="15"/>
      <c r="D605" s="16"/>
      <c r="E605" s="27"/>
      <c r="F605" s="21"/>
      <c r="G605" s="27"/>
      <c r="K605" s="21"/>
      <c r="L605" s="27"/>
      <c r="Q605" s="21"/>
      <c r="S605" s="21"/>
      <c r="T605" s="27"/>
      <c r="Y605" s="21"/>
      <c r="Z605" s="16"/>
    </row>
    <row r="606" ht="12.75" spans="1:26">
      <c r="A606" s="16"/>
      <c r="B606" s="1"/>
      <c r="C606" s="15"/>
      <c r="D606" s="16"/>
      <c r="E606" s="27"/>
      <c r="F606" s="21"/>
      <c r="G606" s="27"/>
      <c r="K606" s="21"/>
      <c r="L606" s="27"/>
      <c r="Q606" s="21"/>
      <c r="S606" s="21"/>
      <c r="T606" s="27"/>
      <c r="Y606" s="21"/>
      <c r="Z606" s="16"/>
    </row>
    <row r="607" ht="12.75" spans="1:26">
      <c r="A607" s="16"/>
      <c r="B607" s="1"/>
      <c r="C607" s="15"/>
      <c r="D607" s="16"/>
      <c r="E607" s="27"/>
      <c r="F607" s="21"/>
      <c r="G607" s="27"/>
      <c r="K607" s="21"/>
      <c r="L607" s="27"/>
      <c r="Q607" s="21"/>
      <c r="S607" s="21"/>
      <c r="T607" s="27"/>
      <c r="Y607" s="21"/>
      <c r="Z607" s="16"/>
    </row>
    <row r="608" ht="12.75" spans="1:26">
      <c r="A608" s="16"/>
      <c r="B608" s="1"/>
      <c r="C608" s="15"/>
      <c r="D608" s="16"/>
      <c r="E608" s="27"/>
      <c r="F608" s="21"/>
      <c r="G608" s="27"/>
      <c r="K608" s="21"/>
      <c r="L608" s="27"/>
      <c r="Q608" s="21"/>
      <c r="S608" s="21"/>
      <c r="T608" s="27"/>
      <c r="Y608" s="21"/>
      <c r="Z608" s="16"/>
    </row>
    <row r="609" ht="12.75" spans="1:26">
      <c r="A609" s="16"/>
      <c r="B609" s="1"/>
      <c r="C609" s="15"/>
      <c r="D609" s="16"/>
      <c r="E609" s="27"/>
      <c r="F609" s="21"/>
      <c r="G609" s="27"/>
      <c r="K609" s="21"/>
      <c r="L609" s="27"/>
      <c r="Q609" s="21"/>
      <c r="S609" s="21"/>
      <c r="T609" s="27"/>
      <c r="Y609" s="21"/>
      <c r="Z609" s="16"/>
    </row>
    <row r="610" ht="12.75" spans="1:26">
      <c r="A610" s="16"/>
      <c r="B610" s="1"/>
      <c r="C610" s="15"/>
      <c r="D610" s="16"/>
      <c r="E610" s="27"/>
      <c r="F610" s="21"/>
      <c r="G610" s="27"/>
      <c r="K610" s="21"/>
      <c r="L610" s="27"/>
      <c r="Q610" s="21"/>
      <c r="S610" s="21"/>
      <c r="T610" s="27"/>
      <c r="Y610" s="21"/>
      <c r="Z610" s="16"/>
    </row>
    <row r="611" ht="12.75" spans="1:26">
      <c r="A611" s="16"/>
      <c r="B611" s="1"/>
      <c r="C611" s="15"/>
      <c r="D611" s="16"/>
      <c r="E611" s="27"/>
      <c r="F611" s="21"/>
      <c r="G611" s="27"/>
      <c r="K611" s="21"/>
      <c r="L611" s="27"/>
      <c r="Q611" s="21"/>
      <c r="S611" s="21"/>
      <c r="T611" s="27"/>
      <c r="Y611" s="21"/>
      <c r="Z611" s="16"/>
    </row>
    <row r="612" ht="12.75" spans="1:26">
      <c r="A612" s="16"/>
      <c r="B612" s="1"/>
      <c r="C612" s="15"/>
      <c r="D612" s="16"/>
      <c r="E612" s="27"/>
      <c r="F612" s="21"/>
      <c r="G612" s="27"/>
      <c r="K612" s="21"/>
      <c r="L612" s="27"/>
      <c r="Q612" s="21"/>
      <c r="S612" s="21"/>
      <c r="T612" s="27"/>
      <c r="Y612" s="21"/>
      <c r="Z612" s="16"/>
    </row>
    <row r="613" ht="12.75" spans="1:26">
      <c r="A613" s="16"/>
      <c r="B613" s="1"/>
      <c r="C613" s="15"/>
      <c r="D613" s="16"/>
      <c r="E613" s="27"/>
      <c r="F613" s="21"/>
      <c r="G613" s="27"/>
      <c r="K613" s="21"/>
      <c r="L613" s="27"/>
      <c r="Q613" s="21"/>
      <c r="S613" s="21"/>
      <c r="T613" s="27"/>
      <c r="Y613" s="21"/>
      <c r="Z613" s="16"/>
    </row>
    <row r="614" ht="12.75" spans="1:26">
      <c r="A614" s="16"/>
      <c r="B614" s="1"/>
      <c r="C614" s="15"/>
      <c r="D614" s="16"/>
      <c r="E614" s="27"/>
      <c r="F614" s="21"/>
      <c r="G614" s="27"/>
      <c r="K614" s="21"/>
      <c r="L614" s="27"/>
      <c r="Q614" s="21"/>
      <c r="S614" s="21"/>
      <c r="T614" s="27"/>
      <c r="Y614" s="21"/>
      <c r="Z614" s="16"/>
    </row>
    <row r="615" ht="12.75" spans="1:26">
      <c r="A615" s="16"/>
      <c r="B615" s="1"/>
      <c r="C615" s="15"/>
      <c r="D615" s="16"/>
      <c r="E615" s="27"/>
      <c r="F615" s="21"/>
      <c r="G615" s="27"/>
      <c r="K615" s="21"/>
      <c r="L615" s="27"/>
      <c r="Q615" s="21"/>
      <c r="S615" s="21"/>
      <c r="T615" s="27"/>
      <c r="Y615" s="21"/>
      <c r="Z615" s="16"/>
    </row>
    <row r="616" ht="12.75" spans="1:26">
      <c r="A616" s="16"/>
      <c r="B616" s="1"/>
      <c r="C616" s="15"/>
      <c r="D616" s="16"/>
      <c r="E616" s="27"/>
      <c r="F616" s="21"/>
      <c r="G616" s="27"/>
      <c r="K616" s="21"/>
      <c r="L616" s="27"/>
      <c r="Q616" s="21"/>
      <c r="S616" s="21"/>
      <c r="T616" s="27"/>
      <c r="Y616" s="21"/>
      <c r="Z616" s="16"/>
    </row>
    <row r="617" ht="12.75" spans="1:26">
      <c r="A617" s="16"/>
      <c r="B617" s="1"/>
      <c r="C617" s="15"/>
      <c r="D617" s="16"/>
      <c r="E617" s="27"/>
      <c r="F617" s="21"/>
      <c r="G617" s="27"/>
      <c r="K617" s="21"/>
      <c r="L617" s="27"/>
      <c r="Q617" s="21"/>
      <c r="S617" s="21"/>
      <c r="T617" s="27"/>
      <c r="Y617" s="21"/>
      <c r="Z617" s="16"/>
    </row>
    <row r="618" ht="12.75" spans="1:26">
      <c r="A618" s="16"/>
      <c r="B618" s="1"/>
      <c r="C618" s="15"/>
      <c r="D618" s="16"/>
      <c r="E618" s="27"/>
      <c r="F618" s="21"/>
      <c r="G618" s="27"/>
      <c r="K618" s="21"/>
      <c r="L618" s="27"/>
      <c r="Q618" s="21"/>
      <c r="S618" s="21"/>
      <c r="T618" s="27"/>
      <c r="Y618" s="21"/>
      <c r="Z618" s="16"/>
    </row>
    <row r="619" ht="12.75" spans="1:26">
      <c r="A619" s="16"/>
      <c r="B619" s="1"/>
      <c r="C619" s="15"/>
      <c r="D619" s="16"/>
      <c r="E619" s="27"/>
      <c r="F619" s="21"/>
      <c r="G619" s="27"/>
      <c r="K619" s="21"/>
      <c r="L619" s="27"/>
      <c r="Q619" s="21"/>
      <c r="S619" s="21"/>
      <c r="T619" s="27"/>
      <c r="Y619" s="21"/>
      <c r="Z619" s="16"/>
    </row>
    <row r="620" ht="12.75" spans="1:26">
      <c r="A620" s="16"/>
      <c r="B620" s="1"/>
      <c r="C620" s="15"/>
      <c r="D620" s="16"/>
      <c r="E620" s="27"/>
      <c r="F620" s="21"/>
      <c r="G620" s="27"/>
      <c r="K620" s="21"/>
      <c r="L620" s="27"/>
      <c r="Q620" s="21"/>
      <c r="S620" s="21"/>
      <c r="T620" s="27"/>
      <c r="Y620" s="21"/>
      <c r="Z620" s="16"/>
    </row>
    <row r="621" ht="12.75" spans="1:26">
      <c r="A621" s="16"/>
      <c r="B621" s="1"/>
      <c r="C621" s="15"/>
      <c r="D621" s="16"/>
      <c r="E621" s="27"/>
      <c r="F621" s="21"/>
      <c r="G621" s="27"/>
      <c r="K621" s="21"/>
      <c r="L621" s="27"/>
      <c r="Q621" s="21"/>
      <c r="S621" s="21"/>
      <c r="T621" s="27"/>
      <c r="Y621" s="21"/>
      <c r="Z621" s="16"/>
    </row>
    <row r="622" ht="12.75" spans="1:26">
      <c r="A622" s="16"/>
      <c r="B622" s="1"/>
      <c r="C622" s="15"/>
      <c r="D622" s="16"/>
      <c r="E622" s="27"/>
      <c r="F622" s="21"/>
      <c r="G622" s="27"/>
      <c r="K622" s="21"/>
      <c r="L622" s="27"/>
      <c r="Q622" s="21"/>
      <c r="S622" s="21"/>
      <c r="T622" s="27"/>
      <c r="Y622" s="21"/>
      <c r="Z622" s="16"/>
    </row>
    <row r="623" ht="12.75" spans="1:26">
      <c r="A623" s="16"/>
      <c r="B623" s="1"/>
      <c r="C623" s="15"/>
      <c r="D623" s="16"/>
      <c r="E623" s="27"/>
      <c r="F623" s="21"/>
      <c r="G623" s="27"/>
      <c r="K623" s="21"/>
      <c r="L623" s="27"/>
      <c r="Q623" s="21"/>
      <c r="S623" s="21"/>
      <c r="T623" s="27"/>
      <c r="Y623" s="21"/>
      <c r="Z623" s="16"/>
    </row>
    <row r="624" ht="12.75" spans="1:26">
      <c r="A624" s="16"/>
      <c r="B624" s="1"/>
      <c r="C624" s="15"/>
      <c r="D624" s="16"/>
      <c r="E624" s="27"/>
      <c r="F624" s="21"/>
      <c r="G624" s="27"/>
      <c r="K624" s="21"/>
      <c r="L624" s="27"/>
      <c r="Q624" s="21"/>
      <c r="S624" s="21"/>
      <c r="T624" s="27"/>
      <c r="Y624" s="21"/>
      <c r="Z624" s="16"/>
    </row>
    <row r="625" ht="12.75" spans="1:26">
      <c r="A625" s="16"/>
      <c r="B625" s="1"/>
      <c r="C625" s="15"/>
      <c r="D625" s="16"/>
      <c r="E625" s="27"/>
      <c r="F625" s="21"/>
      <c r="G625" s="27"/>
      <c r="K625" s="21"/>
      <c r="L625" s="27"/>
      <c r="Q625" s="21"/>
      <c r="S625" s="21"/>
      <c r="T625" s="27"/>
      <c r="Y625" s="21"/>
      <c r="Z625" s="16"/>
    </row>
    <row r="626" ht="12.75" spans="1:26">
      <c r="A626" s="16"/>
      <c r="B626" s="1"/>
      <c r="C626" s="15"/>
      <c r="D626" s="16"/>
      <c r="E626" s="27"/>
      <c r="F626" s="21"/>
      <c r="G626" s="27"/>
      <c r="K626" s="21"/>
      <c r="L626" s="27"/>
      <c r="Q626" s="21"/>
      <c r="S626" s="21"/>
      <c r="T626" s="27"/>
      <c r="Y626" s="21"/>
      <c r="Z626" s="16"/>
    </row>
    <row r="627" ht="12.75" spans="1:26">
      <c r="A627" s="16"/>
      <c r="B627" s="1"/>
      <c r="C627" s="15"/>
      <c r="D627" s="16"/>
      <c r="E627" s="27"/>
      <c r="F627" s="21"/>
      <c r="G627" s="27"/>
      <c r="K627" s="21"/>
      <c r="L627" s="27"/>
      <c r="Q627" s="21"/>
      <c r="S627" s="21"/>
      <c r="T627" s="27"/>
      <c r="Y627" s="21"/>
      <c r="Z627" s="16"/>
    </row>
    <row r="628" ht="12.75" spans="1:26">
      <c r="A628" s="16"/>
      <c r="B628" s="1"/>
      <c r="C628" s="15"/>
      <c r="D628" s="16"/>
      <c r="E628" s="27"/>
      <c r="F628" s="21"/>
      <c r="G628" s="27"/>
      <c r="K628" s="21"/>
      <c r="L628" s="27"/>
      <c r="Q628" s="21"/>
      <c r="S628" s="21"/>
      <c r="T628" s="27"/>
      <c r="Y628" s="21"/>
      <c r="Z628" s="16"/>
    </row>
    <row r="629" ht="12.75" spans="1:26">
      <c r="A629" s="16"/>
      <c r="B629" s="1"/>
      <c r="C629" s="15"/>
      <c r="D629" s="16"/>
      <c r="E629" s="27"/>
      <c r="F629" s="21"/>
      <c r="G629" s="27"/>
      <c r="K629" s="21"/>
      <c r="L629" s="27"/>
      <c r="Q629" s="21"/>
      <c r="S629" s="21"/>
      <c r="T629" s="27"/>
      <c r="Y629" s="21"/>
      <c r="Z629" s="16"/>
    </row>
    <row r="630" ht="12.75" spans="1:26">
      <c r="A630" s="16"/>
      <c r="B630" s="1"/>
      <c r="C630" s="15"/>
      <c r="D630" s="16"/>
      <c r="E630" s="27"/>
      <c r="F630" s="21"/>
      <c r="G630" s="27"/>
      <c r="K630" s="21"/>
      <c r="L630" s="27"/>
      <c r="Q630" s="21"/>
      <c r="S630" s="21"/>
      <c r="T630" s="27"/>
      <c r="Y630" s="21"/>
      <c r="Z630" s="16"/>
    </row>
    <row r="631" ht="12.75" spans="1:26">
      <c r="A631" s="16"/>
      <c r="B631" s="1"/>
      <c r="C631" s="15"/>
      <c r="D631" s="16"/>
      <c r="E631" s="27"/>
      <c r="F631" s="21"/>
      <c r="G631" s="27"/>
      <c r="K631" s="21"/>
      <c r="L631" s="27"/>
      <c r="Q631" s="21"/>
      <c r="S631" s="21"/>
      <c r="T631" s="27"/>
      <c r="Y631" s="21"/>
      <c r="Z631" s="16"/>
    </row>
    <row r="632" ht="12.75" spans="1:26">
      <c r="A632" s="16"/>
      <c r="B632" s="1"/>
      <c r="C632" s="15"/>
      <c r="D632" s="16"/>
      <c r="E632" s="27"/>
      <c r="F632" s="21"/>
      <c r="G632" s="27"/>
      <c r="K632" s="21"/>
      <c r="L632" s="27"/>
      <c r="Q632" s="21"/>
      <c r="S632" s="21"/>
      <c r="T632" s="27"/>
      <c r="Y632" s="21"/>
      <c r="Z632" s="16"/>
    </row>
    <row r="633" ht="12.75" spans="1:26">
      <c r="A633" s="16"/>
      <c r="B633" s="1"/>
      <c r="C633" s="15"/>
      <c r="D633" s="16"/>
      <c r="E633" s="27"/>
      <c r="F633" s="21"/>
      <c r="G633" s="27"/>
      <c r="K633" s="21"/>
      <c r="L633" s="27"/>
      <c r="Q633" s="21"/>
      <c r="S633" s="21"/>
      <c r="T633" s="27"/>
      <c r="Y633" s="21"/>
      <c r="Z633" s="16"/>
    </row>
    <row r="634" ht="12.75" spans="1:26">
      <c r="A634" s="16"/>
      <c r="B634" s="1"/>
      <c r="C634" s="15"/>
      <c r="D634" s="16"/>
      <c r="E634" s="27"/>
      <c r="F634" s="21"/>
      <c r="G634" s="27"/>
      <c r="K634" s="21"/>
      <c r="L634" s="27"/>
      <c r="Q634" s="21"/>
      <c r="S634" s="21"/>
      <c r="T634" s="27"/>
      <c r="Y634" s="21"/>
      <c r="Z634" s="16"/>
    </row>
    <row r="635" ht="12.75" spans="1:26">
      <c r="A635" s="16"/>
      <c r="B635" s="1"/>
      <c r="C635" s="15"/>
      <c r="D635" s="16"/>
      <c r="E635" s="27"/>
      <c r="F635" s="21"/>
      <c r="G635" s="27"/>
      <c r="K635" s="21"/>
      <c r="L635" s="27"/>
      <c r="Q635" s="21"/>
      <c r="S635" s="21"/>
      <c r="T635" s="27"/>
      <c r="Y635" s="21"/>
      <c r="Z635" s="16"/>
    </row>
    <row r="636" ht="12.75" spans="1:26">
      <c r="A636" s="16"/>
      <c r="B636" s="1"/>
      <c r="C636" s="15"/>
      <c r="D636" s="16"/>
      <c r="E636" s="27"/>
      <c r="F636" s="21"/>
      <c r="G636" s="27"/>
      <c r="K636" s="21"/>
      <c r="L636" s="27"/>
      <c r="Q636" s="21"/>
      <c r="S636" s="21"/>
      <c r="T636" s="27"/>
      <c r="Y636" s="21"/>
      <c r="Z636" s="16"/>
    </row>
    <row r="637" ht="12.75" spans="1:26">
      <c r="A637" s="16"/>
      <c r="B637" s="1"/>
      <c r="C637" s="15"/>
      <c r="D637" s="16"/>
      <c r="E637" s="27"/>
      <c r="F637" s="21"/>
      <c r="G637" s="27"/>
      <c r="K637" s="21"/>
      <c r="L637" s="27"/>
      <c r="Q637" s="21"/>
      <c r="S637" s="21"/>
      <c r="T637" s="27"/>
      <c r="Y637" s="21"/>
      <c r="Z637" s="16"/>
    </row>
    <row r="638" ht="12.75" spans="1:26">
      <c r="A638" s="16"/>
      <c r="B638" s="1"/>
      <c r="C638" s="15"/>
      <c r="D638" s="16"/>
      <c r="E638" s="27"/>
      <c r="F638" s="21"/>
      <c r="G638" s="27"/>
      <c r="K638" s="21"/>
      <c r="L638" s="27"/>
      <c r="Q638" s="21"/>
      <c r="S638" s="21"/>
      <c r="T638" s="27"/>
      <c r="Y638" s="21"/>
      <c r="Z638" s="16"/>
    </row>
    <row r="639" ht="12.75" spans="1:26">
      <c r="A639" s="16"/>
      <c r="B639" s="1"/>
      <c r="C639" s="15"/>
      <c r="D639" s="16"/>
      <c r="E639" s="27"/>
      <c r="F639" s="21"/>
      <c r="G639" s="27"/>
      <c r="K639" s="21"/>
      <c r="L639" s="27"/>
      <c r="Q639" s="21"/>
      <c r="S639" s="21"/>
      <c r="T639" s="27"/>
      <c r="Y639" s="21"/>
      <c r="Z639" s="16"/>
    </row>
    <row r="640" ht="12.75" spans="1:26">
      <c r="A640" s="16"/>
      <c r="B640" s="1"/>
      <c r="C640" s="15"/>
      <c r="D640" s="16"/>
      <c r="E640" s="27"/>
      <c r="F640" s="21"/>
      <c r="G640" s="27"/>
      <c r="K640" s="21"/>
      <c r="L640" s="27"/>
      <c r="Q640" s="21"/>
      <c r="S640" s="21"/>
      <c r="T640" s="27"/>
      <c r="Y640" s="21"/>
      <c r="Z640" s="16"/>
    </row>
    <row r="641" ht="12.75" spans="1:26">
      <c r="A641" s="16"/>
      <c r="B641" s="1"/>
      <c r="C641" s="15"/>
      <c r="D641" s="16"/>
      <c r="E641" s="27"/>
      <c r="F641" s="21"/>
      <c r="G641" s="27"/>
      <c r="K641" s="21"/>
      <c r="L641" s="27"/>
      <c r="Q641" s="21"/>
      <c r="S641" s="21"/>
      <c r="T641" s="27"/>
      <c r="Y641" s="21"/>
      <c r="Z641" s="16"/>
    </row>
    <row r="642" ht="12.75" spans="1:26">
      <c r="A642" s="16"/>
      <c r="B642" s="1"/>
      <c r="C642" s="15"/>
      <c r="D642" s="16"/>
      <c r="E642" s="27"/>
      <c r="F642" s="21"/>
      <c r="G642" s="27"/>
      <c r="K642" s="21"/>
      <c r="L642" s="27"/>
      <c r="Q642" s="21"/>
      <c r="S642" s="21"/>
      <c r="T642" s="27"/>
      <c r="Y642" s="21"/>
      <c r="Z642" s="16"/>
    </row>
    <row r="643" ht="12.75" spans="1:26">
      <c r="A643" s="16"/>
      <c r="B643" s="1"/>
      <c r="C643" s="15"/>
      <c r="D643" s="16"/>
      <c r="E643" s="27"/>
      <c r="F643" s="21"/>
      <c r="G643" s="27"/>
      <c r="K643" s="21"/>
      <c r="L643" s="27"/>
      <c r="Q643" s="21"/>
      <c r="S643" s="21"/>
      <c r="T643" s="27"/>
      <c r="Y643" s="21"/>
      <c r="Z643" s="16"/>
    </row>
    <row r="644" ht="12.75" spans="1:26">
      <c r="A644" s="16"/>
      <c r="B644" s="1"/>
      <c r="C644" s="15"/>
      <c r="D644" s="16"/>
      <c r="E644" s="27"/>
      <c r="F644" s="21"/>
      <c r="G644" s="27"/>
      <c r="K644" s="21"/>
      <c r="L644" s="27"/>
      <c r="Q644" s="21"/>
      <c r="S644" s="21"/>
      <c r="T644" s="27"/>
      <c r="Y644" s="21"/>
      <c r="Z644" s="16"/>
    </row>
    <row r="645" ht="12.75" spans="1:26">
      <c r="A645" s="16"/>
      <c r="B645" s="1"/>
      <c r="C645" s="15"/>
      <c r="D645" s="16"/>
      <c r="E645" s="27"/>
      <c r="F645" s="21"/>
      <c r="G645" s="27"/>
      <c r="K645" s="21"/>
      <c r="L645" s="27"/>
      <c r="Q645" s="21"/>
      <c r="S645" s="21"/>
      <c r="T645" s="27"/>
      <c r="Y645" s="21"/>
      <c r="Z645" s="16"/>
    </row>
    <row r="646" ht="12.75" spans="1:26">
      <c r="A646" s="16"/>
      <c r="B646" s="1"/>
      <c r="C646" s="15"/>
      <c r="D646" s="16"/>
      <c r="E646" s="27"/>
      <c r="F646" s="21"/>
      <c r="G646" s="27"/>
      <c r="K646" s="21"/>
      <c r="L646" s="27"/>
      <c r="Q646" s="21"/>
      <c r="S646" s="21"/>
      <c r="T646" s="27"/>
      <c r="Y646" s="21"/>
      <c r="Z646" s="16"/>
    </row>
    <row r="647" ht="12.75" spans="1:26">
      <c r="A647" s="16"/>
      <c r="B647" s="1"/>
      <c r="C647" s="15"/>
      <c r="D647" s="16"/>
      <c r="E647" s="27"/>
      <c r="F647" s="21"/>
      <c r="G647" s="27"/>
      <c r="K647" s="21"/>
      <c r="L647" s="27"/>
      <c r="Q647" s="21"/>
      <c r="S647" s="21"/>
      <c r="T647" s="27"/>
      <c r="Y647" s="21"/>
      <c r="Z647" s="16"/>
    </row>
    <row r="648" ht="12.75" spans="1:26">
      <c r="A648" s="16"/>
      <c r="B648" s="1"/>
      <c r="C648" s="15"/>
      <c r="D648" s="16"/>
      <c r="E648" s="27"/>
      <c r="F648" s="21"/>
      <c r="G648" s="27"/>
      <c r="K648" s="21"/>
      <c r="L648" s="27"/>
      <c r="Q648" s="21"/>
      <c r="S648" s="21"/>
      <c r="T648" s="27"/>
      <c r="Y648" s="21"/>
      <c r="Z648" s="16"/>
    </row>
    <row r="649" ht="12.75" spans="1:26">
      <c r="A649" s="16"/>
      <c r="B649" s="1"/>
      <c r="C649" s="15"/>
      <c r="D649" s="16"/>
      <c r="E649" s="27"/>
      <c r="F649" s="21"/>
      <c r="G649" s="27"/>
      <c r="K649" s="21"/>
      <c r="L649" s="27"/>
      <c r="Q649" s="21"/>
      <c r="S649" s="21"/>
      <c r="T649" s="27"/>
      <c r="Y649" s="21"/>
      <c r="Z649" s="16"/>
    </row>
    <row r="650" ht="12.75" spans="1:26">
      <c r="A650" s="16"/>
      <c r="B650" s="1"/>
      <c r="C650" s="15"/>
      <c r="D650" s="16"/>
      <c r="E650" s="27"/>
      <c r="F650" s="21"/>
      <c r="G650" s="27"/>
      <c r="K650" s="21"/>
      <c r="L650" s="27"/>
      <c r="Q650" s="21"/>
      <c r="S650" s="21"/>
      <c r="T650" s="27"/>
      <c r="Y650" s="21"/>
      <c r="Z650" s="16"/>
    </row>
    <row r="651" ht="12.75" spans="1:26">
      <c r="A651" s="16"/>
      <c r="B651" s="1"/>
      <c r="C651" s="15"/>
      <c r="D651" s="16"/>
      <c r="E651" s="27"/>
      <c r="F651" s="21"/>
      <c r="G651" s="27"/>
      <c r="K651" s="21"/>
      <c r="L651" s="27"/>
      <c r="Q651" s="21"/>
      <c r="S651" s="21"/>
      <c r="T651" s="27"/>
      <c r="Y651" s="21"/>
      <c r="Z651" s="16"/>
    </row>
    <row r="652" ht="12.75" spans="1:26">
      <c r="A652" s="16"/>
      <c r="B652" s="1"/>
      <c r="C652" s="15"/>
      <c r="D652" s="16"/>
      <c r="E652" s="27"/>
      <c r="F652" s="21"/>
      <c r="G652" s="27"/>
      <c r="K652" s="21"/>
      <c r="L652" s="27"/>
      <c r="Q652" s="21"/>
      <c r="S652" s="21"/>
      <c r="T652" s="27"/>
      <c r="Y652" s="21"/>
      <c r="Z652" s="16"/>
    </row>
    <row r="653" ht="12.75" spans="1:26">
      <c r="A653" s="16"/>
      <c r="B653" s="1"/>
      <c r="C653" s="15"/>
      <c r="D653" s="16"/>
      <c r="E653" s="27"/>
      <c r="F653" s="21"/>
      <c r="G653" s="27"/>
      <c r="K653" s="21"/>
      <c r="L653" s="27"/>
      <c r="Q653" s="21"/>
      <c r="S653" s="21"/>
      <c r="T653" s="27"/>
      <c r="Y653" s="21"/>
      <c r="Z653" s="16"/>
    </row>
    <row r="654" ht="12.75" spans="1:26">
      <c r="A654" s="16"/>
      <c r="B654" s="1"/>
      <c r="C654" s="15"/>
      <c r="D654" s="16"/>
      <c r="E654" s="27"/>
      <c r="F654" s="21"/>
      <c r="G654" s="27"/>
      <c r="K654" s="21"/>
      <c r="L654" s="27"/>
      <c r="Q654" s="21"/>
      <c r="S654" s="21"/>
      <c r="T654" s="27"/>
      <c r="Y654" s="21"/>
      <c r="Z654" s="16"/>
    </row>
    <row r="655" ht="12.75" spans="1:26">
      <c r="A655" s="16"/>
      <c r="B655" s="1"/>
      <c r="C655" s="15"/>
      <c r="D655" s="16"/>
      <c r="E655" s="27"/>
      <c r="F655" s="21"/>
      <c r="G655" s="27"/>
      <c r="K655" s="21"/>
      <c r="L655" s="27"/>
      <c r="Q655" s="21"/>
      <c r="S655" s="21"/>
      <c r="T655" s="27"/>
      <c r="Y655" s="21"/>
      <c r="Z655" s="16"/>
    </row>
    <row r="656" ht="12.75" spans="1:26">
      <c r="A656" s="16"/>
      <c r="B656" s="1"/>
      <c r="C656" s="15"/>
      <c r="D656" s="16"/>
      <c r="E656" s="27"/>
      <c r="F656" s="21"/>
      <c r="G656" s="27"/>
      <c r="K656" s="21"/>
      <c r="L656" s="27"/>
      <c r="Q656" s="21"/>
      <c r="S656" s="21"/>
      <c r="T656" s="27"/>
      <c r="Y656" s="21"/>
      <c r="Z656" s="16"/>
    </row>
    <row r="657" ht="12.75" spans="1:26">
      <c r="A657" s="16"/>
      <c r="B657" s="1"/>
      <c r="C657" s="15"/>
      <c r="D657" s="16"/>
      <c r="E657" s="27"/>
      <c r="F657" s="21"/>
      <c r="G657" s="27"/>
      <c r="K657" s="21"/>
      <c r="L657" s="27"/>
      <c r="Q657" s="21"/>
      <c r="S657" s="21"/>
      <c r="T657" s="27"/>
      <c r="Y657" s="21"/>
      <c r="Z657" s="16"/>
    </row>
    <row r="658" ht="12.75" spans="1:26">
      <c r="A658" s="16"/>
      <c r="B658" s="1"/>
      <c r="C658" s="15"/>
      <c r="D658" s="16"/>
      <c r="E658" s="27"/>
      <c r="F658" s="21"/>
      <c r="G658" s="27"/>
      <c r="K658" s="21"/>
      <c r="L658" s="27"/>
      <c r="Q658" s="21"/>
      <c r="S658" s="21"/>
      <c r="T658" s="27"/>
      <c r="Y658" s="21"/>
      <c r="Z658" s="16"/>
    </row>
    <row r="659" ht="12.75" spans="1:26">
      <c r="A659" s="16"/>
      <c r="B659" s="1"/>
      <c r="C659" s="15"/>
      <c r="D659" s="16"/>
      <c r="E659" s="27"/>
      <c r="F659" s="21"/>
      <c r="G659" s="27"/>
      <c r="K659" s="21"/>
      <c r="L659" s="27"/>
      <c r="Q659" s="21"/>
      <c r="S659" s="21"/>
      <c r="T659" s="27"/>
      <c r="Y659" s="21"/>
      <c r="Z659" s="16"/>
    </row>
    <row r="660" ht="12.75" spans="1:26">
      <c r="A660" s="16"/>
      <c r="B660" s="1"/>
      <c r="C660" s="15"/>
      <c r="D660" s="16"/>
      <c r="E660" s="27"/>
      <c r="F660" s="21"/>
      <c r="G660" s="27"/>
      <c r="K660" s="21"/>
      <c r="L660" s="27"/>
      <c r="Q660" s="21"/>
      <c r="S660" s="21"/>
      <c r="T660" s="27"/>
      <c r="Y660" s="21"/>
      <c r="Z660" s="16"/>
    </row>
    <row r="661" ht="12.75" spans="1:26">
      <c r="A661" s="16"/>
      <c r="B661" s="1"/>
      <c r="C661" s="15"/>
      <c r="D661" s="16"/>
      <c r="E661" s="27"/>
      <c r="F661" s="21"/>
      <c r="G661" s="27"/>
      <c r="K661" s="21"/>
      <c r="L661" s="27"/>
      <c r="Q661" s="21"/>
      <c r="S661" s="21"/>
      <c r="T661" s="27"/>
      <c r="Y661" s="21"/>
      <c r="Z661" s="16"/>
    </row>
    <row r="662" ht="12.75" spans="1:26">
      <c r="A662" s="16"/>
      <c r="B662" s="1"/>
      <c r="C662" s="15"/>
      <c r="D662" s="16"/>
      <c r="E662" s="27"/>
      <c r="F662" s="21"/>
      <c r="G662" s="27"/>
      <c r="K662" s="21"/>
      <c r="L662" s="27"/>
      <c r="Q662" s="21"/>
      <c r="S662" s="21"/>
      <c r="T662" s="27"/>
      <c r="Y662" s="21"/>
      <c r="Z662" s="16"/>
    </row>
    <row r="663" ht="12.75" spans="1:26">
      <c r="A663" s="16"/>
      <c r="B663" s="1"/>
      <c r="C663" s="15"/>
      <c r="D663" s="16"/>
      <c r="E663" s="27"/>
      <c r="F663" s="21"/>
      <c r="G663" s="27"/>
      <c r="K663" s="21"/>
      <c r="L663" s="27"/>
      <c r="Q663" s="21"/>
      <c r="S663" s="21"/>
      <c r="T663" s="27"/>
      <c r="Y663" s="21"/>
      <c r="Z663" s="16"/>
    </row>
    <row r="664" ht="12.75" spans="1:26">
      <c r="A664" s="16"/>
      <c r="B664" s="1"/>
      <c r="C664" s="15"/>
      <c r="D664" s="16"/>
      <c r="E664" s="27"/>
      <c r="F664" s="21"/>
      <c r="G664" s="27"/>
      <c r="K664" s="21"/>
      <c r="L664" s="27"/>
      <c r="Q664" s="21"/>
      <c r="S664" s="21"/>
      <c r="T664" s="27"/>
      <c r="Y664" s="21"/>
      <c r="Z664" s="16"/>
    </row>
    <row r="665" ht="12.75" spans="1:26">
      <c r="A665" s="16"/>
      <c r="B665" s="1"/>
      <c r="C665" s="15"/>
      <c r="D665" s="16"/>
      <c r="E665" s="27"/>
      <c r="F665" s="21"/>
      <c r="G665" s="27"/>
      <c r="K665" s="21"/>
      <c r="L665" s="27"/>
      <c r="Q665" s="21"/>
      <c r="S665" s="21"/>
      <c r="T665" s="27"/>
      <c r="Y665" s="21"/>
      <c r="Z665" s="16"/>
    </row>
    <row r="666" ht="12.75" spans="1:26">
      <c r="A666" s="16"/>
      <c r="B666" s="1"/>
      <c r="C666" s="15"/>
      <c r="D666" s="16"/>
      <c r="E666" s="27"/>
      <c r="F666" s="21"/>
      <c r="G666" s="27"/>
      <c r="K666" s="21"/>
      <c r="L666" s="27"/>
      <c r="Q666" s="21"/>
      <c r="S666" s="21"/>
      <c r="T666" s="27"/>
      <c r="Y666" s="21"/>
      <c r="Z666" s="16"/>
    </row>
    <row r="667" ht="12.75" spans="1:26">
      <c r="A667" s="16"/>
      <c r="B667" s="1"/>
      <c r="C667" s="15"/>
      <c r="D667" s="16"/>
      <c r="E667" s="27"/>
      <c r="F667" s="21"/>
      <c r="G667" s="27"/>
      <c r="K667" s="21"/>
      <c r="L667" s="27"/>
      <c r="Q667" s="21"/>
      <c r="S667" s="21"/>
      <c r="T667" s="27"/>
      <c r="Y667" s="21"/>
      <c r="Z667" s="16"/>
    </row>
    <row r="668" ht="12.75" spans="1:26">
      <c r="A668" s="16"/>
      <c r="B668" s="1"/>
      <c r="C668" s="15"/>
      <c r="D668" s="16"/>
      <c r="E668" s="27"/>
      <c r="F668" s="21"/>
      <c r="G668" s="27"/>
      <c r="K668" s="21"/>
      <c r="L668" s="27"/>
      <c r="Q668" s="21"/>
      <c r="S668" s="21"/>
      <c r="T668" s="27"/>
      <c r="Y668" s="21"/>
      <c r="Z668" s="16"/>
    </row>
    <row r="669" ht="12.75" spans="1:26">
      <c r="A669" s="16"/>
      <c r="B669" s="1"/>
      <c r="C669" s="15"/>
      <c r="D669" s="16"/>
      <c r="E669" s="27"/>
      <c r="F669" s="21"/>
      <c r="G669" s="27"/>
      <c r="K669" s="21"/>
      <c r="L669" s="27"/>
      <c r="Q669" s="21"/>
      <c r="S669" s="21"/>
      <c r="T669" s="27"/>
      <c r="Y669" s="21"/>
      <c r="Z669" s="16"/>
    </row>
    <row r="670" ht="12.75" spans="1:26">
      <c r="A670" s="16"/>
      <c r="B670" s="1"/>
      <c r="C670" s="15"/>
      <c r="D670" s="16"/>
      <c r="E670" s="27"/>
      <c r="F670" s="21"/>
      <c r="G670" s="27"/>
      <c r="K670" s="21"/>
      <c r="L670" s="27"/>
      <c r="Q670" s="21"/>
      <c r="S670" s="21"/>
      <c r="T670" s="27"/>
      <c r="Y670" s="21"/>
      <c r="Z670" s="16"/>
    </row>
    <row r="671" ht="12.75" spans="1:26">
      <c r="A671" s="16"/>
      <c r="B671" s="1"/>
      <c r="C671" s="15"/>
      <c r="D671" s="16"/>
      <c r="E671" s="27"/>
      <c r="F671" s="21"/>
      <c r="G671" s="27"/>
      <c r="K671" s="21"/>
      <c r="L671" s="27"/>
      <c r="Q671" s="21"/>
      <c r="S671" s="21"/>
      <c r="T671" s="27"/>
      <c r="Y671" s="21"/>
      <c r="Z671" s="16"/>
    </row>
    <row r="672" ht="12.75" spans="1:26">
      <c r="A672" s="16"/>
      <c r="B672" s="1"/>
      <c r="C672" s="15"/>
      <c r="D672" s="16"/>
      <c r="E672" s="27"/>
      <c r="F672" s="21"/>
      <c r="G672" s="27"/>
      <c r="K672" s="21"/>
      <c r="L672" s="27"/>
      <c r="Q672" s="21"/>
      <c r="S672" s="21"/>
      <c r="T672" s="27"/>
      <c r="Y672" s="21"/>
      <c r="Z672" s="16"/>
    </row>
    <row r="673" ht="12.75" spans="1:26">
      <c r="A673" s="16"/>
      <c r="B673" s="1"/>
      <c r="C673" s="15"/>
      <c r="D673" s="16"/>
      <c r="E673" s="27"/>
      <c r="F673" s="21"/>
      <c r="G673" s="27"/>
      <c r="K673" s="21"/>
      <c r="L673" s="27"/>
      <c r="Q673" s="21"/>
      <c r="S673" s="21"/>
      <c r="T673" s="27"/>
      <c r="Y673" s="21"/>
      <c r="Z673" s="16"/>
    </row>
    <row r="674" ht="12.75" spans="1:26">
      <c r="A674" s="16"/>
      <c r="B674" s="1"/>
      <c r="C674" s="15"/>
      <c r="D674" s="16"/>
      <c r="E674" s="27"/>
      <c r="F674" s="21"/>
      <c r="G674" s="27"/>
      <c r="K674" s="21"/>
      <c r="L674" s="27"/>
      <c r="Q674" s="21"/>
      <c r="S674" s="21"/>
      <c r="T674" s="27"/>
      <c r="Y674" s="21"/>
      <c r="Z674" s="16"/>
    </row>
    <row r="675" ht="12.75" spans="1:26">
      <c r="A675" s="16"/>
      <c r="B675" s="1"/>
      <c r="C675" s="15"/>
      <c r="D675" s="16"/>
      <c r="E675" s="27"/>
      <c r="F675" s="21"/>
      <c r="G675" s="27"/>
      <c r="K675" s="21"/>
      <c r="L675" s="27"/>
      <c r="Q675" s="21"/>
      <c r="S675" s="21"/>
      <c r="T675" s="27"/>
      <c r="Y675" s="21"/>
      <c r="Z675" s="16"/>
    </row>
    <row r="676" ht="12.75" spans="1:26">
      <c r="A676" s="16"/>
      <c r="B676" s="1"/>
      <c r="C676" s="15"/>
      <c r="D676" s="16"/>
      <c r="E676" s="27"/>
      <c r="F676" s="21"/>
      <c r="G676" s="27"/>
      <c r="K676" s="21"/>
      <c r="L676" s="27"/>
      <c r="Q676" s="21"/>
      <c r="S676" s="21"/>
      <c r="T676" s="27"/>
      <c r="Y676" s="21"/>
      <c r="Z676" s="16"/>
    </row>
    <row r="677" ht="12.75" spans="1:26">
      <c r="A677" s="16"/>
      <c r="B677" s="1"/>
      <c r="C677" s="15"/>
      <c r="D677" s="16"/>
      <c r="E677" s="27"/>
      <c r="F677" s="21"/>
      <c r="G677" s="27"/>
      <c r="K677" s="21"/>
      <c r="L677" s="27"/>
      <c r="Q677" s="21"/>
      <c r="S677" s="21"/>
      <c r="T677" s="27"/>
      <c r="Y677" s="21"/>
      <c r="Z677" s="16"/>
    </row>
    <row r="678" ht="12.75" spans="1:26">
      <c r="A678" s="16"/>
      <c r="B678" s="1"/>
      <c r="C678" s="15"/>
      <c r="D678" s="16"/>
      <c r="E678" s="27"/>
      <c r="F678" s="21"/>
      <c r="G678" s="27"/>
      <c r="K678" s="21"/>
      <c r="L678" s="27"/>
      <c r="Q678" s="21"/>
      <c r="S678" s="21"/>
      <c r="T678" s="27"/>
      <c r="Y678" s="21"/>
      <c r="Z678" s="16"/>
    </row>
    <row r="679" ht="12.75" spans="1:26">
      <c r="A679" s="16"/>
      <c r="B679" s="1"/>
      <c r="C679" s="15"/>
      <c r="D679" s="16"/>
      <c r="E679" s="27"/>
      <c r="F679" s="21"/>
      <c r="G679" s="27"/>
      <c r="K679" s="21"/>
      <c r="L679" s="27"/>
      <c r="Q679" s="21"/>
      <c r="S679" s="21"/>
      <c r="T679" s="27"/>
      <c r="Y679" s="21"/>
      <c r="Z679" s="16"/>
    </row>
    <row r="680" ht="12.75" spans="1:26">
      <c r="A680" s="16"/>
      <c r="B680" s="1"/>
      <c r="C680" s="15"/>
      <c r="D680" s="16"/>
      <c r="E680" s="27"/>
      <c r="F680" s="21"/>
      <c r="G680" s="27"/>
      <c r="K680" s="21"/>
      <c r="L680" s="27"/>
      <c r="Q680" s="21"/>
      <c r="S680" s="21"/>
      <c r="T680" s="27"/>
      <c r="Y680" s="21"/>
      <c r="Z680" s="16"/>
    </row>
    <row r="681" ht="12.75" spans="1:26">
      <c r="A681" s="16"/>
      <c r="B681" s="1"/>
      <c r="C681" s="15"/>
      <c r="D681" s="16"/>
      <c r="E681" s="27"/>
      <c r="F681" s="21"/>
      <c r="G681" s="27"/>
      <c r="K681" s="21"/>
      <c r="L681" s="27"/>
      <c r="Q681" s="21"/>
      <c r="S681" s="21"/>
      <c r="T681" s="27"/>
      <c r="Y681" s="21"/>
      <c r="Z681" s="16"/>
    </row>
    <row r="682" ht="12.75" spans="1:26">
      <c r="A682" s="16"/>
      <c r="B682" s="1"/>
      <c r="C682" s="15"/>
      <c r="D682" s="16"/>
      <c r="E682" s="27"/>
      <c r="F682" s="21"/>
      <c r="G682" s="27"/>
      <c r="K682" s="21"/>
      <c r="L682" s="27"/>
      <c r="Q682" s="21"/>
      <c r="S682" s="21"/>
      <c r="T682" s="27"/>
      <c r="Y682" s="21"/>
      <c r="Z682" s="16"/>
    </row>
    <row r="683" ht="12.75" spans="1:26">
      <c r="A683" s="16"/>
      <c r="B683" s="1"/>
      <c r="C683" s="15"/>
      <c r="D683" s="16"/>
      <c r="E683" s="27"/>
      <c r="F683" s="21"/>
      <c r="G683" s="27"/>
      <c r="K683" s="21"/>
      <c r="L683" s="27"/>
      <c r="Q683" s="21"/>
      <c r="S683" s="21"/>
      <c r="T683" s="27"/>
      <c r="Y683" s="21"/>
      <c r="Z683" s="16"/>
    </row>
    <row r="684" ht="12.75" spans="1:26">
      <c r="A684" s="16"/>
      <c r="B684" s="1"/>
      <c r="C684" s="15"/>
      <c r="D684" s="16"/>
      <c r="E684" s="27"/>
      <c r="F684" s="21"/>
      <c r="G684" s="27"/>
      <c r="K684" s="21"/>
      <c r="L684" s="27"/>
      <c r="Q684" s="21"/>
      <c r="S684" s="21"/>
      <c r="T684" s="27"/>
      <c r="Y684" s="21"/>
      <c r="Z684" s="16"/>
    </row>
    <row r="685" ht="12.75" spans="1:26">
      <c r="A685" s="16"/>
      <c r="B685" s="1"/>
      <c r="C685" s="15"/>
      <c r="D685" s="16"/>
      <c r="E685" s="27"/>
      <c r="F685" s="21"/>
      <c r="G685" s="27"/>
      <c r="K685" s="21"/>
      <c r="L685" s="27"/>
      <c r="Q685" s="21"/>
      <c r="S685" s="21"/>
      <c r="T685" s="27"/>
      <c r="Y685" s="21"/>
      <c r="Z685" s="16"/>
    </row>
    <row r="686" ht="12.75" spans="1:26">
      <c r="A686" s="16"/>
      <c r="B686" s="1"/>
      <c r="C686" s="15"/>
      <c r="D686" s="16"/>
      <c r="E686" s="27"/>
      <c r="F686" s="21"/>
      <c r="G686" s="27"/>
      <c r="K686" s="21"/>
      <c r="L686" s="27"/>
      <c r="Q686" s="21"/>
      <c r="S686" s="21"/>
      <c r="T686" s="27"/>
      <c r="Y686" s="21"/>
      <c r="Z686" s="16"/>
    </row>
    <row r="687" ht="12.75" spans="1:26">
      <c r="A687" s="16"/>
      <c r="B687" s="1"/>
      <c r="C687" s="15"/>
      <c r="D687" s="16"/>
      <c r="E687" s="27"/>
      <c r="F687" s="21"/>
      <c r="G687" s="27"/>
      <c r="K687" s="21"/>
      <c r="L687" s="27"/>
      <c r="Q687" s="21"/>
      <c r="S687" s="21"/>
      <c r="T687" s="27"/>
      <c r="Y687" s="21"/>
      <c r="Z687" s="16"/>
    </row>
    <row r="688" ht="12.75" spans="1:26">
      <c r="A688" s="16"/>
      <c r="B688" s="1"/>
      <c r="C688" s="15"/>
      <c r="D688" s="16"/>
      <c r="E688" s="27"/>
      <c r="F688" s="21"/>
      <c r="G688" s="27"/>
      <c r="K688" s="21"/>
      <c r="L688" s="27"/>
      <c r="Q688" s="21"/>
      <c r="S688" s="21"/>
      <c r="T688" s="27"/>
      <c r="Y688" s="21"/>
      <c r="Z688" s="16"/>
    </row>
    <row r="689" ht="12.75" spans="1:26">
      <c r="A689" s="16"/>
      <c r="B689" s="1"/>
      <c r="C689" s="15"/>
      <c r="D689" s="16"/>
      <c r="E689" s="27"/>
      <c r="F689" s="21"/>
      <c r="G689" s="27"/>
      <c r="K689" s="21"/>
      <c r="L689" s="27"/>
      <c r="Q689" s="21"/>
      <c r="S689" s="21"/>
      <c r="T689" s="27"/>
      <c r="Y689" s="21"/>
      <c r="Z689" s="16"/>
    </row>
    <row r="690" ht="12.75" spans="1:26">
      <c r="A690" s="16"/>
      <c r="B690" s="1"/>
      <c r="C690" s="15"/>
      <c r="D690" s="16"/>
      <c r="E690" s="27"/>
      <c r="F690" s="21"/>
      <c r="G690" s="27"/>
      <c r="K690" s="21"/>
      <c r="L690" s="27"/>
      <c r="Q690" s="21"/>
      <c r="S690" s="21"/>
      <c r="T690" s="27"/>
      <c r="Y690" s="21"/>
      <c r="Z690" s="16"/>
    </row>
    <row r="691" ht="12.75" spans="1:26">
      <c r="A691" s="16"/>
      <c r="B691" s="1"/>
      <c r="C691" s="15"/>
      <c r="D691" s="16"/>
      <c r="E691" s="27"/>
      <c r="F691" s="21"/>
      <c r="G691" s="27"/>
      <c r="K691" s="21"/>
      <c r="L691" s="27"/>
      <c r="Q691" s="21"/>
      <c r="S691" s="21"/>
      <c r="T691" s="27"/>
      <c r="Y691" s="21"/>
      <c r="Z691" s="16"/>
    </row>
    <row r="692" ht="12.75" spans="1:26">
      <c r="A692" s="16"/>
      <c r="B692" s="1"/>
      <c r="C692" s="15"/>
      <c r="D692" s="16"/>
      <c r="E692" s="27"/>
      <c r="F692" s="21"/>
      <c r="G692" s="27"/>
      <c r="K692" s="21"/>
      <c r="L692" s="27"/>
      <c r="Q692" s="21"/>
      <c r="S692" s="21"/>
      <c r="T692" s="27"/>
      <c r="Y692" s="21"/>
      <c r="Z692" s="16"/>
    </row>
    <row r="693" ht="12.75" spans="1:26">
      <c r="A693" s="16"/>
      <c r="B693" s="1"/>
      <c r="C693" s="15"/>
      <c r="D693" s="16"/>
      <c r="E693" s="27"/>
      <c r="F693" s="21"/>
      <c r="G693" s="27"/>
      <c r="K693" s="21"/>
      <c r="L693" s="27"/>
      <c r="Q693" s="21"/>
      <c r="S693" s="21"/>
      <c r="T693" s="27"/>
      <c r="Y693" s="21"/>
      <c r="Z693" s="16"/>
    </row>
    <row r="694" ht="12.75" spans="1:26">
      <c r="A694" s="16"/>
      <c r="B694" s="1"/>
      <c r="C694" s="15"/>
      <c r="D694" s="16"/>
      <c r="E694" s="27"/>
      <c r="F694" s="21"/>
      <c r="G694" s="27"/>
      <c r="K694" s="21"/>
      <c r="L694" s="27"/>
      <c r="Q694" s="21"/>
      <c r="S694" s="21"/>
      <c r="T694" s="27"/>
      <c r="Y694" s="21"/>
      <c r="Z694" s="16"/>
    </row>
    <row r="695" ht="12.75" spans="1:26">
      <c r="A695" s="16"/>
      <c r="B695" s="1"/>
      <c r="C695" s="15"/>
      <c r="D695" s="16"/>
      <c r="E695" s="27"/>
      <c r="F695" s="21"/>
      <c r="G695" s="27"/>
      <c r="K695" s="21"/>
      <c r="L695" s="27"/>
      <c r="Q695" s="21"/>
      <c r="S695" s="21"/>
      <c r="T695" s="27"/>
      <c r="Y695" s="21"/>
      <c r="Z695" s="16"/>
    </row>
    <row r="696" ht="12.75" spans="1:26">
      <c r="A696" s="16"/>
      <c r="B696" s="1"/>
      <c r="C696" s="15"/>
      <c r="D696" s="16"/>
      <c r="E696" s="27"/>
      <c r="F696" s="21"/>
      <c r="G696" s="27"/>
      <c r="K696" s="21"/>
      <c r="L696" s="27"/>
      <c r="Q696" s="21"/>
      <c r="S696" s="21"/>
      <c r="T696" s="27"/>
      <c r="Y696" s="21"/>
      <c r="Z696" s="16"/>
    </row>
    <row r="697" ht="12.75" spans="1:26">
      <c r="A697" s="16"/>
      <c r="B697" s="1"/>
      <c r="C697" s="15"/>
      <c r="D697" s="16"/>
      <c r="E697" s="27"/>
      <c r="F697" s="21"/>
      <c r="G697" s="27"/>
      <c r="K697" s="21"/>
      <c r="L697" s="27"/>
      <c r="Q697" s="21"/>
      <c r="S697" s="21"/>
      <c r="T697" s="27"/>
      <c r="Y697" s="21"/>
      <c r="Z697" s="16"/>
    </row>
    <row r="698" ht="12.75" spans="1:26">
      <c r="A698" s="16"/>
      <c r="B698" s="1"/>
      <c r="C698" s="15"/>
      <c r="D698" s="16"/>
      <c r="E698" s="27"/>
      <c r="F698" s="21"/>
      <c r="G698" s="27"/>
      <c r="K698" s="21"/>
      <c r="L698" s="27"/>
      <c r="Q698" s="21"/>
      <c r="S698" s="21"/>
      <c r="T698" s="27"/>
      <c r="Y698" s="21"/>
      <c r="Z698" s="16"/>
    </row>
    <row r="699" ht="12.75" spans="1:26">
      <c r="A699" s="16"/>
      <c r="B699" s="1"/>
      <c r="C699" s="15"/>
      <c r="D699" s="16"/>
      <c r="E699" s="27"/>
      <c r="F699" s="21"/>
      <c r="G699" s="27"/>
      <c r="K699" s="21"/>
      <c r="L699" s="27"/>
      <c r="Q699" s="21"/>
      <c r="S699" s="21"/>
      <c r="T699" s="27"/>
      <c r="Y699" s="21"/>
      <c r="Z699" s="16"/>
    </row>
    <row r="700" ht="12.75" spans="1:26">
      <c r="A700" s="16"/>
      <c r="B700" s="1"/>
      <c r="C700" s="15"/>
      <c r="D700" s="16"/>
      <c r="E700" s="27"/>
      <c r="F700" s="21"/>
      <c r="G700" s="27"/>
      <c r="K700" s="21"/>
      <c r="L700" s="27"/>
      <c r="Q700" s="21"/>
      <c r="S700" s="21"/>
      <c r="T700" s="27"/>
      <c r="Y700" s="21"/>
      <c r="Z700" s="16"/>
    </row>
    <row r="701" ht="12.75" spans="1:26">
      <c r="A701" s="16"/>
      <c r="B701" s="1"/>
      <c r="C701" s="15"/>
      <c r="D701" s="16"/>
      <c r="E701" s="27"/>
      <c r="F701" s="21"/>
      <c r="G701" s="27"/>
      <c r="K701" s="21"/>
      <c r="L701" s="27"/>
      <c r="Q701" s="21"/>
      <c r="S701" s="21"/>
      <c r="T701" s="27"/>
      <c r="Y701" s="21"/>
      <c r="Z701" s="16"/>
    </row>
    <row r="702" ht="12.75" spans="1:26">
      <c r="A702" s="16"/>
      <c r="B702" s="1"/>
      <c r="C702" s="15"/>
      <c r="D702" s="16"/>
      <c r="E702" s="27"/>
      <c r="F702" s="21"/>
      <c r="G702" s="27"/>
      <c r="K702" s="21"/>
      <c r="L702" s="27"/>
      <c r="Q702" s="21"/>
      <c r="S702" s="21"/>
      <c r="T702" s="27"/>
      <c r="Y702" s="21"/>
      <c r="Z702" s="16"/>
    </row>
    <row r="703" ht="12.75" spans="1:26">
      <c r="A703" s="16"/>
      <c r="B703" s="1"/>
      <c r="C703" s="15"/>
      <c r="D703" s="16"/>
      <c r="E703" s="27"/>
      <c r="F703" s="21"/>
      <c r="G703" s="27"/>
      <c r="K703" s="21"/>
      <c r="L703" s="27"/>
      <c r="Q703" s="21"/>
      <c r="S703" s="21"/>
      <c r="T703" s="27"/>
      <c r="Y703" s="21"/>
      <c r="Z703" s="16"/>
    </row>
    <row r="704" ht="12.75" spans="1:26">
      <c r="A704" s="16"/>
      <c r="B704" s="1"/>
      <c r="C704" s="15"/>
      <c r="D704" s="16"/>
      <c r="E704" s="27"/>
      <c r="F704" s="21"/>
      <c r="G704" s="27"/>
      <c r="K704" s="21"/>
      <c r="L704" s="27"/>
      <c r="Q704" s="21"/>
      <c r="S704" s="21"/>
      <c r="T704" s="27"/>
      <c r="Y704" s="21"/>
      <c r="Z704" s="16"/>
    </row>
    <row r="705" ht="12.75" spans="1:26">
      <c r="A705" s="16"/>
      <c r="B705" s="1"/>
      <c r="C705" s="15"/>
      <c r="D705" s="16"/>
      <c r="E705" s="27"/>
      <c r="F705" s="21"/>
      <c r="G705" s="27"/>
      <c r="K705" s="21"/>
      <c r="L705" s="27"/>
      <c r="Q705" s="21"/>
      <c r="S705" s="21"/>
      <c r="T705" s="27"/>
      <c r="Y705" s="21"/>
      <c r="Z705" s="16"/>
    </row>
    <row r="706" ht="12.75" spans="1:26">
      <c r="A706" s="16"/>
      <c r="B706" s="1"/>
      <c r="C706" s="15"/>
      <c r="D706" s="16"/>
      <c r="E706" s="27"/>
      <c r="F706" s="21"/>
      <c r="G706" s="27"/>
      <c r="K706" s="21"/>
      <c r="L706" s="27"/>
      <c r="Q706" s="21"/>
      <c r="S706" s="21"/>
      <c r="T706" s="27"/>
      <c r="Y706" s="21"/>
      <c r="Z706" s="16"/>
    </row>
    <row r="707" ht="12.75" spans="1:26">
      <c r="A707" s="16"/>
      <c r="B707" s="1"/>
      <c r="C707" s="15"/>
      <c r="D707" s="16"/>
      <c r="E707" s="27"/>
      <c r="F707" s="21"/>
      <c r="G707" s="27"/>
      <c r="K707" s="21"/>
      <c r="L707" s="27"/>
      <c r="Q707" s="21"/>
      <c r="S707" s="21"/>
      <c r="T707" s="27"/>
      <c r="Y707" s="21"/>
      <c r="Z707" s="16"/>
    </row>
    <row r="708" ht="12.75" spans="1:26">
      <c r="A708" s="16"/>
      <c r="B708" s="1"/>
      <c r="C708" s="15"/>
      <c r="D708" s="16"/>
      <c r="E708" s="27"/>
      <c r="F708" s="21"/>
      <c r="G708" s="27"/>
      <c r="K708" s="21"/>
      <c r="L708" s="27"/>
      <c r="Q708" s="21"/>
      <c r="S708" s="21"/>
      <c r="T708" s="27"/>
      <c r="Y708" s="21"/>
      <c r="Z708" s="16"/>
    </row>
    <row r="709" ht="12.75" spans="1:26">
      <c r="A709" s="16"/>
      <c r="B709" s="1"/>
      <c r="C709" s="15"/>
      <c r="D709" s="16"/>
      <c r="E709" s="27"/>
      <c r="F709" s="21"/>
      <c r="G709" s="27"/>
      <c r="K709" s="21"/>
      <c r="L709" s="27"/>
      <c r="Q709" s="21"/>
      <c r="S709" s="21"/>
      <c r="T709" s="27"/>
      <c r="Y709" s="21"/>
      <c r="Z709" s="16"/>
    </row>
    <row r="710" ht="12.75" spans="1:26">
      <c r="A710" s="16"/>
      <c r="B710" s="1"/>
      <c r="C710" s="15"/>
      <c r="D710" s="16"/>
      <c r="E710" s="27"/>
      <c r="F710" s="21"/>
      <c r="G710" s="27"/>
      <c r="K710" s="21"/>
      <c r="L710" s="27"/>
      <c r="Q710" s="21"/>
      <c r="S710" s="21"/>
      <c r="T710" s="27"/>
      <c r="Y710" s="21"/>
      <c r="Z710" s="16"/>
    </row>
    <row r="711" ht="12.75" spans="1:26">
      <c r="A711" s="16"/>
      <c r="B711" s="1"/>
      <c r="C711" s="15"/>
      <c r="D711" s="16"/>
      <c r="E711" s="27"/>
      <c r="F711" s="21"/>
      <c r="G711" s="27"/>
      <c r="K711" s="21"/>
      <c r="L711" s="27"/>
      <c r="Q711" s="21"/>
      <c r="S711" s="21"/>
      <c r="T711" s="27"/>
      <c r="Y711" s="21"/>
      <c r="Z711" s="16"/>
    </row>
    <row r="712" ht="12.75" spans="1:26">
      <c r="A712" s="16"/>
      <c r="B712" s="1"/>
      <c r="C712" s="15"/>
      <c r="D712" s="16"/>
      <c r="E712" s="27"/>
      <c r="F712" s="21"/>
      <c r="G712" s="27"/>
      <c r="K712" s="21"/>
      <c r="L712" s="27"/>
      <c r="Q712" s="21"/>
      <c r="S712" s="21"/>
      <c r="T712" s="27"/>
      <c r="Y712" s="21"/>
      <c r="Z712" s="16"/>
    </row>
    <row r="713" ht="12.75" spans="1:26">
      <c r="A713" s="16"/>
      <c r="B713" s="1"/>
      <c r="C713" s="15"/>
      <c r="D713" s="16"/>
      <c r="E713" s="27"/>
      <c r="F713" s="21"/>
      <c r="G713" s="27"/>
      <c r="K713" s="21"/>
      <c r="L713" s="27"/>
      <c r="Q713" s="21"/>
      <c r="S713" s="21"/>
      <c r="T713" s="27"/>
      <c r="Y713" s="21"/>
      <c r="Z713" s="16"/>
    </row>
    <row r="714" ht="12.75" spans="1:26">
      <c r="A714" s="16"/>
      <c r="B714" s="1"/>
      <c r="C714" s="15"/>
      <c r="D714" s="16"/>
      <c r="E714" s="27"/>
      <c r="F714" s="21"/>
      <c r="G714" s="27"/>
      <c r="K714" s="21"/>
      <c r="L714" s="27"/>
      <c r="Q714" s="21"/>
      <c r="S714" s="21"/>
      <c r="T714" s="27"/>
      <c r="Y714" s="21"/>
      <c r="Z714" s="16"/>
    </row>
    <row r="715" ht="12.75" spans="1:26">
      <c r="A715" s="16"/>
      <c r="B715" s="1"/>
      <c r="C715" s="15"/>
      <c r="D715" s="16"/>
      <c r="E715" s="27"/>
      <c r="F715" s="21"/>
      <c r="G715" s="27"/>
      <c r="K715" s="21"/>
      <c r="L715" s="27"/>
      <c r="Q715" s="21"/>
      <c r="S715" s="21"/>
      <c r="T715" s="27"/>
      <c r="Y715" s="21"/>
      <c r="Z715" s="16"/>
    </row>
    <row r="716" ht="12.75" spans="1:26">
      <c r="A716" s="16"/>
      <c r="B716" s="1"/>
      <c r="C716" s="15"/>
      <c r="D716" s="16"/>
      <c r="E716" s="27"/>
      <c r="F716" s="21"/>
      <c r="G716" s="27"/>
      <c r="K716" s="21"/>
      <c r="L716" s="27"/>
      <c r="Q716" s="21"/>
      <c r="S716" s="21"/>
      <c r="T716" s="27"/>
      <c r="Y716" s="21"/>
      <c r="Z716" s="16"/>
    </row>
    <row r="717" ht="12.75" spans="1:26">
      <c r="A717" s="16"/>
      <c r="B717" s="1"/>
      <c r="C717" s="15"/>
      <c r="D717" s="16"/>
      <c r="E717" s="27"/>
      <c r="F717" s="21"/>
      <c r="G717" s="27"/>
      <c r="K717" s="21"/>
      <c r="L717" s="27"/>
      <c r="Q717" s="21"/>
      <c r="S717" s="21"/>
      <c r="T717" s="27"/>
      <c r="Y717" s="21"/>
      <c r="Z717" s="16"/>
    </row>
    <row r="718" ht="12.75" spans="1:26">
      <c r="A718" s="16"/>
      <c r="B718" s="1"/>
      <c r="C718" s="15"/>
      <c r="D718" s="16"/>
      <c r="E718" s="27"/>
      <c r="F718" s="21"/>
      <c r="G718" s="27"/>
      <c r="K718" s="21"/>
      <c r="L718" s="27"/>
      <c r="Q718" s="21"/>
      <c r="S718" s="21"/>
      <c r="T718" s="27"/>
      <c r="Y718" s="21"/>
      <c r="Z718" s="16"/>
    </row>
    <row r="719" ht="12.75" spans="1:26">
      <c r="A719" s="16"/>
      <c r="B719" s="1"/>
      <c r="C719" s="15"/>
      <c r="D719" s="16"/>
      <c r="E719" s="27"/>
      <c r="F719" s="21"/>
      <c r="G719" s="27"/>
      <c r="K719" s="21"/>
      <c r="L719" s="27"/>
      <c r="Q719" s="21"/>
      <c r="S719" s="21"/>
      <c r="T719" s="27"/>
      <c r="Y719" s="21"/>
      <c r="Z719" s="16"/>
    </row>
    <row r="720" ht="12.75" spans="1:26">
      <c r="A720" s="16"/>
      <c r="B720" s="1"/>
      <c r="C720" s="15"/>
      <c r="D720" s="16"/>
      <c r="E720" s="27"/>
      <c r="F720" s="21"/>
      <c r="G720" s="27"/>
      <c r="K720" s="21"/>
      <c r="L720" s="27"/>
      <c r="Q720" s="21"/>
      <c r="S720" s="21"/>
      <c r="T720" s="27"/>
      <c r="Y720" s="21"/>
      <c r="Z720" s="16"/>
    </row>
    <row r="721" ht="12.75" spans="1:26">
      <c r="A721" s="16"/>
      <c r="B721" s="1"/>
      <c r="C721" s="15"/>
      <c r="D721" s="16"/>
      <c r="E721" s="27"/>
      <c r="F721" s="21"/>
      <c r="G721" s="27"/>
      <c r="K721" s="21"/>
      <c r="L721" s="27"/>
      <c r="Q721" s="21"/>
      <c r="S721" s="21"/>
      <c r="T721" s="27"/>
      <c r="Y721" s="21"/>
      <c r="Z721" s="16"/>
    </row>
    <row r="722" ht="12.75" spans="1:26">
      <c r="A722" s="16"/>
      <c r="B722" s="1"/>
      <c r="C722" s="15"/>
      <c r="D722" s="16"/>
      <c r="E722" s="27"/>
      <c r="F722" s="21"/>
      <c r="G722" s="27"/>
      <c r="K722" s="21"/>
      <c r="L722" s="27"/>
      <c r="Q722" s="21"/>
      <c r="S722" s="21"/>
      <c r="T722" s="27"/>
      <c r="Y722" s="21"/>
      <c r="Z722" s="16"/>
    </row>
    <row r="723" ht="12.75" spans="1:26">
      <c r="A723" s="16"/>
      <c r="B723" s="1"/>
      <c r="C723" s="15"/>
      <c r="D723" s="16"/>
      <c r="E723" s="27"/>
      <c r="F723" s="21"/>
      <c r="G723" s="27"/>
      <c r="K723" s="21"/>
      <c r="L723" s="27"/>
      <c r="Q723" s="21"/>
      <c r="S723" s="21"/>
      <c r="T723" s="27"/>
      <c r="Y723" s="21"/>
      <c r="Z723" s="16"/>
    </row>
    <row r="724" ht="12.75" spans="1:26">
      <c r="A724" s="16"/>
      <c r="B724" s="1"/>
      <c r="C724" s="15"/>
      <c r="D724" s="16"/>
      <c r="E724" s="27"/>
      <c r="F724" s="21"/>
      <c r="G724" s="27"/>
      <c r="K724" s="21"/>
      <c r="L724" s="27"/>
      <c r="Q724" s="21"/>
      <c r="S724" s="21"/>
      <c r="T724" s="27"/>
      <c r="Y724" s="21"/>
      <c r="Z724" s="16"/>
    </row>
    <row r="725" ht="12.75" spans="1:26">
      <c r="A725" s="16"/>
      <c r="B725" s="1"/>
      <c r="C725" s="15"/>
      <c r="D725" s="16"/>
      <c r="E725" s="27"/>
      <c r="F725" s="21"/>
      <c r="G725" s="27"/>
      <c r="K725" s="21"/>
      <c r="L725" s="27"/>
      <c r="Q725" s="21"/>
      <c r="S725" s="21"/>
      <c r="T725" s="27"/>
      <c r="Y725" s="21"/>
      <c r="Z725" s="16"/>
    </row>
    <row r="726" ht="12.75" spans="1:26">
      <c r="A726" s="16"/>
      <c r="B726" s="1"/>
      <c r="C726" s="15"/>
      <c r="D726" s="16"/>
      <c r="E726" s="27"/>
      <c r="F726" s="21"/>
      <c r="G726" s="27"/>
      <c r="K726" s="21"/>
      <c r="L726" s="27"/>
      <c r="Q726" s="21"/>
      <c r="S726" s="21"/>
      <c r="T726" s="27"/>
      <c r="Y726" s="21"/>
      <c r="Z726" s="16"/>
    </row>
    <row r="727" ht="12.75" spans="1:26">
      <c r="A727" s="16"/>
      <c r="B727" s="1"/>
      <c r="C727" s="15"/>
      <c r="D727" s="16"/>
      <c r="E727" s="27"/>
      <c r="F727" s="21"/>
      <c r="G727" s="27"/>
      <c r="K727" s="21"/>
      <c r="L727" s="27"/>
      <c r="Q727" s="21"/>
      <c r="S727" s="21"/>
      <c r="T727" s="27"/>
      <c r="Y727" s="21"/>
      <c r="Z727" s="16"/>
    </row>
    <row r="728" ht="12.75" spans="1:26">
      <c r="A728" s="16"/>
      <c r="B728" s="1"/>
      <c r="C728" s="15"/>
      <c r="D728" s="16"/>
      <c r="E728" s="27"/>
      <c r="F728" s="21"/>
      <c r="G728" s="27"/>
      <c r="K728" s="21"/>
      <c r="L728" s="27"/>
      <c r="Q728" s="21"/>
      <c r="S728" s="21"/>
      <c r="T728" s="27"/>
      <c r="Y728" s="21"/>
      <c r="Z728" s="16"/>
    </row>
    <row r="729" ht="12.75" spans="1:26">
      <c r="A729" s="16"/>
      <c r="B729" s="1"/>
      <c r="C729" s="15"/>
      <c r="D729" s="16"/>
      <c r="E729" s="27"/>
      <c r="F729" s="21"/>
      <c r="G729" s="27"/>
      <c r="K729" s="21"/>
      <c r="L729" s="27"/>
      <c r="Q729" s="21"/>
      <c r="S729" s="21"/>
      <c r="T729" s="27"/>
      <c r="Y729" s="21"/>
      <c r="Z729" s="16"/>
    </row>
    <row r="730" ht="12.75" spans="1:26">
      <c r="A730" s="16"/>
      <c r="B730" s="1"/>
      <c r="C730" s="15"/>
      <c r="D730" s="16"/>
      <c r="E730" s="27"/>
      <c r="F730" s="21"/>
      <c r="G730" s="27"/>
      <c r="K730" s="21"/>
      <c r="L730" s="27"/>
      <c r="Q730" s="21"/>
      <c r="S730" s="21"/>
      <c r="T730" s="27"/>
      <c r="Y730" s="21"/>
      <c r="Z730" s="16"/>
    </row>
    <row r="731" ht="12.75" spans="1:26">
      <c r="A731" s="16"/>
      <c r="B731" s="1"/>
      <c r="C731" s="15"/>
      <c r="D731" s="16"/>
      <c r="E731" s="27"/>
      <c r="F731" s="21"/>
      <c r="G731" s="27"/>
      <c r="K731" s="21"/>
      <c r="L731" s="27"/>
      <c r="Q731" s="21"/>
      <c r="S731" s="21"/>
      <c r="T731" s="27"/>
      <c r="Y731" s="21"/>
      <c r="Z731" s="16"/>
    </row>
    <row r="732" ht="12.75" spans="1:26">
      <c r="A732" s="16"/>
      <c r="B732" s="1"/>
      <c r="C732" s="15"/>
      <c r="D732" s="16"/>
      <c r="E732" s="27"/>
      <c r="F732" s="21"/>
      <c r="G732" s="27"/>
      <c r="K732" s="21"/>
      <c r="L732" s="27"/>
      <c r="Q732" s="21"/>
      <c r="S732" s="21"/>
      <c r="T732" s="27"/>
      <c r="Y732" s="21"/>
      <c r="Z732" s="16"/>
    </row>
    <row r="733" ht="12.75" spans="1:26">
      <c r="A733" s="16"/>
      <c r="B733" s="1"/>
      <c r="C733" s="15"/>
      <c r="D733" s="16"/>
      <c r="E733" s="27"/>
      <c r="F733" s="21"/>
      <c r="G733" s="27"/>
      <c r="K733" s="21"/>
      <c r="L733" s="27"/>
      <c r="Q733" s="21"/>
      <c r="S733" s="21"/>
      <c r="T733" s="27"/>
      <c r="Y733" s="21"/>
      <c r="Z733" s="16"/>
    </row>
    <row r="734" ht="12.75" spans="1:26">
      <c r="A734" s="16"/>
      <c r="B734" s="1"/>
      <c r="C734" s="15"/>
      <c r="D734" s="16"/>
      <c r="E734" s="27"/>
      <c r="F734" s="21"/>
      <c r="G734" s="27"/>
      <c r="K734" s="21"/>
      <c r="L734" s="27"/>
      <c r="Q734" s="21"/>
      <c r="S734" s="21"/>
      <c r="T734" s="27"/>
      <c r="Y734" s="21"/>
      <c r="Z734" s="16"/>
    </row>
    <row r="735" ht="12.75" spans="1:26">
      <c r="A735" s="16"/>
      <c r="B735" s="1"/>
      <c r="C735" s="15"/>
      <c r="D735" s="16"/>
      <c r="E735" s="27"/>
      <c r="F735" s="21"/>
      <c r="G735" s="27"/>
      <c r="K735" s="21"/>
      <c r="L735" s="27"/>
      <c r="Q735" s="21"/>
      <c r="S735" s="21"/>
      <c r="T735" s="27"/>
      <c r="Y735" s="21"/>
      <c r="Z735" s="16"/>
    </row>
    <row r="736" ht="12.75" spans="1:26">
      <c r="A736" s="16"/>
      <c r="B736" s="1"/>
      <c r="C736" s="15"/>
      <c r="D736" s="16"/>
      <c r="E736" s="27"/>
      <c r="F736" s="21"/>
      <c r="G736" s="27"/>
      <c r="K736" s="21"/>
      <c r="L736" s="27"/>
      <c r="Q736" s="21"/>
      <c r="S736" s="21"/>
      <c r="T736" s="27"/>
      <c r="Y736" s="21"/>
      <c r="Z736" s="16"/>
    </row>
    <row r="737" ht="12.75" spans="1:26">
      <c r="A737" s="16"/>
      <c r="B737" s="1"/>
      <c r="C737" s="15"/>
      <c r="D737" s="16"/>
      <c r="E737" s="27"/>
      <c r="F737" s="21"/>
      <c r="G737" s="27"/>
      <c r="K737" s="21"/>
      <c r="L737" s="27"/>
      <c r="Q737" s="21"/>
      <c r="S737" s="21"/>
      <c r="T737" s="27"/>
      <c r="Y737" s="21"/>
      <c r="Z737" s="16"/>
    </row>
    <row r="738" ht="12.75" spans="1:26">
      <c r="A738" s="16"/>
      <c r="B738" s="1"/>
      <c r="C738" s="15"/>
      <c r="D738" s="16"/>
      <c r="E738" s="27"/>
      <c r="F738" s="21"/>
      <c r="G738" s="27"/>
      <c r="K738" s="21"/>
      <c r="L738" s="27"/>
      <c r="Q738" s="21"/>
      <c r="S738" s="21"/>
      <c r="T738" s="27"/>
      <c r="Y738" s="21"/>
      <c r="Z738" s="16"/>
    </row>
    <row r="739" ht="12.75" spans="1:26">
      <c r="A739" s="16"/>
      <c r="B739" s="1"/>
      <c r="C739" s="15"/>
      <c r="D739" s="16"/>
      <c r="E739" s="27"/>
      <c r="F739" s="21"/>
      <c r="G739" s="27"/>
      <c r="K739" s="21"/>
      <c r="L739" s="27"/>
      <c r="Q739" s="21"/>
      <c r="S739" s="21"/>
      <c r="T739" s="27"/>
      <c r="Y739" s="21"/>
      <c r="Z739" s="16"/>
    </row>
    <row r="740" ht="12.75" spans="1:26">
      <c r="A740" s="16"/>
      <c r="B740" s="1"/>
      <c r="C740" s="15"/>
      <c r="D740" s="16"/>
      <c r="E740" s="27"/>
      <c r="F740" s="21"/>
      <c r="G740" s="27"/>
      <c r="K740" s="21"/>
      <c r="L740" s="27"/>
      <c r="Q740" s="21"/>
      <c r="S740" s="21"/>
      <c r="T740" s="27"/>
      <c r="Y740" s="21"/>
      <c r="Z740" s="16"/>
    </row>
    <row r="741" ht="12.75" spans="1:26">
      <c r="A741" s="16"/>
      <c r="B741" s="1"/>
      <c r="C741" s="15"/>
      <c r="D741" s="16"/>
      <c r="E741" s="27"/>
      <c r="F741" s="21"/>
      <c r="G741" s="27"/>
      <c r="K741" s="21"/>
      <c r="L741" s="27"/>
      <c r="Q741" s="21"/>
      <c r="S741" s="21"/>
      <c r="T741" s="27"/>
      <c r="Y741" s="21"/>
      <c r="Z741" s="16"/>
    </row>
    <row r="742" ht="12.75" spans="1:26">
      <c r="A742" s="16"/>
      <c r="B742" s="1"/>
      <c r="C742" s="15"/>
      <c r="D742" s="16"/>
      <c r="E742" s="27"/>
      <c r="F742" s="21"/>
      <c r="G742" s="27"/>
      <c r="K742" s="21"/>
      <c r="L742" s="27"/>
      <c r="Q742" s="21"/>
      <c r="S742" s="21"/>
      <c r="T742" s="27"/>
      <c r="Y742" s="21"/>
      <c r="Z742" s="16"/>
    </row>
    <row r="743" ht="12.75" spans="1:26">
      <c r="A743" s="16"/>
      <c r="B743" s="1"/>
      <c r="C743" s="15"/>
      <c r="D743" s="16"/>
      <c r="E743" s="27"/>
      <c r="F743" s="21"/>
      <c r="G743" s="27"/>
      <c r="K743" s="21"/>
      <c r="L743" s="27"/>
      <c r="Q743" s="21"/>
      <c r="S743" s="21"/>
      <c r="T743" s="27"/>
      <c r="Y743" s="21"/>
      <c r="Z743" s="16"/>
    </row>
    <row r="744" ht="12.75" spans="1:26">
      <c r="A744" s="16"/>
      <c r="B744" s="1"/>
      <c r="C744" s="15"/>
      <c r="D744" s="16"/>
      <c r="E744" s="27"/>
      <c r="F744" s="21"/>
      <c r="G744" s="27"/>
      <c r="K744" s="21"/>
      <c r="L744" s="27"/>
      <c r="Q744" s="21"/>
      <c r="S744" s="21"/>
      <c r="T744" s="27"/>
      <c r="Y744" s="21"/>
      <c r="Z744" s="16"/>
    </row>
    <row r="745" ht="12.75" spans="1:26">
      <c r="A745" s="16"/>
      <c r="B745" s="1"/>
      <c r="C745" s="15"/>
      <c r="D745" s="16"/>
      <c r="E745" s="27"/>
      <c r="F745" s="21"/>
      <c r="G745" s="27"/>
      <c r="K745" s="21"/>
      <c r="L745" s="27"/>
      <c r="Q745" s="21"/>
      <c r="S745" s="21"/>
      <c r="T745" s="27"/>
      <c r="Y745" s="21"/>
      <c r="Z745" s="16"/>
    </row>
    <row r="746" ht="12.75" spans="1:26">
      <c r="A746" s="16"/>
      <c r="B746" s="1"/>
      <c r="C746" s="15"/>
      <c r="D746" s="16"/>
      <c r="E746" s="27"/>
      <c r="F746" s="21"/>
      <c r="G746" s="27"/>
      <c r="K746" s="21"/>
      <c r="L746" s="27"/>
      <c r="Q746" s="21"/>
      <c r="S746" s="21"/>
      <c r="T746" s="27"/>
      <c r="Y746" s="21"/>
      <c r="Z746" s="16"/>
    </row>
    <row r="747" ht="12.75" spans="1:26">
      <c r="A747" s="16"/>
      <c r="B747" s="1"/>
      <c r="C747" s="15"/>
      <c r="D747" s="16"/>
      <c r="E747" s="27"/>
      <c r="F747" s="21"/>
      <c r="G747" s="27"/>
      <c r="K747" s="21"/>
      <c r="L747" s="27"/>
      <c r="Q747" s="21"/>
      <c r="S747" s="21"/>
      <c r="T747" s="27"/>
      <c r="Y747" s="21"/>
      <c r="Z747" s="16"/>
    </row>
    <row r="748" ht="12.75" spans="1:26">
      <c r="A748" s="16"/>
      <c r="B748" s="1"/>
      <c r="C748" s="15"/>
      <c r="D748" s="16"/>
      <c r="E748" s="27"/>
      <c r="F748" s="21"/>
      <c r="G748" s="27"/>
      <c r="K748" s="21"/>
      <c r="L748" s="27"/>
      <c r="Q748" s="21"/>
      <c r="S748" s="21"/>
      <c r="T748" s="27"/>
      <c r="Y748" s="21"/>
      <c r="Z748" s="16"/>
    </row>
    <row r="749" ht="12.75" spans="1:26">
      <c r="A749" s="16"/>
      <c r="B749" s="1"/>
      <c r="C749" s="15"/>
      <c r="D749" s="16"/>
      <c r="E749" s="27"/>
      <c r="F749" s="21"/>
      <c r="G749" s="27"/>
      <c r="K749" s="21"/>
      <c r="L749" s="27"/>
      <c r="Q749" s="21"/>
      <c r="S749" s="21"/>
      <c r="T749" s="27"/>
      <c r="Y749" s="21"/>
      <c r="Z749" s="16"/>
    </row>
    <row r="750" ht="12.75" spans="1:26">
      <c r="A750" s="16"/>
      <c r="B750" s="1"/>
      <c r="C750" s="15"/>
      <c r="D750" s="16"/>
      <c r="E750" s="27"/>
      <c r="F750" s="21"/>
      <c r="G750" s="27"/>
      <c r="K750" s="21"/>
      <c r="L750" s="27"/>
      <c r="Q750" s="21"/>
      <c r="S750" s="21"/>
      <c r="T750" s="27"/>
      <c r="Y750" s="21"/>
      <c r="Z750" s="16"/>
    </row>
    <row r="751" ht="12.75" spans="1:26">
      <c r="A751" s="16"/>
      <c r="B751" s="1"/>
      <c r="C751" s="15"/>
      <c r="D751" s="16"/>
      <c r="E751" s="27"/>
      <c r="F751" s="21"/>
      <c r="G751" s="27"/>
      <c r="K751" s="21"/>
      <c r="L751" s="27"/>
      <c r="Q751" s="21"/>
      <c r="S751" s="21"/>
      <c r="T751" s="27"/>
      <c r="Y751" s="21"/>
      <c r="Z751" s="16"/>
    </row>
    <row r="752" ht="12.75" spans="1:26">
      <c r="A752" s="16"/>
      <c r="B752" s="1"/>
      <c r="C752" s="15"/>
      <c r="D752" s="16"/>
      <c r="E752" s="27"/>
      <c r="F752" s="21"/>
      <c r="G752" s="27"/>
      <c r="K752" s="21"/>
      <c r="L752" s="27"/>
      <c r="Q752" s="21"/>
      <c r="S752" s="21"/>
      <c r="T752" s="27"/>
      <c r="Y752" s="21"/>
      <c r="Z752" s="16"/>
    </row>
    <row r="753" ht="12.75" spans="1:26">
      <c r="A753" s="16"/>
      <c r="B753" s="1"/>
      <c r="C753" s="15"/>
      <c r="D753" s="16"/>
      <c r="E753" s="27"/>
      <c r="F753" s="21"/>
      <c r="G753" s="27"/>
      <c r="K753" s="21"/>
      <c r="L753" s="27"/>
      <c r="Q753" s="21"/>
      <c r="S753" s="21"/>
      <c r="T753" s="27"/>
      <c r="Y753" s="21"/>
      <c r="Z753" s="16"/>
    </row>
    <row r="754" ht="12.75" spans="1:26">
      <c r="A754" s="16"/>
      <c r="B754" s="1"/>
      <c r="C754" s="15"/>
      <c r="D754" s="16"/>
      <c r="E754" s="27"/>
      <c r="F754" s="21"/>
      <c r="G754" s="27"/>
      <c r="K754" s="21"/>
      <c r="L754" s="27"/>
      <c r="Q754" s="21"/>
      <c r="S754" s="21"/>
      <c r="T754" s="27"/>
      <c r="Y754" s="21"/>
      <c r="Z754" s="16"/>
    </row>
    <row r="755" ht="12.75" spans="1:26">
      <c r="A755" s="16"/>
      <c r="B755" s="1"/>
      <c r="C755" s="15"/>
      <c r="D755" s="16"/>
      <c r="E755" s="27"/>
      <c r="F755" s="21"/>
      <c r="G755" s="27"/>
      <c r="K755" s="21"/>
      <c r="L755" s="27"/>
      <c r="Q755" s="21"/>
      <c r="S755" s="21"/>
      <c r="T755" s="27"/>
      <c r="Y755" s="21"/>
      <c r="Z755" s="16"/>
    </row>
    <row r="756" ht="12.75" spans="1:26">
      <c r="A756" s="16"/>
      <c r="B756" s="1"/>
      <c r="C756" s="15"/>
      <c r="D756" s="16"/>
      <c r="E756" s="27"/>
      <c r="F756" s="21"/>
      <c r="G756" s="27"/>
      <c r="K756" s="21"/>
      <c r="L756" s="27"/>
      <c r="Q756" s="21"/>
      <c r="S756" s="21"/>
      <c r="T756" s="27"/>
      <c r="Y756" s="21"/>
      <c r="Z756" s="16"/>
    </row>
    <row r="757" ht="12.75" spans="1:26">
      <c r="A757" s="16"/>
      <c r="B757" s="1"/>
      <c r="C757" s="15"/>
      <c r="D757" s="16"/>
      <c r="E757" s="27"/>
      <c r="F757" s="21"/>
      <c r="G757" s="27"/>
      <c r="K757" s="21"/>
      <c r="L757" s="27"/>
      <c r="Q757" s="21"/>
      <c r="S757" s="21"/>
      <c r="T757" s="27"/>
      <c r="Y757" s="21"/>
      <c r="Z757" s="16"/>
    </row>
    <row r="758" ht="12.75" spans="1:26">
      <c r="A758" s="16"/>
      <c r="B758" s="1"/>
      <c r="C758" s="15"/>
      <c r="D758" s="16"/>
      <c r="E758" s="27"/>
      <c r="F758" s="21"/>
      <c r="G758" s="27"/>
      <c r="K758" s="21"/>
      <c r="L758" s="27"/>
      <c r="Q758" s="21"/>
      <c r="S758" s="21"/>
      <c r="T758" s="27"/>
      <c r="Y758" s="21"/>
      <c r="Z758" s="16"/>
    </row>
    <row r="759" ht="12.75" spans="1:26">
      <c r="A759" s="16"/>
      <c r="B759" s="1"/>
      <c r="C759" s="15"/>
      <c r="D759" s="16"/>
      <c r="E759" s="27"/>
      <c r="F759" s="21"/>
      <c r="G759" s="27"/>
      <c r="K759" s="21"/>
      <c r="L759" s="27"/>
      <c r="Q759" s="21"/>
      <c r="S759" s="21"/>
      <c r="T759" s="27"/>
      <c r="Y759" s="21"/>
      <c r="Z759" s="16"/>
    </row>
    <row r="760" ht="12.75" spans="1:26">
      <c r="A760" s="16"/>
      <c r="B760" s="1"/>
      <c r="C760" s="15"/>
      <c r="D760" s="16"/>
      <c r="E760" s="27"/>
      <c r="F760" s="21"/>
      <c r="G760" s="27"/>
      <c r="K760" s="21"/>
      <c r="L760" s="27"/>
      <c r="Q760" s="21"/>
      <c r="S760" s="21"/>
      <c r="T760" s="27"/>
      <c r="Y760" s="21"/>
      <c r="Z760" s="16"/>
    </row>
    <row r="761" ht="12.75" spans="1:26">
      <c r="A761" s="16"/>
      <c r="B761" s="1"/>
      <c r="C761" s="15"/>
      <c r="D761" s="16"/>
      <c r="E761" s="27"/>
      <c r="F761" s="21"/>
      <c r="G761" s="27"/>
      <c r="K761" s="21"/>
      <c r="L761" s="27"/>
      <c r="Q761" s="21"/>
      <c r="S761" s="21"/>
      <c r="T761" s="27"/>
      <c r="Y761" s="21"/>
      <c r="Z761" s="16"/>
    </row>
    <row r="762" ht="12.75" spans="1:26">
      <c r="A762" s="16"/>
      <c r="B762" s="1"/>
      <c r="C762" s="15"/>
      <c r="D762" s="16"/>
      <c r="E762" s="27"/>
      <c r="F762" s="21"/>
      <c r="G762" s="27"/>
      <c r="K762" s="21"/>
      <c r="L762" s="27"/>
      <c r="Q762" s="21"/>
      <c r="S762" s="21"/>
      <c r="T762" s="27"/>
      <c r="Y762" s="21"/>
      <c r="Z762" s="16"/>
    </row>
    <row r="763" ht="12.75" spans="1:26">
      <c r="A763" s="16"/>
      <c r="B763" s="1"/>
      <c r="C763" s="15"/>
      <c r="D763" s="16"/>
      <c r="E763" s="27"/>
      <c r="F763" s="21"/>
      <c r="G763" s="27"/>
      <c r="K763" s="21"/>
      <c r="L763" s="27"/>
      <c r="Q763" s="21"/>
      <c r="S763" s="21"/>
      <c r="T763" s="27"/>
      <c r="Y763" s="21"/>
      <c r="Z763" s="16"/>
    </row>
    <row r="764" ht="12.75" spans="1:26">
      <c r="A764" s="16"/>
      <c r="B764" s="1"/>
      <c r="C764" s="15"/>
      <c r="D764" s="16"/>
      <c r="E764" s="27"/>
      <c r="F764" s="21"/>
      <c r="G764" s="27"/>
      <c r="K764" s="21"/>
      <c r="L764" s="27"/>
      <c r="Q764" s="21"/>
      <c r="S764" s="21"/>
      <c r="T764" s="27"/>
      <c r="Y764" s="21"/>
      <c r="Z764" s="16"/>
    </row>
    <row r="765" ht="12.75" spans="1:26">
      <c r="A765" s="16"/>
      <c r="B765" s="1"/>
      <c r="C765" s="15"/>
      <c r="D765" s="16"/>
      <c r="E765" s="27"/>
      <c r="F765" s="21"/>
      <c r="G765" s="27"/>
      <c r="K765" s="21"/>
      <c r="L765" s="27"/>
      <c r="Q765" s="21"/>
      <c r="S765" s="21"/>
      <c r="T765" s="27"/>
      <c r="Y765" s="21"/>
      <c r="Z765" s="16"/>
    </row>
    <row r="766" ht="12.75" spans="1:26">
      <c r="A766" s="16"/>
      <c r="B766" s="1"/>
      <c r="C766" s="15"/>
      <c r="D766" s="16"/>
      <c r="E766" s="27"/>
      <c r="F766" s="21"/>
      <c r="G766" s="27"/>
      <c r="K766" s="21"/>
      <c r="L766" s="27"/>
      <c r="Q766" s="21"/>
      <c r="S766" s="21"/>
      <c r="T766" s="27"/>
      <c r="Y766" s="21"/>
      <c r="Z766" s="16"/>
    </row>
    <row r="767" ht="12.75" spans="1:26">
      <c r="A767" s="16"/>
      <c r="B767" s="1"/>
      <c r="C767" s="15"/>
      <c r="D767" s="16"/>
      <c r="E767" s="27"/>
      <c r="F767" s="21"/>
      <c r="G767" s="27"/>
      <c r="K767" s="21"/>
      <c r="L767" s="27"/>
      <c r="Q767" s="21"/>
      <c r="S767" s="21"/>
      <c r="T767" s="27"/>
      <c r="Y767" s="21"/>
      <c r="Z767" s="16"/>
    </row>
    <row r="768" ht="12.75" spans="1:26">
      <c r="A768" s="16"/>
      <c r="B768" s="1"/>
      <c r="C768" s="15"/>
      <c r="D768" s="16"/>
      <c r="E768" s="27"/>
      <c r="F768" s="21"/>
      <c r="G768" s="27"/>
      <c r="K768" s="21"/>
      <c r="L768" s="27"/>
      <c r="Q768" s="21"/>
      <c r="S768" s="21"/>
      <c r="T768" s="27"/>
      <c r="Y768" s="21"/>
      <c r="Z768" s="16"/>
    </row>
    <row r="769" ht="12.75" spans="1:26">
      <c r="A769" s="16"/>
      <c r="B769" s="1"/>
      <c r="C769" s="15"/>
      <c r="D769" s="16"/>
      <c r="E769" s="27"/>
      <c r="F769" s="21"/>
      <c r="G769" s="27"/>
      <c r="K769" s="21"/>
      <c r="L769" s="27"/>
      <c r="Q769" s="21"/>
      <c r="S769" s="21"/>
      <c r="T769" s="27"/>
      <c r="Y769" s="21"/>
      <c r="Z769" s="16"/>
    </row>
    <row r="770" ht="12.75" spans="1:26">
      <c r="A770" s="16"/>
      <c r="B770" s="1"/>
      <c r="C770" s="15"/>
      <c r="D770" s="16"/>
      <c r="E770" s="27"/>
      <c r="F770" s="21"/>
      <c r="G770" s="27"/>
      <c r="K770" s="21"/>
      <c r="L770" s="27"/>
      <c r="Q770" s="21"/>
      <c r="S770" s="21"/>
      <c r="T770" s="27"/>
      <c r="Y770" s="21"/>
      <c r="Z770" s="16"/>
    </row>
    <row r="771" ht="12.75" spans="1:26">
      <c r="A771" s="16"/>
      <c r="B771" s="1"/>
      <c r="C771" s="15"/>
      <c r="D771" s="16"/>
      <c r="E771" s="27"/>
      <c r="F771" s="21"/>
      <c r="G771" s="27"/>
      <c r="K771" s="21"/>
      <c r="L771" s="27"/>
      <c r="Q771" s="21"/>
      <c r="S771" s="21"/>
      <c r="T771" s="27"/>
      <c r="Y771" s="21"/>
      <c r="Z771" s="16"/>
    </row>
    <row r="772" ht="12.75" spans="1:26">
      <c r="A772" s="16"/>
      <c r="B772" s="1"/>
      <c r="C772" s="15"/>
      <c r="D772" s="16"/>
      <c r="E772" s="27"/>
      <c r="F772" s="21"/>
      <c r="G772" s="27"/>
      <c r="K772" s="21"/>
      <c r="L772" s="27"/>
      <c r="Q772" s="21"/>
      <c r="S772" s="21"/>
      <c r="T772" s="27"/>
      <c r="Y772" s="21"/>
      <c r="Z772" s="16"/>
    </row>
    <row r="773" ht="12.75" spans="1:26">
      <c r="A773" s="16"/>
      <c r="B773" s="1"/>
      <c r="C773" s="15"/>
      <c r="D773" s="16"/>
      <c r="E773" s="27"/>
      <c r="F773" s="21"/>
      <c r="G773" s="27"/>
      <c r="K773" s="21"/>
      <c r="L773" s="27"/>
      <c r="Q773" s="21"/>
      <c r="S773" s="21"/>
      <c r="T773" s="27"/>
      <c r="Y773" s="21"/>
      <c r="Z773" s="16"/>
    </row>
    <row r="774" ht="12.75" spans="1:26">
      <c r="A774" s="16"/>
      <c r="B774" s="1"/>
      <c r="C774" s="15"/>
      <c r="D774" s="16"/>
      <c r="E774" s="27"/>
      <c r="F774" s="21"/>
      <c r="G774" s="27"/>
      <c r="K774" s="21"/>
      <c r="L774" s="27"/>
      <c r="Q774" s="21"/>
      <c r="S774" s="21"/>
      <c r="T774" s="27"/>
      <c r="Y774" s="21"/>
      <c r="Z774" s="16"/>
    </row>
    <row r="775" ht="12.75" spans="1:26">
      <c r="A775" s="16"/>
      <c r="B775" s="1"/>
      <c r="C775" s="15"/>
      <c r="D775" s="16"/>
      <c r="E775" s="27"/>
      <c r="F775" s="21"/>
      <c r="G775" s="27"/>
      <c r="K775" s="21"/>
      <c r="L775" s="27"/>
      <c r="Q775" s="21"/>
      <c r="S775" s="21"/>
      <c r="T775" s="27"/>
      <c r="Y775" s="21"/>
      <c r="Z775" s="16"/>
    </row>
    <row r="776" ht="12.75" spans="1:26">
      <c r="A776" s="16"/>
      <c r="B776" s="1"/>
      <c r="C776" s="15"/>
      <c r="D776" s="16"/>
      <c r="E776" s="27"/>
      <c r="F776" s="21"/>
      <c r="G776" s="27"/>
      <c r="K776" s="21"/>
      <c r="L776" s="27"/>
      <c r="Q776" s="21"/>
      <c r="S776" s="21"/>
      <c r="T776" s="27"/>
      <c r="Y776" s="21"/>
      <c r="Z776" s="16"/>
    </row>
    <row r="777" ht="12.75" spans="1:26">
      <c r="A777" s="16"/>
      <c r="B777" s="1"/>
      <c r="C777" s="15"/>
      <c r="D777" s="16"/>
      <c r="E777" s="27"/>
      <c r="F777" s="21"/>
      <c r="G777" s="27"/>
      <c r="K777" s="21"/>
      <c r="L777" s="27"/>
      <c r="Q777" s="21"/>
      <c r="S777" s="21"/>
      <c r="T777" s="27"/>
      <c r="Y777" s="21"/>
      <c r="Z777" s="16"/>
    </row>
    <row r="778" ht="12.75" spans="1:26">
      <c r="A778" s="16"/>
      <c r="B778" s="1"/>
      <c r="C778" s="15"/>
      <c r="D778" s="16"/>
      <c r="E778" s="27"/>
      <c r="F778" s="21"/>
      <c r="G778" s="27"/>
      <c r="K778" s="21"/>
      <c r="L778" s="27"/>
      <c r="Q778" s="21"/>
      <c r="S778" s="21"/>
      <c r="T778" s="27"/>
      <c r="Y778" s="21"/>
      <c r="Z778" s="16"/>
    </row>
    <row r="779" ht="12.75" spans="1:26">
      <c r="A779" s="16"/>
      <c r="B779" s="1"/>
      <c r="C779" s="15"/>
      <c r="D779" s="16"/>
      <c r="E779" s="27"/>
      <c r="F779" s="21"/>
      <c r="G779" s="27"/>
      <c r="K779" s="21"/>
      <c r="L779" s="27"/>
      <c r="Q779" s="21"/>
      <c r="S779" s="21"/>
      <c r="T779" s="27"/>
      <c r="Y779" s="21"/>
      <c r="Z779" s="16"/>
    </row>
    <row r="780" ht="12.75" spans="1:26">
      <c r="A780" s="16"/>
      <c r="B780" s="1"/>
      <c r="C780" s="15"/>
      <c r="D780" s="16"/>
      <c r="E780" s="27"/>
      <c r="F780" s="21"/>
      <c r="G780" s="27"/>
      <c r="K780" s="21"/>
      <c r="L780" s="27"/>
      <c r="Q780" s="21"/>
      <c r="S780" s="21"/>
      <c r="T780" s="27"/>
      <c r="Y780" s="21"/>
      <c r="Z780" s="16"/>
    </row>
    <row r="781" ht="12.75" spans="1:26">
      <c r="A781" s="16"/>
      <c r="B781" s="1"/>
      <c r="C781" s="15"/>
      <c r="D781" s="16"/>
      <c r="E781" s="27"/>
      <c r="F781" s="21"/>
      <c r="G781" s="27"/>
      <c r="K781" s="21"/>
      <c r="L781" s="27"/>
      <c r="Q781" s="21"/>
      <c r="S781" s="21"/>
      <c r="T781" s="27"/>
      <c r="Y781" s="21"/>
      <c r="Z781" s="16"/>
    </row>
    <row r="782" ht="12.75" spans="1:26">
      <c r="A782" s="16"/>
      <c r="B782" s="1"/>
      <c r="C782" s="15"/>
      <c r="D782" s="16"/>
      <c r="E782" s="27"/>
      <c r="F782" s="21"/>
      <c r="G782" s="27"/>
      <c r="K782" s="21"/>
      <c r="L782" s="27"/>
      <c r="Q782" s="21"/>
      <c r="S782" s="21"/>
      <c r="T782" s="27"/>
      <c r="Y782" s="21"/>
      <c r="Z782" s="16"/>
    </row>
    <row r="783" ht="12.75" spans="1:26">
      <c r="A783" s="16"/>
      <c r="B783" s="1"/>
      <c r="C783" s="15"/>
      <c r="D783" s="16"/>
      <c r="E783" s="27"/>
      <c r="F783" s="21"/>
      <c r="G783" s="27"/>
      <c r="K783" s="21"/>
      <c r="L783" s="27"/>
      <c r="Q783" s="21"/>
      <c r="S783" s="21"/>
      <c r="T783" s="27"/>
      <c r="Y783" s="21"/>
      <c r="Z783" s="16"/>
    </row>
    <row r="784" ht="12.75" spans="1:26">
      <c r="A784" s="16"/>
      <c r="B784" s="1"/>
      <c r="C784" s="15"/>
      <c r="D784" s="16"/>
      <c r="E784" s="27"/>
      <c r="F784" s="21"/>
      <c r="G784" s="27"/>
      <c r="K784" s="21"/>
      <c r="L784" s="27"/>
      <c r="Q784" s="21"/>
      <c r="S784" s="21"/>
      <c r="T784" s="27"/>
      <c r="Y784" s="21"/>
      <c r="Z784" s="16"/>
    </row>
    <row r="785" ht="12.75" spans="1:26">
      <c r="A785" s="16"/>
      <c r="B785" s="1"/>
      <c r="C785" s="15"/>
      <c r="D785" s="16"/>
      <c r="E785" s="27"/>
      <c r="F785" s="21"/>
      <c r="G785" s="27"/>
      <c r="K785" s="21"/>
      <c r="L785" s="27"/>
      <c r="Q785" s="21"/>
      <c r="S785" s="21"/>
      <c r="T785" s="27"/>
      <c r="Y785" s="21"/>
      <c r="Z785" s="16"/>
    </row>
    <row r="786" ht="12.75" spans="1:26">
      <c r="A786" s="16"/>
      <c r="B786" s="1"/>
      <c r="C786" s="15"/>
      <c r="D786" s="16"/>
      <c r="E786" s="27"/>
      <c r="F786" s="21"/>
      <c r="G786" s="27"/>
      <c r="K786" s="21"/>
      <c r="L786" s="27"/>
      <c r="Q786" s="21"/>
      <c r="S786" s="21"/>
      <c r="T786" s="27"/>
      <c r="Y786" s="21"/>
      <c r="Z786" s="16"/>
    </row>
    <row r="787" ht="12.75" spans="1:26">
      <c r="A787" s="16"/>
      <c r="B787" s="1"/>
      <c r="C787" s="15"/>
      <c r="D787" s="16"/>
      <c r="E787" s="27"/>
      <c r="F787" s="21"/>
      <c r="G787" s="27"/>
      <c r="K787" s="21"/>
      <c r="L787" s="27"/>
      <c r="Q787" s="21"/>
      <c r="S787" s="21"/>
      <c r="T787" s="27"/>
      <c r="Y787" s="21"/>
      <c r="Z787" s="16"/>
    </row>
    <row r="788" ht="12.75" spans="1:26">
      <c r="A788" s="16"/>
      <c r="B788" s="1"/>
      <c r="C788" s="15"/>
      <c r="D788" s="16"/>
      <c r="E788" s="27"/>
      <c r="F788" s="21"/>
      <c r="G788" s="27"/>
      <c r="K788" s="21"/>
      <c r="L788" s="27"/>
      <c r="Q788" s="21"/>
      <c r="S788" s="21"/>
      <c r="T788" s="27"/>
      <c r="Y788" s="21"/>
      <c r="Z788" s="16"/>
    </row>
    <row r="789" ht="12.75" spans="1:26">
      <c r="A789" s="16"/>
      <c r="B789" s="1"/>
      <c r="C789" s="15"/>
      <c r="D789" s="16"/>
      <c r="E789" s="27"/>
      <c r="F789" s="21"/>
      <c r="G789" s="27"/>
      <c r="K789" s="21"/>
      <c r="L789" s="27"/>
      <c r="Q789" s="21"/>
      <c r="S789" s="21"/>
      <c r="T789" s="27"/>
      <c r="Y789" s="21"/>
      <c r="Z789" s="16"/>
    </row>
    <row r="790" ht="12.75" spans="1:26">
      <c r="A790" s="16"/>
      <c r="B790" s="1"/>
      <c r="C790" s="15"/>
      <c r="D790" s="16"/>
      <c r="E790" s="27"/>
      <c r="F790" s="21"/>
      <c r="G790" s="27"/>
      <c r="K790" s="21"/>
      <c r="L790" s="27"/>
      <c r="Q790" s="21"/>
      <c r="S790" s="21"/>
      <c r="T790" s="27"/>
      <c r="Y790" s="21"/>
      <c r="Z790" s="16"/>
    </row>
    <row r="791" ht="12.75" spans="1:26">
      <c r="A791" s="16"/>
      <c r="B791" s="1"/>
      <c r="C791" s="15"/>
      <c r="D791" s="16"/>
      <c r="E791" s="27"/>
      <c r="F791" s="21"/>
      <c r="G791" s="27"/>
      <c r="K791" s="21"/>
      <c r="L791" s="27"/>
      <c r="Q791" s="21"/>
      <c r="S791" s="21"/>
      <c r="T791" s="27"/>
      <c r="Y791" s="21"/>
      <c r="Z791" s="16"/>
    </row>
    <row r="792" ht="12.75" spans="1:26">
      <c r="A792" s="16"/>
      <c r="B792" s="1"/>
      <c r="C792" s="15"/>
      <c r="D792" s="16"/>
      <c r="E792" s="27"/>
      <c r="F792" s="21"/>
      <c r="G792" s="27"/>
      <c r="K792" s="21"/>
      <c r="L792" s="27"/>
      <c r="Q792" s="21"/>
      <c r="S792" s="21"/>
      <c r="T792" s="27"/>
      <c r="Y792" s="21"/>
      <c r="Z792" s="16"/>
    </row>
    <row r="793" ht="12.75" spans="1:26">
      <c r="A793" s="16"/>
      <c r="B793" s="1"/>
      <c r="C793" s="15"/>
      <c r="D793" s="16"/>
      <c r="E793" s="27"/>
      <c r="F793" s="21"/>
      <c r="G793" s="27"/>
      <c r="K793" s="21"/>
      <c r="L793" s="27"/>
      <c r="Q793" s="21"/>
      <c r="S793" s="21"/>
      <c r="T793" s="27"/>
      <c r="Y793" s="21"/>
      <c r="Z793" s="16"/>
    </row>
    <row r="794" ht="12.75" spans="1:26">
      <c r="A794" s="16"/>
      <c r="B794" s="1"/>
      <c r="C794" s="15"/>
      <c r="D794" s="16"/>
      <c r="E794" s="27"/>
      <c r="F794" s="21"/>
      <c r="G794" s="27"/>
      <c r="K794" s="21"/>
      <c r="L794" s="27"/>
      <c r="Q794" s="21"/>
      <c r="S794" s="21"/>
      <c r="T794" s="27"/>
      <c r="Y794" s="21"/>
      <c r="Z794" s="16"/>
    </row>
    <row r="795" ht="12.75" spans="1:26">
      <c r="A795" s="16"/>
      <c r="B795" s="1"/>
      <c r="C795" s="15"/>
      <c r="D795" s="16"/>
      <c r="E795" s="27"/>
      <c r="F795" s="21"/>
      <c r="G795" s="27"/>
      <c r="K795" s="21"/>
      <c r="L795" s="27"/>
      <c r="Q795" s="21"/>
      <c r="S795" s="21"/>
      <c r="T795" s="27"/>
      <c r="Y795" s="21"/>
      <c r="Z795" s="16"/>
    </row>
    <row r="796" ht="12.75" spans="1:26">
      <c r="A796" s="16"/>
      <c r="B796" s="1"/>
      <c r="C796" s="15"/>
      <c r="D796" s="16"/>
      <c r="E796" s="27"/>
      <c r="F796" s="21"/>
      <c r="G796" s="27"/>
      <c r="K796" s="21"/>
      <c r="L796" s="27"/>
      <c r="Q796" s="21"/>
      <c r="S796" s="21"/>
      <c r="T796" s="27"/>
      <c r="Y796" s="21"/>
      <c r="Z796" s="16"/>
    </row>
    <row r="797" ht="12.75" spans="1:26">
      <c r="A797" s="16"/>
      <c r="B797" s="1"/>
      <c r="C797" s="15"/>
      <c r="D797" s="16"/>
      <c r="E797" s="27"/>
      <c r="F797" s="21"/>
      <c r="G797" s="27"/>
      <c r="K797" s="21"/>
      <c r="L797" s="27"/>
      <c r="Q797" s="21"/>
      <c r="S797" s="21"/>
      <c r="T797" s="27"/>
      <c r="Y797" s="21"/>
      <c r="Z797" s="16"/>
    </row>
    <row r="798" ht="12.75" spans="1:26">
      <c r="A798" s="16"/>
      <c r="B798" s="1"/>
      <c r="C798" s="15"/>
      <c r="D798" s="16"/>
      <c r="E798" s="27"/>
      <c r="F798" s="21"/>
      <c r="G798" s="27"/>
      <c r="K798" s="21"/>
      <c r="L798" s="27"/>
      <c r="Q798" s="21"/>
      <c r="S798" s="21"/>
      <c r="T798" s="27"/>
      <c r="Y798" s="21"/>
      <c r="Z798" s="16"/>
    </row>
    <row r="799" ht="12.75" spans="1:26">
      <c r="A799" s="16"/>
      <c r="B799" s="1"/>
      <c r="C799" s="15"/>
      <c r="D799" s="16"/>
      <c r="E799" s="27"/>
      <c r="F799" s="21"/>
      <c r="G799" s="27"/>
      <c r="K799" s="21"/>
      <c r="L799" s="27"/>
      <c r="Q799" s="21"/>
      <c r="S799" s="21"/>
      <c r="T799" s="27"/>
      <c r="Y799" s="21"/>
      <c r="Z799" s="16"/>
    </row>
    <row r="800" ht="12.75" spans="1:26">
      <c r="A800" s="16"/>
      <c r="B800" s="1"/>
      <c r="C800" s="15"/>
      <c r="D800" s="16"/>
      <c r="E800" s="27"/>
      <c r="F800" s="21"/>
      <c r="G800" s="27"/>
      <c r="K800" s="21"/>
      <c r="L800" s="27"/>
      <c r="Q800" s="21"/>
      <c r="S800" s="21"/>
      <c r="T800" s="27"/>
      <c r="Y800" s="21"/>
      <c r="Z800" s="16"/>
    </row>
    <row r="801" ht="12.75" spans="1:26">
      <c r="A801" s="16"/>
      <c r="B801" s="1"/>
      <c r="C801" s="15"/>
      <c r="D801" s="16"/>
      <c r="E801" s="27"/>
      <c r="F801" s="21"/>
      <c r="G801" s="27"/>
      <c r="K801" s="21"/>
      <c r="L801" s="27"/>
      <c r="Q801" s="21"/>
      <c r="S801" s="21"/>
      <c r="T801" s="27"/>
      <c r="Y801" s="21"/>
      <c r="Z801" s="16"/>
    </row>
    <row r="802" ht="12.75" spans="1:26">
      <c r="A802" s="16"/>
      <c r="B802" s="1"/>
      <c r="C802" s="15"/>
      <c r="D802" s="16"/>
      <c r="E802" s="27"/>
      <c r="F802" s="21"/>
      <c r="G802" s="27"/>
      <c r="K802" s="21"/>
      <c r="L802" s="27"/>
      <c r="Q802" s="21"/>
      <c r="S802" s="21"/>
      <c r="T802" s="27"/>
      <c r="Y802" s="21"/>
      <c r="Z802" s="16"/>
    </row>
    <row r="803" ht="12.75" spans="1:26">
      <c r="A803" s="16"/>
      <c r="B803" s="1"/>
      <c r="C803" s="15"/>
      <c r="D803" s="16"/>
      <c r="E803" s="27"/>
      <c r="F803" s="21"/>
      <c r="G803" s="27"/>
      <c r="K803" s="21"/>
      <c r="L803" s="27"/>
      <c r="Q803" s="21"/>
      <c r="S803" s="21"/>
      <c r="T803" s="27"/>
      <c r="Y803" s="21"/>
      <c r="Z803" s="16"/>
    </row>
    <row r="804" ht="12.75" spans="1:26">
      <c r="A804" s="16"/>
      <c r="B804" s="1"/>
      <c r="C804" s="15"/>
      <c r="D804" s="16"/>
      <c r="E804" s="27"/>
      <c r="F804" s="21"/>
      <c r="G804" s="27"/>
      <c r="K804" s="21"/>
      <c r="L804" s="27"/>
      <c r="Q804" s="21"/>
      <c r="S804" s="21"/>
      <c r="T804" s="27"/>
      <c r="Y804" s="21"/>
      <c r="Z804" s="16"/>
    </row>
    <row r="805" ht="12.75" spans="1:26">
      <c r="A805" s="16"/>
      <c r="B805" s="1"/>
      <c r="C805" s="15"/>
      <c r="D805" s="16"/>
      <c r="E805" s="27"/>
      <c r="F805" s="21"/>
      <c r="G805" s="27"/>
      <c r="K805" s="21"/>
      <c r="L805" s="27"/>
      <c r="Q805" s="21"/>
      <c r="S805" s="21"/>
      <c r="T805" s="27"/>
      <c r="Y805" s="21"/>
      <c r="Z805" s="16"/>
    </row>
    <row r="806" ht="12.75" spans="1:26">
      <c r="A806" s="16"/>
      <c r="B806" s="1"/>
      <c r="C806" s="15"/>
      <c r="D806" s="16"/>
      <c r="E806" s="27"/>
      <c r="F806" s="21"/>
      <c r="G806" s="27"/>
      <c r="K806" s="21"/>
      <c r="L806" s="27"/>
      <c r="Q806" s="21"/>
      <c r="S806" s="21"/>
      <c r="T806" s="27"/>
      <c r="Y806" s="21"/>
      <c r="Z806" s="16"/>
    </row>
    <row r="807" ht="12.75" spans="1:26">
      <c r="A807" s="16"/>
      <c r="B807" s="1"/>
      <c r="C807" s="15"/>
      <c r="D807" s="16"/>
      <c r="E807" s="27"/>
      <c r="F807" s="21"/>
      <c r="G807" s="27"/>
      <c r="K807" s="21"/>
      <c r="L807" s="27"/>
      <c r="Q807" s="21"/>
      <c r="S807" s="21"/>
      <c r="T807" s="27"/>
      <c r="Y807" s="21"/>
      <c r="Z807" s="16"/>
    </row>
    <row r="808" ht="12.75" spans="1:26">
      <c r="A808" s="16"/>
      <c r="B808" s="1"/>
      <c r="C808" s="15"/>
      <c r="D808" s="16"/>
      <c r="E808" s="27"/>
      <c r="F808" s="21"/>
      <c r="G808" s="27"/>
      <c r="K808" s="21"/>
      <c r="L808" s="27"/>
      <c r="Q808" s="21"/>
      <c r="S808" s="21"/>
      <c r="T808" s="27"/>
      <c r="Y808" s="21"/>
      <c r="Z808" s="16"/>
    </row>
    <row r="809" ht="12.75" spans="1:26">
      <c r="A809" s="16"/>
      <c r="B809" s="1"/>
      <c r="C809" s="15"/>
      <c r="D809" s="16"/>
      <c r="E809" s="27"/>
      <c r="F809" s="21"/>
      <c r="G809" s="27"/>
      <c r="K809" s="21"/>
      <c r="L809" s="27"/>
      <c r="Q809" s="21"/>
      <c r="S809" s="21"/>
      <c r="T809" s="27"/>
      <c r="Y809" s="21"/>
      <c r="Z809" s="16"/>
    </row>
    <row r="810" ht="12.75" spans="1:26">
      <c r="A810" s="16"/>
      <c r="B810" s="1"/>
      <c r="C810" s="15"/>
      <c r="D810" s="16"/>
      <c r="E810" s="27"/>
      <c r="F810" s="21"/>
      <c r="G810" s="27"/>
      <c r="K810" s="21"/>
      <c r="L810" s="27"/>
      <c r="Q810" s="21"/>
      <c r="S810" s="21"/>
      <c r="T810" s="27"/>
      <c r="Y810" s="21"/>
      <c r="Z810" s="16"/>
    </row>
    <row r="811" ht="12.75" spans="1:26">
      <c r="A811" s="16"/>
      <c r="B811" s="1"/>
      <c r="C811" s="15"/>
      <c r="D811" s="16"/>
      <c r="E811" s="27"/>
      <c r="F811" s="21"/>
      <c r="G811" s="27"/>
      <c r="K811" s="21"/>
      <c r="L811" s="27"/>
      <c r="Q811" s="21"/>
      <c r="S811" s="21"/>
      <c r="T811" s="27"/>
      <c r="Y811" s="21"/>
      <c r="Z811" s="16"/>
    </row>
    <row r="812" ht="12.75" spans="1:26">
      <c r="A812" s="16"/>
      <c r="B812" s="1"/>
      <c r="C812" s="15"/>
      <c r="D812" s="16"/>
      <c r="E812" s="27"/>
      <c r="F812" s="21"/>
      <c r="G812" s="27"/>
      <c r="K812" s="21"/>
      <c r="L812" s="27"/>
      <c r="Q812" s="21"/>
      <c r="S812" s="21"/>
      <c r="T812" s="27"/>
      <c r="Y812" s="21"/>
      <c r="Z812" s="16"/>
    </row>
    <row r="813" ht="12.75" spans="1:26">
      <c r="A813" s="16"/>
      <c r="B813" s="1"/>
      <c r="C813" s="15"/>
      <c r="D813" s="16"/>
      <c r="E813" s="27"/>
      <c r="F813" s="21"/>
      <c r="G813" s="27"/>
      <c r="K813" s="21"/>
      <c r="L813" s="27"/>
      <c r="Q813" s="21"/>
      <c r="S813" s="21"/>
      <c r="T813" s="27"/>
      <c r="Y813" s="21"/>
      <c r="Z813" s="16"/>
    </row>
    <row r="814" ht="12.75" spans="1:26">
      <c r="A814" s="16"/>
      <c r="B814" s="1"/>
      <c r="C814" s="15"/>
      <c r="D814" s="16"/>
      <c r="E814" s="27"/>
      <c r="F814" s="21"/>
      <c r="G814" s="27"/>
      <c r="K814" s="21"/>
      <c r="L814" s="27"/>
      <c r="Q814" s="21"/>
      <c r="S814" s="21"/>
      <c r="T814" s="27"/>
      <c r="Y814" s="21"/>
      <c r="Z814" s="16"/>
    </row>
    <row r="815" ht="12.75" spans="1:26">
      <c r="A815" s="16"/>
      <c r="B815" s="1"/>
      <c r="C815" s="15"/>
      <c r="D815" s="16"/>
      <c r="E815" s="27"/>
      <c r="F815" s="21"/>
      <c r="G815" s="27"/>
      <c r="K815" s="21"/>
      <c r="L815" s="27"/>
      <c r="Q815" s="21"/>
      <c r="S815" s="21"/>
      <c r="T815" s="27"/>
      <c r="Y815" s="21"/>
      <c r="Z815" s="16"/>
    </row>
    <row r="816" ht="12.75" spans="1:26">
      <c r="A816" s="16"/>
      <c r="B816" s="1"/>
      <c r="C816" s="15"/>
      <c r="D816" s="16"/>
      <c r="E816" s="27"/>
      <c r="F816" s="21"/>
      <c r="G816" s="27"/>
      <c r="K816" s="21"/>
      <c r="L816" s="27"/>
      <c r="Q816" s="21"/>
      <c r="S816" s="21"/>
      <c r="T816" s="27"/>
      <c r="Y816" s="21"/>
      <c r="Z816" s="16"/>
    </row>
    <row r="817" ht="12.75" spans="1:26">
      <c r="A817" s="16"/>
      <c r="B817" s="1"/>
      <c r="C817" s="15"/>
      <c r="D817" s="16"/>
      <c r="E817" s="27"/>
      <c r="F817" s="21"/>
      <c r="G817" s="27"/>
      <c r="K817" s="21"/>
      <c r="L817" s="27"/>
      <c r="Q817" s="21"/>
      <c r="S817" s="21"/>
      <c r="T817" s="27"/>
      <c r="Y817" s="21"/>
      <c r="Z817" s="16"/>
    </row>
    <row r="818" ht="12.75" spans="1:26">
      <c r="A818" s="16"/>
      <c r="B818" s="1"/>
      <c r="C818" s="15"/>
      <c r="D818" s="16"/>
      <c r="E818" s="27"/>
      <c r="F818" s="21"/>
      <c r="G818" s="27"/>
      <c r="K818" s="21"/>
      <c r="L818" s="27"/>
      <c r="Q818" s="21"/>
      <c r="S818" s="21"/>
      <c r="T818" s="27"/>
      <c r="Y818" s="21"/>
      <c r="Z818" s="16"/>
    </row>
    <row r="819" ht="12.75" spans="1:26">
      <c r="A819" s="16"/>
      <c r="B819" s="1"/>
      <c r="C819" s="15"/>
      <c r="D819" s="16"/>
      <c r="E819" s="27"/>
      <c r="F819" s="21"/>
      <c r="G819" s="27"/>
      <c r="K819" s="21"/>
      <c r="L819" s="27"/>
      <c r="Q819" s="21"/>
      <c r="S819" s="21"/>
      <c r="T819" s="27"/>
      <c r="Y819" s="21"/>
      <c r="Z819" s="16"/>
    </row>
    <row r="820" ht="12.75" spans="1:26">
      <c r="A820" s="16"/>
      <c r="B820" s="1"/>
      <c r="C820" s="15"/>
      <c r="D820" s="16"/>
      <c r="E820" s="27"/>
      <c r="F820" s="21"/>
      <c r="G820" s="27"/>
      <c r="K820" s="21"/>
      <c r="L820" s="27"/>
      <c r="Q820" s="21"/>
      <c r="S820" s="21"/>
      <c r="T820" s="27"/>
      <c r="Y820" s="21"/>
      <c r="Z820" s="16"/>
    </row>
    <row r="821" ht="12.75" spans="1:26">
      <c r="A821" s="16"/>
      <c r="B821" s="1"/>
      <c r="C821" s="15"/>
      <c r="D821" s="16"/>
      <c r="E821" s="27"/>
      <c r="F821" s="21"/>
      <c r="G821" s="27"/>
      <c r="K821" s="21"/>
      <c r="L821" s="27"/>
      <c r="Q821" s="21"/>
      <c r="S821" s="21"/>
      <c r="T821" s="27"/>
      <c r="Y821" s="21"/>
      <c r="Z821" s="16"/>
    </row>
    <row r="822" ht="12.75" spans="1:26">
      <c r="A822" s="16"/>
      <c r="B822" s="1"/>
      <c r="C822" s="15"/>
      <c r="D822" s="16"/>
      <c r="E822" s="27"/>
      <c r="F822" s="21"/>
      <c r="G822" s="27"/>
      <c r="K822" s="21"/>
      <c r="L822" s="27"/>
      <c r="Q822" s="21"/>
      <c r="S822" s="21"/>
      <c r="T822" s="27"/>
      <c r="Y822" s="21"/>
      <c r="Z822" s="16"/>
    </row>
    <row r="823" ht="12.75" spans="1:26">
      <c r="A823" s="16"/>
      <c r="B823" s="1"/>
      <c r="C823" s="15"/>
      <c r="D823" s="16"/>
      <c r="E823" s="27"/>
      <c r="F823" s="21"/>
      <c r="G823" s="27"/>
      <c r="K823" s="21"/>
      <c r="L823" s="27"/>
      <c r="Q823" s="21"/>
      <c r="S823" s="21"/>
      <c r="T823" s="27"/>
      <c r="Y823" s="21"/>
      <c r="Z823" s="16"/>
    </row>
    <row r="824" ht="12.75" spans="1:26">
      <c r="A824" s="16"/>
      <c r="B824" s="1"/>
      <c r="C824" s="15"/>
      <c r="D824" s="16"/>
      <c r="E824" s="27"/>
      <c r="F824" s="21"/>
      <c r="G824" s="27"/>
      <c r="K824" s="21"/>
      <c r="L824" s="27"/>
      <c r="Q824" s="21"/>
      <c r="S824" s="21"/>
      <c r="T824" s="27"/>
      <c r="Y824" s="21"/>
      <c r="Z824" s="16"/>
    </row>
    <row r="825" ht="12.75" spans="1:26">
      <c r="A825" s="16"/>
      <c r="B825" s="1"/>
      <c r="C825" s="15"/>
      <c r="D825" s="16"/>
      <c r="E825" s="27"/>
      <c r="F825" s="21"/>
      <c r="G825" s="27"/>
      <c r="K825" s="21"/>
      <c r="L825" s="27"/>
      <c r="Q825" s="21"/>
      <c r="S825" s="21"/>
      <c r="T825" s="27"/>
      <c r="Y825" s="21"/>
      <c r="Z825" s="16"/>
    </row>
    <row r="826" ht="12.75" spans="1:26">
      <c r="A826" s="16"/>
      <c r="B826" s="1"/>
      <c r="C826" s="15"/>
      <c r="D826" s="16"/>
      <c r="E826" s="27"/>
      <c r="F826" s="21"/>
      <c r="G826" s="27"/>
      <c r="K826" s="21"/>
      <c r="L826" s="27"/>
      <c r="Q826" s="21"/>
      <c r="S826" s="21"/>
      <c r="T826" s="27"/>
      <c r="Y826" s="21"/>
      <c r="Z826" s="16"/>
    </row>
    <row r="827" ht="12.75" spans="1:26">
      <c r="A827" s="16"/>
      <c r="B827" s="1"/>
      <c r="C827" s="15"/>
      <c r="D827" s="16"/>
      <c r="E827" s="27"/>
      <c r="F827" s="21"/>
      <c r="G827" s="27"/>
      <c r="K827" s="21"/>
      <c r="L827" s="27"/>
      <c r="Q827" s="21"/>
      <c r="S827" s="21"/>
      <c r="T827" s="27"/>
      <c r="Y827" s="21"/>
      <c r="Z827" s="16"/>
    </row>
    <row r="828" ht="12.75" spans="1:26">
      <c r="A828" s="16"/>
      <c r="B828" s="1"/>
      <c r="C828" s="15"/>
      <c r="D828" s="16"/>
      <c r="E828" s="27"/>
      <c r="F828" s="21"/>
      <c r="G828" s="27"/>
      <c r="K828" s="21"/>
      <c r="L828" s="27"/>
      <c r="Q828" s="21"/>
      <c r="S828" s="21"/>
      <c r="T828" s="27"/>
      <c r="Y828" s="21"/>
      <c r="Z828" s="16"/>
    </row>
    <row r="829" ht="12.75" spans="1:26">
      <c r="A829" s="16"/>
      <c r="B829" s="1"/>
      <c r="C829" s="15"/>
      <c r="D829" s="16"/>
      <c r="E829" s="27"/>
      <c r="F829" s="21"/>
      <c r="G829" s="27"/>
      <c r="K829" s="21"/>
      <c r="L829" s="27"/>
      <c r="Q829" s="21"/>
      <c r="S829" s="21"/>
      <c r="T829" s="27"/>
      <c r="Y829" s="21"/>
      <c r="Z829" s="16"/>
    </row>
    <row r="830" ht="12.75" spans="1:26">
      <c r="A830" s="16"/>
      <c r="B830" s="1"/>
      <c r="C830" s="15"/>
      <c r="D830" s="16"/>
      <c r="E830" s="27"/>
      <c r="F830" s="21"/>
      <c r="G830" s="27"/>
      <c r="K830" s="21"/>
      <c r="L830" s="27"/>
      <c r="Q830" s="21"/>
      <c r="S830" s="21"/>
      <c r="T830" s="27"/>
      <c r="Y830" s="21"/>
      <c r="Z830" s="16"/>
    </row>
    <row r="831" ht="12.75" spans="1:26">
      <c r="A831" s="16"/>
      <c r="B831" s="1"/>
      <c r="C831" s="15"/>
      <c r="D831" s="16"/>
      <c r="E831" s="27"/>
      <c r="F831" s="21"/>
      <c r="G831" s="27"/>
      <c r="K831" s="21"/>
      <c r="L831" s="27"/>
      <c r="Q831" s="21"/>
      <c r="S831" s="21"/>
      <c r="T831" s="27"/>
      <c r="Y831" s="21"/>
      <c r="Z831" s="16"/>
    </row>
    <row r="832" ht="12.75" spans="1:26">
      <c r="A832" s="16"/>
      <c r="B832" s="1"/>
      <c r="C832" s="15"/>
      <c r="D832" s="16"/>
      <c r="E832" s="27"/>
      <c r="F832" s="21"/>
      <c r="G832" s="27"/>
      <c r="K832" s="21"/>
      <c r="L832" s="27"/>
      <c r="Q832" s="21"/>
      <c r="S832" s="21"/>
      <c r="T832" s="27"/>
      <c r="Y832" s="21"/>
      <c r="Z832" s="16"/>
    </row>
    <row r="833" ht="12.75" spans="1:26">
      <c r="A833" s="16"/>
      <c r="B833" s="1"/>
      <c r="C833" s="15"/>
      <c r="D833" s="16"/>
      <c r="E833" s="27"/>
      <c r="F833" s="21"/>
      <c r="G833" s="27"/>
      <c r="K833" s="21"/>
      <c r="L833" s="27"/>
      <c r="Q833" s="21"/>
      <c r="S833" s="21"/>
      <c r="T833" s="27"/>
      <c r="Y833" s="21"/>
      <c r="Z833" s="16"/>
    </row>
    <row r="834" ht="12.75" spans="1:26">
      <c r="A834" s="16"/>
      <c r="B834" s="1"/>
      <c r="C834" s="15"/>
      <c r="D834" s="16"/>
      <c r="E834" s="27"/>
      <c r="F834" s="21"/>
      <c r="G834" s="27"/>
      <c r="K834" s="21"/>
      <c r="L834" s="27"/>
      <c r="Q834" s="21"/>
      <c r="S834" s="21"/>
      <c r="T834" s="27"/>
      <c r="Y834" s="21"/>
      <c r="Z834" s="16"/>
    </row>
    <row r="835" ht="12.75" spans="1:26">
      <c r="A835" s="16"/>
      <c r="B835" s="1"/>
      <c r="C835" s="15"/>
      <c r="D835" s="16"/>
      <c r="E835" s="27"/>
      <c r="F835" s="21"/>
      <c r="G835" s="27"/>
      <c r="K835" s="21"/>
      <c r="L835" s="27"/>
      <c r="Q835" s="21"/>
      <c r="S835" s="21"/>
      <c r="T835" s="27"/>
      <c r="Y835" s="21"/>
      <c r="Z835" s="16"/>
    </row>
    <row r="836" ht="12.75" spans="1:26">
      <c r="A836" s="16"/>
      <c r="B836" s="1"/>
      <c r="C836" s="15"/>
      <c r="D836" s="16"/>
      <c r="E836" s="27"/>
      <c r="F836" s="21"/>
      <c r="G836" s="27"/>
      <c r="K836" s="21"/>
      <c r="L836" s="27"/>
      <c r="Q836" s="21"/>
      <c r="S836" s="21"/>
      <c r="T836" s="27"/>
      <c r="Y836" s="21"/>
      <c r="Z836" s="16"/>
    </row>
    <row r="837" ht="12.75" spans="1:26">
      <c r="A837" s="16"/>
      <c r="B837" s="1"/>
      <c r="C837" s="15"/>
      <c r="D837" s="16"/>
      <c r="E837" s="27"/>
      <c r="F837" s="21"/>
      <c r="G837" s="27"/>
      <c r="K837" s="21"/>
      <c r="L837" s="27"/>
      <c r="Q837" s="21"/>
      <c r="S837" s="21"/>
      <c r="T837" s="27"/>
      <c r="Y837" s="21"/>
      <c r="Z837" s="16"/>
    </row>
    <row r="838" ht="12.75" spans="1:26">
      <c r="A838" s="16"/>
      <c r="B838" s="1"/>
      <c r="C838" s="15"/>
      <c r="D838" s="16"/>
      <c r="E838" s="27"/>
      <c r="F838" s="21"/>
      <c r="G838" s="27"/>
      <c r="K838" s="21"/>
      <c r="L838" s="27"/>
      <c r="Q838" s="21"/>
      <c r="S838" s="21"/>
      <c r="T838" s="27"/>
      <c r="Y838" s="21"/>
      <c r="Z838" s="16"/>
    </row>
    <row r="839" ht="12.75" spans="1:26">
      <c r="A839" s="16"/>
      <c r="B839" s="1"/>
      <c r="C839" s="15"/>
      <c r="D839" s="16"/>
      <c r="E839" s="27"/>
      <c r="F839" s="21"/>
      <c r="G839" s="27"/>
      <c r="K839" s="21"/>
      <c r="L839" s="27"/>
      <c r="Q839" s="21"/>
      <c r="S839" s="21"/>
      <c r="T839" s="27"/>
      <c r="Y839" s="21"/>
      <c r="Z839" s="16"/>
    </row>
    <row r="840" ht="12.75" spans="1:26">
      <c r="A840" s="16"/>
      <c r="B840" s="1"/>
      <c r="C840" s="15"/>
      <c r="D840" s="16"/>
      <c r="E840" s="27"/>
      <c r="F840" s="21"/>
      <c r="G840" s="27"/>
      <c r="K840" s="21"/>
      <c r="L840" s="27"/>
      <c r="Q840" s="21"/>
      <c r="S840" s="21"/>
      <c r="T840" s="27"/>
      <c r="Y840" s="21"/>
      <c r="Z840" s="16"/>
    </row>
    <row r="841" ht="12.75" spans="1:26">
      <c r="A841" s="16"/>
      <c r="B841" s="1"/>
      <c r="C841" s="15"/>
      <c r="D841" s="16"/>
      <c r="E841" s="27"/>
      <c r="F841" s="21"/>
      <c r="G841" s="27"/>
      <c r="K841" s="21"/>
      <c r="L841" s="27"/>
      <c r="Q841" s="21"/>
      <c r="S841" s="21"/>
      <c r="T841" s="27"/>
      <c r="Y841" s="21"/>
      <c r="Z841" s="16"/>
    </row>
    <row r="842" ht="12.75" spans="1:26">
      <c r="A842" s="16"/>
      <c r="B842" s="1"/>
      <c r="C842" s="15"/>
      <c r="D842" s="16"/>
      <c r="E842" s="27"/>
      <c r="F842" s="21"/>
      <c r="G842" s="27"/>
      <c r="K842" s="21"/>
      <c r="L842" s="27"/>
      <c r="Q842" s="21"/>
      <c r="S842" s="21"/>
      <c r="T842" s="27"/>
      <c r="Y842" s="21"/>
      <c r="Z842" s="16"/>
    </row>
    <row r="843" ht="12.75" spans="1:26">
      <c r="A843" s="16"/>
      <c r="B843" s="1"/>
      <c r="C843" s="15"/>
      <c r="D843" s="16"/>
      <c r="E843" s="27"/>
      <c r="F843" s="21"/>
      <c r="G843" s="27"/>
      <c r="K843" s="21"/>
      <c r="L843" s="27"/>
      <c r="Q843" s="21"/>
      <c r="S843" s="21"/>
      <c r="T843" s="27"/>
      <c r="Y843" s="21"/>
      <c r="Z843" s="16"/>
    </row>
    <row r="844" ht="12.75" spans="1:26">
      <c r="A844" s="16"/>
      <c r="B844" s="1"/>
      <c r="C844" s="15"/>
      <c r="D844" s="16"/>
      <c r="E844" s="27"/>
      <c r="F844" s="21"/>
      <c r="G844" s="27"/>
      <c r="K844" s="21"/>
      <c r="L844" s="27"/>
      <c r="Q844" s="21"/>
      <c r="S844" s="21"/>
      <c r="T844" s="27"/>
      <c r="Y844" s="21"/>
      <c r="Z844" s="16"/>
    </row>
    <row r="845" ht="12.75" spans="1:26">
      <c r="A845" s="16"/>
      <c r="B845" s="1"/>
      <c r="C845" s="15"/>
      <c r="D845" s="16"/>
      <c r="E845" s="27"/>
      <c r="F845" s="21"/>
      <c r="G845" s="27"/>
      <c r="K845" s="21"/>
      <c r="L845" s="27"/>
      <c r="Q845" s="21"/>
      <c r="S845" s="21"/>
      <c r="T845" s="27"/>
      <c r="Y845" s="21"/>
      <c r="Z845" s="16"/>
    </row>
    <row r="846" ht="12.75" spans="1:26">
      <c r="A846" s="16"/>
      <c r="B846" s="1"/>
      <c r="C846" s="15"/>
      <c r="D846" s="16"/>
      <c r="E846" s="27"/>
      <c r="F846" s="21"/>
      <c r="G846" s="27"/>
      <c r="K846" s="21"/>
      <c r="L846" s="27"/>
      <c r="Q846" s="21"/>
      <c r="S846" s="21"/>
      <c r="T846" s="27"/>
      <c r="Y846" s="21"/>
      <c r="Z846" s="16"/>
    </row>
    <row r="847" ht="12.75" spans="1:26">
      <c r="A847" s="16"/>
      <c r="B847" s="1"/>
      <c r="C847" s="15"/>
      <c r="D847" s="16"/>
      <c r="E847" s="27"/>
      <c r="F847" s="21"/>
      <c r="G847" s="27"/>
      <c r="K847" s="21"/>
      <c r="L847" s="27"/>
      <c r="Q847" s="21"/>
      <c r="S847" s="21"/>
      <c r="T847" s="27"/>
      <c r="Y847" s="21"/>
      <c r="Z847" s="16"/>
    </row>
    <row r="848" ht="12.75" spans="1:26">
      <c r="A848" s="16"/>
      <c r="B848" s="1"/>
      <c r="C848" s="15"/>
      <c r="D848" s="16"/>
      <c r="E848" s="27"/>
      <c r="F848" s="21"/>
      <c r="G848" s="27"/>
      <c r="K848" s="21"/>
      <c r="L848" s="27"/>
      <c r="Q848" s="21"/>
      <c r="S848" s="21"/>
      <c r="T848" s="27"/>
      <c r="Y848" s="21"/>
      <c r="Z848" s="16"/>
    </row>
    <row r="849" ht="12.75" spans="1:26">
      <c r="A849" s="16"/>
      <c r="B849" s="1"/>
      <c r="C849" s="15"/>
      <c r="D849" s="16"/>
      <c r="E849" s="27"/>
      <c r="F849" s="21"/>
      <c r="G849" s="27"/>
      <c r="K849" s="21"/>
      <c r="L849" s="27"/>
      <c r="Q849" s="21"/>
      <c r="S849" s="21"/>
      <c r="T849" s="27"/>
      <c r="Y849" s="21"/>
      <c r="Z849" s="16"/>
    </row>
    <row r="850" ht="12.75" spans="1:26">
      <c r="A850" s="16"/>
      <c r="B850" s="1"/>
      <c r="C850" s="15"/>
      <c r="D850" s="16"/>
      <c r="E850" s="27"/>
      <c r="F850" s="21"/>
      <c r="G850" s="27"/>
      <c r="K850" s="21"/>
      <c r="L850" s="27"/>
      <c r="Q850" s="21"/>
      <c r="S850" s="21"/>
      <c r="T850" s="27"/>
      <c r="Y850" s="21"/>
      <c r="Z850" s="16"/>
    </row>
    <row r="851" ht="12.75" spans="1:26">
      <c r="A851" s="16"/>
      <c r="B851" s="1"/>
      <c r="C851" s="15"/>
      <c r="D851" s="16"/>
      <c r="E851" s="27"/>
      <c r="F851" s="21"/>
      <c r="G851" s="27"/>
      <c r="K851" s="21"/>
      <c r="L851" s="27"/>
      <c r="Q851" s="21"/>
      <c r="S851" s="21"/>
      <c r="T851" s="27"/>
      <c r="Y851" s="21"/>
      <c r="Z851" s="16"/>
    </row>
    <row r="852" ht="12.75" spans="1:26">
      <c r="A852" s="16"/>
      <c r="B852" s="1"/>
      <c r="C852" s="15"/>
      <c r="D852" s="16"/>
      <c r="E852" s="27"/>
      <c r="F852" s="21"/>
      <c r="G852" s="27"/>
      <c r="K852" s="21"/>
      <c r="L852" s="27"/>
      <c r="Q852" s="21"/>
      <c r="S852" s="21"/>
      <c r="T852" s="27"/>
      <c r="Y852" s="21"/>
      <c r="Z852" s="16"/>
    </row>
    <row r="853" ht="12.75" spans="1:26">
      <c r="A853" s="16"/>
      <c r="B853" s="1"/>
      <c r="C853" s="15"/>
      <c r="D853" s="16"/>
      <c r="E853" s="27"/>
      <c r="F853" s="21"/>
      <c r="G853" s="27"/>
      <c r="K853" s="21"/>
      <c r="L853" s="27"/>
      <c r="Q853" s="21"/>
      <c r="S853" s="21"/>
      <c r="T853" s="27"/>
      <c r="Y853" s="21"/>
      <c r="Z853" s="16"/>
    </row>
    <row r="854" ht="12.75" spans="1:26">
      <c r="A854" s="16"/>
      <c r="B854" s="1"/>
      <c r="C854" s="15"/>
      <c r="D854" s="16"/>
      <c r="E854" s="27"/>
      <c r="F854" s="21"/>
      <c r="G854" s="27"/>
      <c r="K854" s="21"/>
      <c r="L854" s="27"/>
      <c r="Q854" s="21"/>
      <c r="S854" s="21"/>
      <c r="T854" s="27"/>
      <c r="Y854" s="21"/>
      <c r="Z854" s="16"/>
    </row>
    <row r="855" ht="12.75" spans="1:26">
      <c r="A855" s="16"/>
      <c r="B855" s="1"/>
      <c r="C855" s="15"/>
      <c r="D855" s="16"/>
      <c r="E855" s="27"/>
      <c r="F855" s="21"/>
      <c r="G855" s="27"/>
      <c r="K855" s="21"/>
      <c r="L855" s="27"/>
      <c r="Q855" s="21"/>
      <c r="S855" s="21"/>
      <c r="T855" s="27"/>
      <c r="Y855" s="21"/>
      <c r="Z855" s="16"/>
    </row>
    <row r="856" ht="12.75" spans="1:26">
      <c r="A856" s="16"/>
      <c r="B856" s="1"/>
      <c r="C856" s="15"/>
      <c r="D856" s="16"/>
      <c r="E856" s="27"/>
      <c r="F856" s="21"/>
      <c r="G856" s="27"/>
      <c r="K856" s="21"/>
      <c r="L856" s="27"/>
      <c r="Q856" s="21"/>
      <c r="S856" s="21"/>
      <c r="T856" s="27"/>
      <c r="Y856" s="21"/>
      <c r="Z856" s="16"/>
    </row>
    <row r="857" ht="12.75" spans="1:26">
      <c r="A857" s="16"/>
      <c r="B857" s="1"/>
      <c r="C857" s="15"/>
      <c r="D857" s="16"/>
      <c r="E857" s="27"/>
      <c r="F857" s="21"/>
      <c r="G857" s="27"/>
      <c r="K857" s="21"/>
      <c r="L857" s="27"/>
      <c r="Q857" s="21"/>
      <c r="S857" s="21"/>
      <c r="T857" s="27"/>
      <c r="Y857" s="21"/>
      <c r="Z857" s="16"/>
    </row>
    <row r="858" ht="12.75" spans="1:26">
      <c r="A858" s="16"/>
      <c r="B858" s="1"/>
      <c r="C858" s="15"/>
      <c r="D858" s="16"/>
      <c r="E858" s="27"/>
      <c r="F858" s="21"/>
      <c r="G858" s="27"/>
      <c r="K858" s="21"/>
      <c r="L858" s="27"/>
      <c r="Q858" s="21"/>
      <c r="S858" s="21"/>
      <c r="T858" s="27"/>
      <c r="Y858" s="21"/>
      <c r="Z858" s="16"/>
    </row>
    <row r="859" ht="12.75" spans="1:26">
      <c r="A859" s="16"/>
      <c r="B859" s="1"/>
      <c r="C859" s="15"/>
      <c r="D859" s="16"/>
      <c r="E859" s="27"/>
      <c r="F859" s="21"/>
      <c r="G859" s="27"/>
      <c r="K859" s="21"/>
      <c r="L859" s="27"/>
      <c r="Q859" s="21"/>
      <c r="S859" s="21"/>
      <c r="T859" s="27"/>
      <c r="Y859" s="21"/>
      <c r="Z859" s="16"/>
    </row>
    <row r="860" ht="12.75" spans="1:26">
      <c r="A860" s="16"/>
      <c r="B860" s="1"/>
      <c r="C860" s="15"/>
      <c r="D860" s="16"/>
      <c r="E860" s="27"/>
      <c r="F860" s="21"/>
      <c r="G860" s="27"/>
      <c r="K860" s="21"/>
      <c r="L860" s="27"/>
      <c r="Q860" s="21"/>
      <c r="S860" s="21"/>
      <c r="T860" s="27"/>
      <c r="Y860" s="21"/>
      <c r="Z860" s="16"/>
    </row>
    <row r="861" ht="12.75" spans="1:26">
      <c r="A861" s="16"/>
      <c r="B861" s="1"/>
      <c r="C861" s="15"/>
      <c r="D861" s="16"/>
      <c r="E861" s="27"/>
      <c r="F861" s="21"/>
      <c r="G861" s="27"/>
      <c r="K861" s="21"/>
      <c r="L861" s="27"/>
      <c r="Q861" s="21"/>
      <c r="S861" s="21"/>
      <c r="T861" s="27"/>
      <c r="Y861" s="21"/>
      <c r="Z861" s="16"/>
    </row>
    <row r="862" ht="12.75" spans="1:26">
      <c r="A862" s="16"/>
      <c r="B862" s="1"/>
      <c r="C862" s="15"/>
      <c r="D862" s="16"/>
      <c r="E862" s="27"/>
      <c r="F862" s="21"/>
      <c r="G862" s="27"/>
      <c r="K862" s="21"/>
      <c r="L862" s="27"/>
      <c r="Q862" s="21"/>
      <c r="S862" s="21"/>
      <c r="T862" s="27"/>
      <c r="Y862" s="21"/>
      <c r="Z862" s="16"/>
    </row>
    <row r="863" ht="12.75" spans="1:26">
      <c r="A863" s="16"/>
      <c r="B863" s="1"/>
      <c r="C863" s="15"/>
      <c r="D863" s="16"/>
      <c r="E863" s="27"/>
      <c r="F863" s="21"/>
      <c r="G863" s="27"/>
      <c r="K863" s="21"/>
      <c r="L863" s="27"/>
      <c r="Q863" s="21"/>
      <c r="S863" s="21"/>
      <c r="T863" s="27"/>
      <c r="Y863" s="21"/>
      <c r="Z863" s="16"/>
    </row>
    <row r="864" ht="12.75" spans="1:26">
      <c r="A864" s="16"/>
      <c r="B864" s="1"/>
      <c r="C864" s="15"/>
      <c r="D864" s="16"/>
      <c r="E864" s="27"/>
      <c r="F864" s="21"/>
      <c r="G864" s="27"/>
      <c r="K864" s="21"/>
      <c r="L864" s="27"/>
      <c r="Q864" s="21"/>
      <c r="S864" s="21"/>
      <c r="T864" s="27"/>
      <c r="Y864" s="21"/>
      <c r="Z864" s="16"/>
    </row>
    <row r="865" ht="12.75" spans="1:26">
      <c r="A865" s="16"/>
      <c r="B865" s="1"/>
      <c r="C865" s="15"/>
      <c r="D865" s="16"/>
      <c r="E865" s="27"/>
      <c r="F865" s="21"/>
      <c r="G865" s="27"/>
      <c r="K865" s="21"/>
      <c r="L865" s="27"/>
      <c r="Q865" s="21"/>
      <c r="S865" s="21"/>
      <c r="T865" s="27"/>
      <c r="Y865" s="21"/>
      <c r="Z865" s="16"/>
    </row>
    <row r="866" ht="12.75" spans="1:26">
      <c r="A866" s="16"/>
      <c r="B866" s="1"/>
      <c r="C866" s="15"/>
      <c r="D866" s="16"/>
      <c r="E866" s="27"/>
      <c r="F866" s="21"/>
      <c r="G866" s="27"/>
      <c r="K866" s="21"/>
      <c r="L866" s="27"/>
      <c r="Q866" s="21"/>
      <c r="S866" s="21"/>
      <c r="T866" s="27"/>
      <c r="Y866" s="21"/>
      <c r="Z866" s="16"/>
    </row>
    <row r="867" ht="12.75" spans="1:26">
      <c r="A867" s="16"/>
      <c r="B867" s="1"/>
      <c r="C867" s="15"/>
      <c r="D867" s="16"/>
      <c r="E867" s="27"/>
      <c r="F867" s="21"/>
      <c r="G867" s="27"/>
      <c r="K867" s="21"/>
      <c r="L867" s="27"/>
      <c r="Q867" s="21"/>
      <c r="S867" s="21"/>
      <c r="T867" s="27"/>
      <c r="Y867" s="21"/>
      <c r="Z867" s="16"/>
    </row>
    <row r="868" ht="12.75" spans="1:26">
      <c r="A868" s="16"/>
      <c r="B868" s="1"/>
      <c r="C868" s="15"/>
      <c r="D868" s="16"/>
      <c r="E868" s="27"/>
      <c r="F868" s="21"/>
      <c r="G868" s="27"/>
      <c r="K868" s="21"/>
      <c r="L868" s="27"/>
      <c r="Q868" s="21"/>
      <c r="S868" s="21"/>
      <c r="T868" s="27"/>
      <c r="Y868" s="21"/>
      <c r="Z868" s="16"/>
    </row>
    <row r="869" ht="12.75" spans="1:26">
      <c r="A869" s="16"/>
      <c r="B869" s="1"/>
      <c r="C869" s="15"/>
      <c r="D869" s="16"/>
      <c r="E869" s="27"/>
      <c r="F869" s="21"/>
      <c r="G869" s="27"/>
      <c r="K869" s="21"/>
      <c r="L869" s="27"/>
      <c r="Q869" s="21"/>
      <c r="S869" s="21"/>
      <c r="T869" s="27"/>
      <c r="Y869" s="21"/>
      <c r="Z869" s="16"/>
    </row>
    <row r="870" ht="12.75" spans="1:26">
      <c r="A870" s="16"/>
      <c r="B870" s="1"/>
      <c r="C870" s="15"/>
      <c r="D870" s="16"/>
      <c r="E870" s="27"/>
      <c r="F870" s="21"/>
      <c r="G870" s="27"/>
      <c r="K870" s="21"/>
      <c r="L870" s="27"/>
      <c r="Q870" s="21"/>
      <c r="S870" s="21"/>
      <c r="T870" s="27"/>
      <c r="Y870" s="21"/>
      <c r="Z870" s="16"/>
    </row>
    <row r="871" ht="12.75" spans="1:26">
      <c r="A871" s="16"/>
      <c r="B871" s="1"/>
      <c r="C871" s="15"/>
      <c r="D871" s="16"/>
      <c r="E871" s="27"/>
      <c r="F871" s="21"/>
      <c r="G871" s="27"/>
      <c r="K871" s="21"/>
      <c r="L871" s="27"/>
      <c r="Q871" s="21"/>
      <c r="S871" s="21"/>
      <c r="T871" s="27"/>
      <c r="Y871" s="21"/>
      <c r="Z871" s="16"/>
    </row>
    <row r="872" ht="12.75" spans="1:26">
      <c r="A872" s="16"/>
      <c r="B872" s="1"/>
      <c r="C872" s="15"/>
      <c r="D872" s="16"/>
      <c r="E872" s="27"/>
      <c r="F872" s="21"/>
      <c r="G872" s="27"/>
      <c r="K872" s="21"/>
      <c r="L872" s="27"/>
      <c r="Q872" s="21"/>
      <c r="S872" s="21"/>
      <c r="T872" s="27"/>
      <c r="Y872" s="21"/>
      <c r="Z872" s="16"/>
    </row>
    <row r="873" ht="12.75" spans="1:26">
      <c r="A873" s="16"/>
      <c r="B873" s="1"/>
      <c r="C873" s="15"/>
      <c r="D873" s="16"/>
      <c r="E873" s="27"/>
      <c r="F873" s="21"/>
      <c r="G873" s="27"/>
      <c r="K873" s="21"/>
      <c r="L873" s="27"/>
      <c r="Q873" s="21"/>
      <c r="S873" s="21"/>
      <c r="T873" s="27"/>
      <c r="Y873" s="21"/>
      <c r="Z873" s="16"/>
    </row>
    <row r="874" ht="12.75" spans="1:26">
      <c r="A874" s="16"/>
      <c r="B874" s="1"/>
      <c r="C874" s="15"/>
      <c r="D874" s="16"/>
      <c r="E874" s="27"/>
      <c r="F874" s="21"/>
      <c r="G874" s="27"/>
      <c r="K874" s="21"/>
      <c r="L874" s="27"/>
      <c r="Q874" s="21"/>
      <c r="S874" s="21"/>
      <c r="T874" s="27"/>
      <c r="Y874" s="21"/>
      <c r="Z874" s="16"/>
    </row>
    <row r="875" ht="12.75" spans="1:26">
      <c r="A875" s="16"/>
      <c r="B875" s="1"/>
      <c r="C875" s="15"/>
      <c r="D875" s="16"/>
      <c r="E875" s="27"/>
      <c r="F875" s="21"/>
      <c r="G875" s="27"/>
      <c r="K875" s="21"/>
      <c r="L875" s="27"/>
      <c r="Q875" s="21"/>
      <c r="S875" s="21"/>
      <c r="T875" s="27"/>
      <c r="Y875" s="21"/>
      <c r="Z875" s="16"/>
    </row>
    <row r="876" ht="12.75" spans="1:26">
      <c r="A876" s="16"/>
      <c r="B876" s="1"/>
      <c r="C876" s="15"/>
      <c r="D876" s="16"/>
      <c r="E876" s="27"/>
      <c r="F876" s="21"/>
      <c r="G876" s="27"/>
      <c r="K876" s="21"/>
      <c r="L876" s="27"/>
      <c r="Q876" s="21"/>
      <c r="S876" s="21"/>
      <c r="T876" s="27"/>
      <c r="Y876" s="21"/>
      <c r="Z876" s="16"/>
    </row>
    <row r="877" ht="12.75" spans="1:26">
      <c r="A877" s="16"/>
      <c r="B877" s="1"/>
      <c r="C877" s="15"/>
      <c r="D877" s="16"/>
      <c r="E877" s="27"/>
      <c r="F877" s="21"/>
      <c r="G877" s="27"/>
      <c r="K877" s="21"/>
      <c r="L877" s="27"/>
      <c r="Q877" s="21"/>
      <c r="S877" s="21"/>
      <c r="T877" s="27"/>
      <c r="Y877" s="21"/>
      <c r="Z877" s="16"/>
    </row>
    <row r="878" ht="12.75" spans="1:26">
      <c r="A878" s="16"/>
      <c r="B878" s="1"/>
      <c r="C878" s="15"/>
      <c r="D878" s="16"/>
      <c r="E878" s="27"/>
      <c r="F878" s="21"/>
      <c r="G878" s="27"/>
      <c r="K878" s="21"/>
      <c r="L878" s="27"/>
      <c r="Q878" s="21"/>
      <c r="S878" s="21"/>
      <c r="T878" s="27"/>
      <c r="Y878" s="21"/>
      <c r="Z878" s="16"/>
    </row>
    <row r="879" ht="12.75" spans="1:26">
      <c r="A879" s="16"/>
      <c r="B879" s="1"/>
      <c r="C879" s="15"/>
      <c r="D879" s="16"/>
      <c r="E879" s="27"/>
      <c r="F879" s="21"/>
      <c r="G879" s="27"/>
      <c r="K879" s="21"/>
      <c r="L879" s="27"/>
      <c r="Q879" s="21"/>
      <c r="S879" s="21"/>
      <c r="T879" s="27"/>
      <c r="Y879" s="21"/>
      <c r="Z879" s="16"/>
    </row>
    <row r="880" ht="12.75" spans="1:26">
      <c r="A880" s="16"/>
      <c r="B880" s="1"/>
      <c r="C880" s="15"/>
      <c r="D880" s="16"/>
      <c r="E880" s="27"/>
      <c r="F880" s="21"/>
      <c r="G880" s="27"/>
      <c r="K880" s="21"/>
      <c r="L880" s="27"/>
      <c r="Q880" s="21"/>
      <c r="S880" s="21"/>
      <c r="T880" s="27"/>
      <c r="Y880" s="21"/>
      <c r="Z880" s="16"/>
    </row>
    <row r="881" ht="12.75" spans="1:26">
      <c r="A881" s="16"/>
      <c r="B881" s="1"/>
      <c r="C881" s="15"/>
      <c r="D881" s="16"/>
      <c r="E881" s="27"/>
      <c r="F881" s="21"/>
      <c r="G881" s="27"/>
      <c r="K881" s="21"/>
      <c r="L881" s="27"/>
      <c r="Q881" s="21"/>
      <c r="S881" s="21"/>
      <c r="T881" s="27"/>
      <c r="Y881" s="21"/>
      <c r="Z881" s="16"/>
    </row>
    <row r="882" ht="12.75" spans="1:26">
      <c r="A882" s="16"/>
      <c r="B882" s="1"/>
      <c r="C882" s="15"/>
      <c r="D882" s="16"/>
      <c r="E882" s="27"/>
      <c r="F882" s="21"/>
      <c r="G882" s="27"/>
      <c r="K882" s="21"/>
      <c r="L882" s="27"/>
      <c r="Q882" s="21"/>
      <c r="S882" s="21"/>
      <c r="T882" s="27"/>
      <c r="Y882" s="21"/>
      <c r="Z882" s="16"/>
    </row>
    <row r="883" ht="12.75" spans="1:26">
      <c r="A883" s="16"/>
      <c r="B883" s="1"/>
      <c r="C883" s="15"/>
      <c r="D883" s="16"/>
      <c r="E883" s="27"/>
      <c r="F883" s="21"/>
      <c r="G883" s="27"/>
      <c r="K883" s="21"/>
      <c r="L883" s="27"/>
      <c r="Q883" s="21"/>
      <c r="S883" s="21"/>
      <c r="T883" s="27"/>
      <c r="Y883" s="21"/>
      <c r="Z883" s="16"/>
    </row>
    <row r="884" ht="12.75" spans="1:26">
      <c r="A884" s="16"/>
      <c r="B884" s="1"/>
      <c r="C884" s="15"/>
      <c r="D884" s="16"/>
      <c r="E884" s="27"/>
      <c r="F884" s="21"/>
      <c r="G884" s="27"/>
      <c r="K884" s="21"/>
      <c r="L884" s="27"/>
      <c r="Q884" s="21"/>
      <c r="S884" s="21"/>
      <c r="T884" s="27"/>
      <c r="Y884" s="21"/>
      <c r="Z884" s="16"/>
    </row>
    <row r="885" ht="12.75" spans="1:26">
      <c r="A885" s="16"/>
      <c r="B885" s="1"/>
      <c r="C885" s="15"/>
      <c r="D885" s="16"/>
      <c r="E885" s="27"/>
      <c r="F885" s="21"/>
      <c r="G885" s="27"/>
      <c r="K885" s="21"/>
      <c r="L885" s="27"/>
      <c r="Q885" s="21"/>
      <c r="S885" s="21"/>
      <c r="T885" s="27"/>
      <c r="Y885" s="21"/>
      <c r="Z885" s="16"/>
    </row>
    <row r="886" ht="12.75" spans="1:26">
      <c r="A886" s="16"/>
      <c r="B886" s="1"/>
      <c r="C886" s="15"/>
      <c r="D886" s="16"/>
      <c r="E886" s="27"/>
      <c r="F886" s="21"/>
      <c r="G886" s="27"/>
      <c r="K886" s="21"/>
      <c r="L886" s="27"/>
      <c r="Q886" s="21"/>
      <c r="S886" s="21"/>
      <c r="T886" s="27"/>
      <c r="Y886" s="21"/>
      <c r="Z886" s="16"/>
    </row>
    <row r="887" ht="12.75" spans="1:26">
      <c r="A887" s="16"/>
      <c r="B887" s="1"/>
      <c r="C887" s="15"/>
      <c r="D887" s="16"/>
      <c r="E887" s="27"/>
      <c r="F887" s="21"/>
      <c r="G887" s="27"/>
      <c r="K887" s="21"/>
      <c r="L887" s="27"/>
      <c r="Q887" s="21"/>
      <c r="S887" s="21"/>
      <c r="T887" s="27"/>
      <c r="Y887" s="21"/>
      <c r="Z887" s="16"/>
    </row>
    <row r="888" ht="12.75" spans="1:26">
      <c r="A888" s="16"/>
      <c r="B888" s="1"/>
      <c r="C888" s="15"/>
      <c r="D888" s="16"/>
      <c r="E888" s="27"/>
      <c r="F888" s="21"/>
      <c r="G888" s="27"/>
      <c r="K888" s="21"/>
      <c r="L888" s="27"/>
      <c r="Q888" s="21"/>
      <c r="S888" s="21"/>
      <c r="T888" s="27"/>
      <c r="Y888" s="21"/>
      <c r="Z888" s="16"/>
    </row>
    <row r="889" ht="12.75" spans="1:26">
      <c r="A889" s="16"/>
      <c r="B889" s="1"/>
      <c r="C889" s="15"/>
      <c r="D889" s="16"/>
      <c r="E889" s="27"/>
      <c r="F889" s="21"/>
      <c r="G889" s="27"/>
      <c r="K889" s="21"/>
      <c r="L889" s="27"/>
      <c r="Q889" s="21"/>
      <c r="S889" s="21"/>
      <c r="T889" s="27"/>
      <c r="Y889" s="21"/>
      <c r="Z889" s="16"/>
    </row>
    <row r="890" ht="12.75" spans="1:26">
      <c r="A890" s="16"/>
      <c r="B890" s="1"/>
      <c r="C890" s="15"/>
      <c r="D890" s="16"/>
      <c r="E890" s="27"/>
      <c r="F890" s="21"/>
      <c r="G890" s="27"/>
      <c r="K890" s="21"/>
      <c r="L890" s="27"/>
      <c r="Q890" s="21"/>
      <c r="S890" s="21"/>
      <c r="T890" s="27"/>
      <c r="Y890" s="21"/>
      <c r="Z890" s="16"/>
    </row>
    <row r="891" ht="12.75" spans="1:26">
      <c r="A891" s="16"/>
      <c r="B891" s="1"/>
      <c r="C891" s="15"/>
      <c r="D891" s="16"/>
      <c r="E891" s="27"/>
      <c r="F891" s="21"/>
      <c r="G891" s="27"/>
      <c r="K891" s="21"/>
      <c r="L891" s="27"/>
      <c r="Q891" s="21"/>
      <c r="S891" s="21"/>
      <c r="T891" s="27"/>
      <c r="Y891" s="21"/>
      <c r="Z891" s="16"/>
    </row>
    <row r="892" ht="12.75" spans="1:26">
      <c r="A892" s="16"/>
      <c r="B892" s="1"/>
      <c r="C892" s="15"/>
      <c r="D892" s="16"/>
      <c r="E892" s="27"/>
      <c r="F892" s="21"/>
      <c r="G892" s="27"/>
      <c r="K892" s="21"/>
      <c r="L892" s="27"/>
      <c r="Q892" s="21"/>
      <c r="S892" s="21"/>
      <c r="T892" s="27"/>
      <c r="Y892" s="21"/>
      <c r="Z892" s="16"/>
    </row>
    <row r="893" ht="12.75" spans="1:26">
      <c r="A893" s="16"/>
      <c r="B893" s="1"/>
      <c r="C893" s="15"/>
      <c r="D893" s="16"/>
      <c r="E893" s="27"/>
      <c r="F893" s="21"/>
      <c r="G893" s="27"/>
      <c r="K893" s="21"/>
      <c r="L893" s="27"/>
      <c r="Q893" s="21"/>
      <c r="S893" s="21"/>
      <c r="T893" s="27"/>
      <c r="Y893" s="21"/>
      <c r="Z893" s="16"/>
    </row>
    <row r="894" ht="12.75" spans="1:26">
      <c r="A894" s="16"/>
      <c r="B894" s="1"/>
      <c r="C894" s="15"/>
      <c r="D894" s="16"/>
      <c r="E894" s="27"/>
      <c r="F894" s="21"/>
      <c r="G894" s="27"/>
      <c r="K894" s="21"/>
      <c r="L894" s="27"/>
      <c r="Q894" s="21"/>
      <c r="S894" s="21"/>
      <c r="T894" s="27"/>
      <c r="Y894" s="21"/>
      <c r="Z894" s="16"/>
    </row>
    <row r="895" ht="12.75" spans="1:26">
      <c r="A895" s="16"/>
      <c r="B895" s="1"/>
      <c r="C895" s="15"/>
      <c r="D895" s="16"/>
      <c r="E895" s="27"/>
      <c r="F895" s="21"/>
      <c r="G895" s="27"/>
      <c r="K895" s="21"/>
      <c r="L895" s="27"/>
      <c r="Q895" s="21"/>
      <c r="S895" s="21"/>
      <c r="T895" s="27"/>
      <c r="Y895" s="21"/>
      <c r="Z895" s="16"/>
    </row>
    <row r="896" ht="12.75" spans="1:26">
      <c r="A896" s="16"/>
      <c r="B896" s="1"/>
      <c r="C896" s="15"/>
      <c r="D896" s="16"/>
      <c r="E896" s="27"/>
      <c r="F896" s="21"/>
      <c r="G896" s="27"/>
      <c r="K896" s="21"/>
      <c r="L896" s="27"/>
      <c r="Q896" s="21"/>
      <c r="S896" s="21"/>
      <c r="T896" s="27"/>
      <c r="Y896" s="21"/>
      <c r="Z896" s="16"/>
    </row>
    <row r="897" ht="12.75" spans="1:26">
      <c r="A897" s="16"/>
      <c r="B897" s="1"/>
      <c r="C897" s="15"/>
      <c r="D897" s="16"/>
      <c r="E897" s="27"/>
      <c r="F897" s="21"/>
      <c r="G897" s="27"/>
      <c r="K897" s="21"/>
      <c r="L897" s="27"/>
      <c r="Q897" s="21"/>
      <c r="S897" s="21"/>
      <c r="T897" s="27"/>
      <c r="Y897" s="21"/>
      <c r="Z897" s="16"/>
    </row>
    <row r="898" ht="12.75" spans="1:26">
      <c r="A898" s="16"/>
      <c r="B898" s="1"/>
      <c r="C898" s="15"/>
      <c r="D898" s="16"/>
      <c r="E898" s="27"/>
      <c r="F898" s="21"/>
      <c r="G898" s="27"/>
      <c r="K898" s="21"/>
      <c r="L898" s="27"/>
      <c r="Q898" s="21"/>
      <c r="S898" s="21"/>
      <c r="T898" s="27"/>
      <c r="Y898" s="21"/>
      <c r="Z898" s="16"/>
    </row>
    <row r="899" ht="12.75" spans="1:26">
      <c r="A899" s="16"/>
      <c r="B899" s="1"/>
      <c r="C899" s="15"/>
      <c r="D899" s="16"/>
      <c r="E899" s="27"/>
      <c r="F899" s="21"/>
      <c r="G899" s="27"/>
      <c r="K899" s="21"/>
      <c r="L899" s="27"/>
      <c r="Q899" s="21"/>
      <c r="S899" s="21"/>
      <c r="T899" s="27"/>
      <c r="Y899" s="21"/>
      <c r="Z899" s="16"/>
    </row>
    <row r="900" ht="12.75" spans="1:26">
      <c r="A900" s="16"/>
      <c r="B900" s="1"/>
      <c r="C900" s="15"/>
      <c r="D900" s="16"/>
      <c r="E900" s="27"/>
      <c r="F900" s="21"/>
      <c r="G900" s="27"/>
      <c r="K900" s="21"/>
      <c r="L900" s="27"/>
      <c r="Q900" s="21"/>
      <c r="S900" s="21"/>
      <c r="T900" s="27"/>
      <c r="Y900" s="21"/>
      <c r="Z900" s="16"/>
    </row>
    <row r="901" ht="12.75" spans="1:26">
      <c r="A901" s="16"/>
      <c r="B901" s="1"/>
      <c r="C901" s="15"/>
      <c r="D901" s="16"/>
      <c r="E901" s="27"/>
      <c r="F901" s="21"/>
      <c r="G901" s="27"/>
      <c r="K901" s="21"/>
      <c r="L901" s="27"/>
      <c r="Q901" s="21"/>
      <c r="S901" s="21"/>
      <c r="T901" s="27"/>
      <c r="Y901" s="21"/>
      <c r="Z901" s="16"/>
    </row>
    <row r="902" ht="12.75" spans="1:26">
      <c r="A902" s="16"/>
      <c r="B902" s="1"/>
      <c r="C902" s="15"/>
      <c r="D902" s="16"/>
      <c r="E902" s="27"/>
      <c r="F902" s="21"/>
      <c r="G902" s="27"/>
      <c r="K902" s="21"/>
      <c r="L902" s="27"/>
      <c r="Q902" s="21"/>
      <c r="S902" s="21"/>
      <c r="T902" s="27"/>
      <c r="Y902" s="21"/>
      <c r="Z902" s="16"/>
    </row>
    <row r="903" ht="12.75" spans="1:26">
      <c r="A903" s="16"/>
      <c r="B903" s="1"/>
      <c r="C903" s="15"/>
      <c r="D903" s="16"/>
      <c r="E903" s="27"/>
      <c r="F903" s="21"/>
      <c r="G903" s="27"/>
      <c r="K903" s="21"/>
      <c r="L903" s="27"/>
      <c r="Q903" s="21"/>
      <c r="S903" s="21"/>
      <c r="T903" s="27"/>
      <c r="Y903" s="21"/>
      <c r="Z903" s="16"/>
    </row>
    <row r="904" ht="12.75" spans="1:26">
      <c r="A904" s="16"/>
      <c r="B904" s="1"/>
      <c r="C904" s="15"/>
      <c r="D904" s="16"/>
      <c r="E904" s="27"/>
      <c r="F904" s="21"/>
      <c r="G904" s="27"/>
      <c r="K904" s="21"/>
      <c r="L904" s="27"/>
      <c r="Q904" s="21"/>
      <c r="S904" s="21"/>
      <c r="T904" s="27"/>
      <c r="Y904" s="21"/>
      <c r="Z904" s="16"/>
    </row>
    <row r="905" ht="12.75" spans="1:26">
      <c r="A905" s="16"/>
      <c r="B905" s="1"/>
      <c r="C905" s="15"/>
      <c r="D905" s="16"/>
      <c r="E905" s="27"/>
      <c r="F905" s="21"/>
      <c r="G905" s="27"/>
      <c r="K905" s="21"/>
      <c r="L905" s="27"/>
      <c r="Q905" s="21"/>
      <c r="S905" s="21"/>
      <c r="T905" s="27"/>
      <c r="Y905" s="21"/>
      <c r="Z905" s="16"/>
    </row>
    <row r="906" ht="12.75" spans="1:26">
      <c r="A906" s="16"/>
      <c r="B906" s="1"/>
      <c r="C906" s="15"/>
      <c r="D906" s="16"/>
      <c r="E906" s="27"/>
      <c r="F906" s="21"/>
      <c r="G906" s="27"/>
      <c r="K906" s="21"/>
      <c r="L906" s="27"/>
      <c r="Q906" s="21"/>
      <c r="S906" s="21"/>
      <c r="T906" s="27"/>
      <c r="Y906" s="21"/>
      <c r="Z906" s="16"/>
    </row>
    <row r="907" ht="12.75" spans="1:26">
      <c r="A907" s="16"/>
      <c r="B907" s="1"/>
      <c r="C907" s="15"/>
      <c r="D907" s="16"/>
      <c r="E907" s="27"/>
      <c r="F907" s="21"/>
      <c r="G907" s="27"/>
      <c r="K907" s="21"/>
      <c r="L907" s="27"/>
      <c r="Q907" s="21"/>
      <c r="S907" s="21"/>
      <c r="T907" s="27"/>
      <c r="Y907" s="21"/>
      <c r="Z907" s="16"/>
    </row>
    <row r="908" ht="12.75" spans="1:26">
      <c r="A908" s="16"/>
      <c r="B908" s="1"/>
      <c r="C908" s="15"/>
      <c r="D908" s="16"/>
      <c r="E908" s="27"/>
      <c r="F908" s="21"/>
      <c r="G908" s="27"/>
      <c r="K908" s="21"/>
      <c r="L908" s="27"/>
      <c r="Q908" s="21"/>
      <c r="S908" s="21"/>
      <c r="T908" s="27"/>
      <c r="Y908" s="21"/>
      <c r="Z908" s="16"/>
    </row>
    <row r="909" ht="12.75" spans="1:26">
      <c r="A909" s="16"/>
      <c r="B909" s="1"/>
      <c r="C909" s="15"/>
      <c r="D909" s="16"/>
      <c r="E909" s="27"/>
      <c r="F909" s="21"/>
      <c r="G909" s="27"/>
      <c r="K909" s="21"/>
      <c r="L909" s="27"/>
      <c r="Q909" s="21"/>
      <c r="S909" s="21"/>
      <c r="T909" s="27"/>
      <c r="Y909" s="21"/>
      <c r="Z909" s="16"/>
    </row>
    <row r="910" ht="12.75" spans="1:26">
      <c r="A910" s="16"/>
      <c r="B910" s="1"/>
      <c r="C910" s="15"/>
      <c r="D910" s="16"/>
      <c r="E910" s="27"/>
      <c r="F910" s="21"/>
      <c r="G910" s="27"/>
      <c r="K910" s="21"/>
      <c r="L910" s="27"/>
      <c r="Q910" s="21"/>
      <c r="S910" s="21"/>
      <c r="T910" s="27"/>
      <c r="Y910" s="21"/>
      <c r="Z910" s="16"/>
    </row>
    <row r="911" ht="12.75" spans="1:26">
      <c r="A911" s="16"/>
      <c r="B911" s="1"/>
      <c r="C911" s="15"/>
      <c r="D911" s="16"/>
      <c r="E911" s="27"/>
      <c r="F911" s="21"/>
      <c r="G911" s="27"/>
      <c r="K911" s="21"/>
      <c r="L911" s="27"/>
      <c r="Q911" s="21"/>
      <c r="S911" s="21"/>
      <c r="T911" s="27"/>
      <c r="Y911" s="21"/>
      <c r="Z911" s="16"/>
    </row>
    <row r="912" ht="12.75" spans="1:26">
      <c r="A912" s="16"/>
      <c r="B912" s="1"/>
      <c r="C912" s="15"/>
      <c r="D912" s="16"/>
      <c r="E912" s="27"/>
      <c r="F912" s="21"/>
      <c r="G912" s="27"/>
      <c r="K912" s="21"/>
      <c r="L912" s="27"/>
      <c r="Q912" s="21"/>
      <c r="S912" s="21"/>
      <c r="T912" s="27"/>
      <c r="Y912" s="21"/>
      <c r="Z912" s="16"/>
    </row>
    <row r="913" ht="12.75" spans="1:26">
      <c r="A913" s="16"/>
      <c r="B913" s="1"/>
      <c r="C913" s="15"/>
      <c r="D913" s="16"/>
      <c r="E913" s="27"/>
      <c r="F913" s="21"/>
      <c r="G913" s="27"/>
      <c r="K913" s="21"/>
      <c r="L913" s="27"/>
      <c r="Q913" s="21"/>
      <c r="S913" s="21"/>
      <c r="T913" s="27"/>
      <c r="Y913" s="21"/>
      <c r="Z913" s="16"/>
    </row>
    <row r="914" ht="12.75" spans="1:26">
      <c r="A914" s="16"/>
      <c r="B914" s="1"/>
      <c r="C914" s="15"/>
      <c r="D914" s="16"/>
      <c r="E914" s="27"/>
      <c r="F914" s="21"/>
      <c r="G914" s="27"/>
      <c r="K914" s="21"/>
      <c r="L914" s="27"/>
      <c r="Q914" s="21"/>
      <c r="S914" s="21"/>
      <c r="T914" s="27"/>
      <c r="Y914" s="21"/>
      <c r="Z914" s="16"/>
    </row>
    <row r="915" ht="12.75" spans="1:26">
      <c r="A915" s="16"/>
      <c r="B915" s="1"/>
      <c r="C915" s="15"/>
      <c r="D915" s="16"/>
      <c r="E915" s="27"/>
      <c r="F915" s="21"/>
      <c r="G915" s="27"/>
      <c r="K915" s="21"/>
      <c r="L915" s="27"/>
      <c r="Q915" s="21"/>
      <c r="S915" s="21"/>
      <c r="T915" s="27"/>
      <c r="Y915" s="21"/>
      <c r="Z915" s="16"/>
    </row>
    <row r="916" ht="12.75" spans="1:26">
      <c r="A916" s="16"/>
      <c r="B916" s="1"/>
      <c r="C916" s="15"/>
      <c r="D916" s="16"/>
      <c r="E916" s="27"/>
      <c r="F916" s="21"/>
      <c r="G916" s="27"/>
      <c r="K916" s="21"/>
      <c r="L916" s="27"/>
      <c r="Q916" s="21"/>
      <c r="S916" s="21"/>
      <c r="T916" s="27"/>
      <c r="Y916" s="21"/>
      <c r="Z916" s="16"/>
    </row>
    <row r="917" ht="12.75" spans="1:26">
      <c r="A917" s="16"/>
      <c r="B917" s="1"/>
      <c r="C917" s="15"/>
      <c r="D917" s="16"/>
      <c r="E917" s="27"/>
      <c r="F917" s="21"/>
      <c r="G917" s="27"/>
      <c r="K917" s="21"/>
      <c r="L917" s="27"/>
      <c r="Q917" s="21"/>
      <c r="S917" s="21"/>
      <c r="T917" s="27"/>
      <c r="Y917" s="21"/>
      <c r="Z917" s="16"/>
    </row>
    <row r="918" ht="12.75" spans="1:26">
      <c r="A918" s="16"/>
      <c r="B918" s="1"/>
      <c r="C918" s="15"/>
      <c r="D918" s="16"/>
      <c r="E918" s="27"/>
      <c r="F918" s="21"/>
      <c r="G918" s="27"/>
      <c r="K918" s="21"/>
      <c r="L918" s="27"/>
      <c r="Q918" s="21"/>
      <c r="S918" s="21"/>
      <c r="T918" s="27"/>
      <c r="Y918" s="21"/>
      <c r="Z918" s="16"/>
    </row>
    <row r="919" ht="12.75" spans="1:26">
      <c r="A919" s="16"/>
      <c r="B919" s="1"/>
      <c r="C919" s="15"/>
      <c r="D919" s="16"/>
      <c r="E919" s="27"/>
      <c r="F919" s="21"/>
      <c r="G919" s="27"/>
      <c r="K919" s="21"/>
      <c r="L919" s="27"/>
      <c r="Q919" s="21"/>
      <c r="S919" s="21"/>
      <c r="T919" s="27"/>
      <c r="Y919" s="21"/>
      <c r="Z919" s="16"/>
    </row>
    <row r="920" ht="12.75" spans="1:26">
      <c r="A920" s="16"/>
      <c r="B920" s="1"/>
      <c r="C920" s="15"/>
      <c r="D920" s="16"/>
      <c r="E920" s="27"/>
      <c r="F920" s="21"/>
      <c r="G920" s="27"/>
      <c r="K920" s="21"/>
      <c r="L920" s="27"/>
      <c r="Q920" s="21"/>
      <c r="S920" s="21"/>
      <c r="T920" s="27"/>
      <c r="Y920" s="21"/>
      <c r="Z920" s="16"/>
    </row>
    <row r="921" ht="12.75" spans="1:26">
      <c r="A921" s="16"/>
      <c r="B921" s="1"/>
      <c r="C921" s="15"/>
      <c r="D921" s="16"/>
      <c r="E921" s="27"/>
      <c r="F921" s="21"/>
      <c r="G921" s="27"/>
      <c r="K921" s="21"/>
      <c r="L921" s="27"/>
      <c r="Q921" s="21"/>
      <c r="S921" s="21"/>
      <c r="T921" s="27"/>
      <c r="Y921" s="21"/>
      <c r="Z921" s="16"/>
    </row>
    <row r="922" ht="12.75" spans="1:26">
      <c r="A922" s="16"/>
      <c r="B922" s="1"/>
      <c r="C922" s="15"/>
      <c r="D922" s="16"/>
      <c r="E922" s="27"/>
      <c r="F922" s="21"/>
      <c r="G922" s="27"/>
      <c r="K922" s="21"/>
      <c r="L922" s="27"/>
      <c r="Q922" s="21"/>
      <c r="S922" s="21"/>
      <c r="T922" s="27"/>
      <c r="Y922" s="21"/>
      <c r="Z922" s="16"/>
    </row>
    <row r="923" ht="12.75" spans="1:26">
      <c r="A923" s="16"/>
      <c r="B923" s="1"/>
      <c r="C923" s="15"/>
      <c r="D923" s="16"/>
      <c r="E923" s="27"/>
      <c r="F923" s="21"/>
      <c r="G923" s="27"/>
      <c r="K923" s="21"/>
      <c r="L923" s="27"/>
      <c r="Q923" s="21"/>
      <c r="S923" s="21"/>
      <c r="T923" s="27"/>
      <c r="Y923" s="21"/>
      <c r="Z923" s="16"/>
    </row>
    <row r="924" ht="12.75" spans="1:26">
      <c r="A924" s="16"/>
      <c r="B924" s="1"/>
      <c r="C924" s="15"/>
      <c r="D924" s="16"/>
      <c r="E924" s="27"/>
      <c r="F924" s="21"/>
      <c r="G924" s="27"/>
      <c r="K924" s="21"/>
      <c r="L924" s="27"/>
      <c r="Q924" s="21"/>
      <c r="S924" s="21"/>
      <c r="T924" s="27"/>
      <c r="Y924" s="21"/>
      <c r="Z924" s="16"/>
    </row>
    <row r="925" ht="12.75" spans="1:26">
      <c r="A925" s="16"/>
      <c r="B925" s="1"/>
      <c r="C925" s="15"/>
      <c r="D925" s="16"/>
      <c r="E925" s="27"/>
      <c r="F925" s="21"/>
      <c r="G925" s="27"/>
      <c r="K925" s="21"/>
      <c r="L925" s="27"/>
      <c r="Q925" s="21"/>
      <c r="S925" s="21"/>
      <c r="T925" s="27"/>
      <c r="Y925" s="21"/>
      <c r="Z925" s="16"/>
    </row>
    <row r="926" ht="12.75" spans="1:26">
      <c r="A926" s="16"/>
      <c r="B926" s="1"/>
      <c r="C926" s="15"/>
      <c r="D926" s="16"/>
      <c r="E926" s="27"/>
      <c r="F926" s="21"/>
      <c r="G926" s="27"/>
      <c r="K926" s="21"/>
      <c r="L926" s="27"/>
      <c r="Q926" s="21"/>
      <c r="S926" s="21"/>
      <c r="T926" s="27"/>
      <c r="Y926" s="21"/>
      <c r="Z926" s="16"/>
    </row>
    <row r="927" ht="12.75" spans="1:26">
      <c r="A927" s="16"/>
      <c r="B927" s="1"/>
      <c r="C927" s="15"/>
      <c r="D927" s="16"/>
      <c r="E927" s="27"/>
      <c r="F927" s="21"/>
      <c r="G927" s="27"/>
      <c r="K927" s="21"/>
      <c r="L927" s="27"/>
      <c r="Q927" s="21"/>
      <c r="S927" s="21"/>
      <c r="T927" s="27"/>
      <c r="Y927" s="21"/>
      <c r="Z927" s="16"/>
    </row>
    <row r="928" ht="12.75" spans="1:26">
      <c r="A928" s="16"/>
      <c r="B928" s="1"/>
      <c r="C928" s="15"/>
      <c r="D928" s="16"/>
      <c r="E928" s="27"/>
      <c r="F928" s="21"/>
      <c r="G928" s="27"/>
      <c r="K928" s="21"/>
      <c r="L928" s="27"/>
      <c r="Q928" s="21"/>
      <c r="S928" s="21"/>
      <c r="T928" s="27"/>
      <c r="Y928" s="21"/>
      <c r="Z928" s="16"/>
    </row>
    <row r="929" ht="12.75" spans="1:26">
      <c r="A929" s="16"/>
      <c r="B929" s="1"/>
      <c r="C929" s="15"/>
      <c r="D929" s="16"/>
      <c r="E929" s="27"/>
      <c r="F929" s="21"/>
      <c r="G929" s="27"/>
      <c r="K929" s="21"/>
      <c r="L929" s="27"/>
      <c r="Q929" s="21"/>
      <c r="S929" s="21"/>
      <c r="T929" s="27"/>
      <c r="Y929" s="21"/>
      <c r="Z929" s="16"/>
    </row>
    <row r="930" ht="12.75" spans="1:26">
      <c r="A930" s="16"/>
      <c r="B930" s="1"/>
      <c r="C930" s="15"/>
      <c r="D930" s="16"/>
      <c r="E930" s="27"/>
      <c r="F930" s="21"/>
      <c r="G930" s="27"/>
      <c r="K930" s="21"/>
      <c r="L930" s="27"/>
      <c r="Q930" s="21"/>
      <c r="S930" s="21"/>
      <c r="T930" s="27"/>
      <c r="Y930" s="21"/>
      <c r="Z930" s="16"/>
    </row>
    <row r="931" ht="12.75" spans="1:26">
      <c r="A931" s="16"/>
      <c r="B931" s="1"/>
      <c r="C931" s="15"/>
      <c r="D931" s="16"/>
      <c r="E931" s="27"/>
      <c r="F931" s="21"/>
      <c r="G931" s="27"/>
      <c r="K931" s="21"/>
      <c r="L931" s="27"/>
      <c r="Q931" s="21"/>
      <c r="S931" s="21"/>
      <c r="T931" s="27"/>
      <c r="Y931" s="21"/>
      <c r="Z931" s="16"/>
    </row>
    <row r="932" ht="12.75" spans="1:26">
      <c r="A932" s="16"/>
      <c r="B932" s="1"/>
      <c r="C932" s="15"/>
      <c r="D932" s="16"/>
      <c r="E932" s="27"/>
      <c r="F932" s="21"/>
      <c r="G932" s="27"/>
      <c r="K932" s="21"/>
      <c r="L932" s="27"/>
      <c r="Q932" s="21"/>
      <c r="S932" s="21"/>
      <c r="T932" s="27"/>
      <c r="Y932" s="21"/>
      <c r="Z932" s="16"/>
    </row>
    <row r="933" ht="12.75" spans="1:26">
      <c r="A933" s="16"/>
      <c r="B933" s="1"/>
      <c r="C933" s="15"/>
      <c r="D933" s="16"/>
      <c r="E933" s="27"/>
      <c r="F933" s="21"/>
      <c r="G933" s="27"/>
      <c r="K933" s="21"/>
      <c r="L933" s="27"/>
      <c r="Q933" s="21"/>
      <c r="S933" s="21"/>
      <c r="T933" s="27"/>
      <c r="Y933" s="21"/>
      <c r="Z933" s="16"/>
    </row>
    <row r="934" ht="12.75" spans="1:26">
      <c r="A934" s="16"/>
      <c r="B934" s="1"/>
      <c r="C934" s="15"/>
      <c r="D934" s="16"/>
      <c r="E934" s="27"/>
      <c r="F934" s="21"/>
      <c r="G934" s="27"/>
      <c r="K934" s="21"/>
      <c r="L934" s="27"/>
      <c r="Q934" s="21"/>
      <c r="S934" s="21"/>
      <c r="T934" s="27"/>
      <c r="Y934" s="21"/>
      <c r="Z934" s="16"/>
    </row>
    <row r="935" ht="12.75" spans="1:26">
      <c r="A935" s="16"/>
      <c r="B935" s="1"/>
      <c r="C935" s="15"/>
      <c r="D935" s="16"/>
      <c r="E935" s="27"/>
      <c r="F935" s="21"/>
      <c r="G935" s="27"/>
      <c r="K935" s="21"/>
      <c r="L935" s="27"/>
      <c r="Q935" s="21"/>
      <c r="S935" s="21"/>
      <c r="T935" s="27"/>
      <c r="Y935" s="21"/>
      <c r="Z935" s="16"/>
    </row>
    <row r="936" ht="12.75" spans="1:26">
      <c r="A936" s="16"/>
      <c r="B936" s="1"/>
      <c r="C936" s="15"/>
      <c r="D936" s="16"/>
      <c r="E936" s="27"/>
      <c r="F936" s="21"/>
      <c r="G936" s="27"/>
      <c r="K936" s="21"/>
      <c r="L936" s="27"/>
      <c r="Q936" s="21"/>
      <c r="S936" s="21"/>
      <c r="T936" s="27"/>
      <c r="Y936" s="21"/>
      <c r="Z936" s="16"/>
    </row>
    <row r="937" ht="12.75" spans="1:26">
      <c r="A937" s="16"/>
      <c r="B937" s="1"/>
      <c r="C937" s="15"/>
      <c r="D937" s="16"/>
      <c r="E937" s="27"/>
      <c r="F937" s="21"/>
      <c r="G937" s="27"/>
      <c r="K937" s="21"/>
      <c r="L937" s="27"/>
      <c r="Q937" s="21"/>
      <c r="S937" s="21"/>
      <c r="T937" s="27"/>
      <c r="Y937" s="21"/>
      <c r="Z937" s="16"/>
    </row>
    <row r="938" ht="12.75" spans="1:26">
      <c r="A938" s="16"/>
      <c r="B938" s="1"/>
      <c r="C938" s="15"/>
      <c r="D938" s="16"/>
      <c r="E938" s="27"/>
      <c r="F938" s="21"/>
      <c r="G938" s="27"/>
      <c r="K938" s="21"/>
      <c r="L938" s="27"/>
      <c r="Q938" s="21"/>
      <c r="S938" s="21"/>
      <c r="T938" s="27"/>
      <c r="Y938" s="21"/>
      <c r="Z938" s="16"/>
    </row>
    <row r="939" ht="12.75" spans="1:26">
      <c r="A939" s="16"/>
      <c r="B939" s="1"/>
      <c r="C939" s="15"/>
      <c r="D939" s="16"/>
      <c r="E939" s="27"/>
      <c r="F939" s="21"/>
      <c r="G939" s="27"/>
      <c r="K939" s="21"/>
      <c r="L939" s="27"/>
      <c r="Q939" s="21"/>
      <c r="S939" s="21"/>
      <c r="T939" s="27"/>
      <c r="Y939" s="21"/>
      <c r="Z939" s="16"/>
    </row>
    <row r="940" ht="12.75" spans="1:26">
      <c r="A940" s="16"/>
      <c r="B940" s="1"/>
      <c r="C940" s="15"/>
      <c r="D940" s="16"/>
      <c r="E940" s="27"/>
      <c r="F940" s="21"/>
      <c r="G940" s="27"/>
      <c r="K940" s="21"/>
      <c r="L940" s="27"/>
      <c r="Q940" s="21"/>
      <c r="S940" s="21"/>
      <c r="T940" s="27"/>
      <c r="Y940" s="21"/>
      <c r="Z940" s="16"/>
    </row>
    <row r="941" ht="12.75" spans="1:26">
      <c r="A941" s="16"/>
      <c r="B941" s="1"/>
      <c r="C941" s="15"/>
      <c r="D941" s="16"/>
      <c r="E941" s="27"/>
      <c r="F941" s="21"/>
      <c r="G941" s="27"/>
      <c r="K941" s="21"/>
      <c r="L941" s="27"/>
      <c r="Q941" s="21"/>
      <c r="S941" s="21"/>
      <c r="T941" s="27"/>
      <c r="Y941" s="21"/>
      <c r="Z941" s="16"/>
    </row>
    <row r="942" ht="12.75" spans="1:26">
      <c r="A942" s="16"/>
      <c r="B942" s="1"/>
      <c r="C942" s="15"/>
      <c r="D942" s="16"/>
      <c r="E942" s="27"/>
      <c r="F942" s="21"/>
      <c r="G942" s="27"/>
      <c r="K942" s="21"/>
      <c r="L942" s="27"/>
      <c r="Q942" s="21"/>
      <c r="S942" s="21"/>
      <c r="T942" s="27"/>
      <c r="Y942" s="21"/>
      <c r="Z942" s="16"/>
    </row>
    <row r="943" ht="12.75" spans="1:26">
      <c r="A943" s="16"/>
      <c r="B943" s="1"/>
      <c r="C943" s="15"/>
      <c r="D943" s="16"/>
      <c r="E943" s="27"/>
      <c r="F943" s="21"/>
      <c r="G943" s="27"/>
      <c r="K943" s="21"/>
      <c r="L943" s="27"/>
      <c r="Q943" s="21"/>
      <c r="S943" s="21"/>
      <c r="T943" s="27"/>
      <c r="Y943" s="21"/>
      <c r="Z943" s="16"/>
    </row>
    <row r="944" ht="12.75" spans="1:26">
      <c r="A944" s="16"/>
      <c r="B944" s="1"/>
      <c r="C944" s="15"/>
      <c r="D944" s="16"/>
      <c r="E944" s="27"/>
      <c r="F944" s="21"/>
      <c r="G944" s="27"/>
      <c r="K944" s="21"/>
      <c r="L944" s="27"/>
      <c r="Q944" s="21"/>
      <c r="S944" s="21"/>
      <c r="T944" s="27"/>
      <c r="Y944" s="21"/>
      <c r="Z944" s="16"/>
    </row>
    <row r="945" ht="12.75" spans="1:26">
      <c r="A945" s="16"/>
      <c r="B945" s="1"/>
      <c r="C945" s="15"/>
      <c r="D945" s="16"/>
      <c r="E945" s="27"/>
      <c r="F945" s="21"/>
      <c r="G945" s="27"/>
      <c r="K945" s="21"/>
      <c r="L945" s="27"/>
      <c r="Q945" s="21"/>
      <c r="S945" s="21"/>
      <c r="T945" s="27"/>
      <c r="Y945" s="21"/>
      <c r="Z945" s="16"/>
    </row>
    <row r="946" ht="12.75" spans="1:26">
      <c r="A946" s="16"/>
      <c r="B946" s="1"/>
      <c r="C946" s="15"/>
      <c r="D946" s="16"/>
      <c r="E946" s="27"/>
      <c r="F946" s="21"/>
      <c r="G946" s="27"/>
      <c r="K946" s="21"/>
      <c r="L946" s="27"/>
      <c r="Q946" s="21"/>
      <c r="S946" s="21"/>
      <c r="T946" s="27"/>
      <c r="Y946" s="21"/>
      <c r="Z946" s="16"/>
    </row>
    <row r="947" ht="12.75" spans="1:26">
      <c r="A947" s="16"/>
      <c r="B947" s="1"/>
      <c r="C947" s="15"/>
      <c r="D947" s="16"/>
      <c r="E947" s="27"/>
      <c r="F947" s="21"/>
      <c r="G947" s="27"/>
      <c r="K947" s="21"/>
      <c r="L947" s="27"/>
      <c r="Q947" s="21"/>
      <c r="S947" s="21"/>
      <c r="T947" s="27"/>
      <c r="Y947" s="21"/>
      <c r="Z947" s="16"/>
    </row>
    <row r="948" ht="12.75" spans="1:26">
      <c r="A948" s="16"/>
      <c r="B948" s="1"/>
      <c r="C948" s="15"/>
      <c r="D948" s="16"/>
      <c r="E948" s="27"/>
      <c r="F948" s="21"/>
      <c r="G948" s="27"/>
      <c r="K948" s="21"/>
      <c r="L948" s="27"/>
      <c r="Q948" s="21"/>
      <c r="S948" s="21"/>
      <c r="T948" s="27"/>
      <c r="Y948" s="21"/>
      <c r="Z948" s="16"/>
    </row>
    <row r="949" ht="12.75" spans="1:26">
      <c r="A949" s="16"/>
      <c r="B949" s="1"/>
      <c r="C949" s="15"/>
      <c r="D949" s="16"/>
      <c r="E949" s="27"/>
      <c r="F949" s="21"/>
      <c r="G949" s="27"/>
      <c r="K949" s="21"/>
      <c r="L949" s="27"/>
      <c r="Q949" s="21"/>
      <c r="S949" s="21"/>
      <c r="T949" s="27"/>
      <c r="Y949" s="21"/>
      <c r="Z949" s="16"/>
    </row>
    <row r="950" ht="12.75" spans="1:26">
      <c r="A950" s="16"/>
      <c r="B950" s="1"/>
      <c r="C950" s="15"/>
      <c r="D950" s="16"/>
      <c r="E950" s="27"/>
      <c r="F950" s="21"/>
      <c r="G950" s="27"/>
      <c r="K950" s="21"/>
      <c r="L950" s="27"/>
      <c r="Q950" s="21"/>
      <c r="S950" s="21"/>
      <c r="T950" s="27"/>
      <c r="Y950" s="21"/>
      <c r="Z950" s="16"/>
    </row>
    <row r="951" ht="12.75" spans="1:26">
      <c r="A951" s="16"/>
      <c r="B951" s="1"/>
      <c r="C951" s="15"/>
      <c r="D951" s="16"/>
      <c r="E951" s="27"/>
      <c r="F951" s="21"/>
      <c r="G951" s="27"/>
      <c r="K951" s="21"/>
      <c r="L951" s="27"/>
      <c r="Q951" s="21"/>
      <c r="S951" s="21"/>
      <c r="T951" s="27"/>
      <c r="Y951" s="21"/>
      <c r="Z951" s="16"/>
    </row>
    <row r="952" ht="12.75" spans="1:26">
      <c r="A952" s="16"/>
      <c r="B952" s="1"/>
      <c r="C952" s="15"/>
      <c r="D952" s="16"/>
      <c r="E952" s="27"/>
      <c r="F952" s="21"/>
      <c r="G952" s="27"/>
      <c r="K952" s="21"/>
      <c r="L952" s="27"/>
      <c r="Q952" s="21"/>
      <c r="S952" s="21"/>
      <c r="T952" s="27"/>
      <c r="Y952" s="21"/>
      <c r="Z952" s="16"/>
    </row>
    <row r="953" ht="12.75" spans="1:26">
      <c r="A953" s="16"/>
      <c r="B953" s="1"/>
      <c r="C953" s="15"/>
      <c r="D953" s="16"/>
      <c r="E953" s="27"/>
      <c r="F953" s="21"/>
      <c r="G953" s="27"/>
      <c r="K953" s="21"/>
      <c r="L953" s="27"/>
      <c r="Q953" s="21"/>
      <c r="S953" s="21"/>
      <c r="T953" s="27"/>
      <c r="Y953" s="21"/>
      <c r="Z953" s="16"/>
    </row>
    <row r="954" ht="12.75" spans="1:26">
      <c r="A954" s="16"/>
      <c r="B954" s="1"/>
      <c r="C954" s="15"/>
      <c r="D954" s="16"/>
      <c r="E954" s="27"/>
      <c r="F954" s="21"/>
      <c r="G954" s="27"/>
      <c r="K954" s="21"/>
      <c r="L954" s="27"/>
      <c r="Q954" s="21"/>
      <c r="S954" s="21"/>
      <c r="T954" s="27"/>
      <c r="Y954" s="21"/>
      <c r="Z954" s="16"/>
    </row>
    <row r="955" ht="12.75" spans="1:26">
      <c r="A955" s="16"/>
      <c r="B955" s="1"/>
      <c r="C955" s="15"/>
      <c r="D955" s="16"/>
      <c r="E955" s="27"/>
      <c r="F955" s="21"/>
      <c r="G955" s="27"/>
      <c r="K955" s="21"/>
      <c r="L955" s="27"/>
      <c r="Q955" s="21"/>
      <c r="S955" s="21"/>
      <c r="T955" s="27"/>
      <c r="Y955" s="21"/>
      <c r="Z955" s="16"/>
    </row>
    <row r="956" ht="12.75" spans="1:26">
      <c r="A956" s="16"/>
      <c r="B956" s="1"/>
      <c r="C956" s="15"/>
      <c r="D956" s="16"/>
      <c r="E956" s="27"/>
      <c r="F956" s="21"/>
      <c r="G956" s="27"/>
      <c r="K956" s="21"/>
      <c r="L956" s="27"/>
      <c r="Q956" s="21"/>
      <c r="S956" s="21"/>
      <c r="T956" s="27"/>
      <c r="Y956" s="21"/>
      <c r="Z956" s="16"/>
    </row>
    <row r="957" ht="12.75" spans="1:26">
      <c r="A957" s="16"/>
      <c r="B957" s="1"/>
      <c r="C957" s="15"/>
      <c r="D957" s="16"/>
      <c r="E957" s="27"/>
      <c r="F957" s="21"/>
      <c r="G957" s="27"/>
      <c r="K957" s="21"/>
      <c r="L957" s="27"/>
      <c r="Q957" s="21"/>
      <c r="S957" s="21"/>
      <c r="T957" s="27"/>
      <c r="Y957" s="21"/>
      <c r="Z957" s="16"/>
    </row>
    <row r="958" ht="12.75" spans="1:26">
      <c r="A958" s="16"/>
      <c r="B958" s="1"/>
      <c r="C958" s="15"/>
      <c r="D958" s="16"/>
      <c r="E958" s="27"/>
      <c r="F958" s="21"/>
      <c r="G958" s="27"/>
      <c r="K958" s="21"/>
      <c r="L958" s="27"/>
      <c r="Q958" s="21"/>
      <c r="S958" s="21"/>
      <c r="T958" s="27"/>
      <c r="Y958" s="21"/>
      <c r="Z958" s="16"/>
    </row>
    <row r="959" ht="12.75" spans="1:26">
      <c r="A959" s="16"/>
      <c r="B959" s="1"/>
      <c r="C959" s="15"/>
      <c r="D959" s="16"/>
      <c r="E959" s="27"/>
      <c r="F959" s="21"/>
      <c r="G959" s="27"/>
      <c r="K959" s="21"/>
      <c r="L959" s="27"/>
      <c r="Q959" s="21"/>
      <c r="S959" s="21"/>
      <c r="T959" s="27"/>
      <c r="Y959" s="21"/>
      <c r="Z959" s="16"/>
    </row>
    <row r="960" ht="12.75" spans="1:26">
      <c r="A960" s="16"/>
      <c r="B960" s="1"/>
      <c r="C960" s="15"/>
      <c r="D960" s="16"/>
      <c r="E960" s="27"/>
      <c r="F960" s="21"/>
      <c r="G960" s="27"/>
      <c r="K960" s="21"/>
      <c r="L960" s="27"/>
      <c r="Q960" s="21"/>
      <c r="S960" s="21"/>
      <c r="T960" s="27"/>
      <c r="Y960" s="21"/>
      <c r="Z960" s="16"/>
    </row>
    <row r="961" ht="12.75" spans="1:26">
      <c r="A961" s="16"/>
      <c r="B961" s="1"/>
      <c r="C961" s="15"/>
      <c r="D961" s="16"/>
      <c r="E961" s="27"/>
      <c r="F961" s="21"/>
      <c r="G961" s="27"/>
      <c r="K961" s="21"/>
      <c r="L961" s="27"/>
      <c r="Q961" s="21"/>
      <c r="S961" s="21"/>
      <c r="T961" s="27"/>
      <c r="Y961" s="21"/>
      <c r="Z961" s="16"/>
    </row>
    <row r="962" ht="12.75" spans="1:26">
      <c r="A962" s="16"/>
      <c r="B962" s="1"/>
      <c r="C962" s="15"/>
      <c r="D962" s="16"/>
      <c r="E962" s="27"/>
      <c r="F962" s="21"/>
      <c r="G962" s="27"/>
      <c r="K962" s="21"/>
      <c r="L962" s="27"/>
      <c r="Q962" s="21"/>
      <c r="S962" s="21"/>
      <c r="T962" s="27"/>
      <c r="Y962" s="21"/>
      <c r="Z962" s="16"/>
    </row>
    <row r="963" ht="12.75" spans="1:26">
      <c r="A963" s="16"/>
      <c r="B963" s="1"/>
      <c r="C963" s="15"/>
      <c r="D963" s="16"/>
      <c r="E963" s="27"/>
      <c r="F963" s="21"/>
      <c r="G963" s="27"/>
      <c r="K963" s="21"/>
      <c r="L963" s="27"/>
      <c r="Q963" s="21"/>
      <c r="S963" s="21"/>
      <c r="T963" s="27"/>
      <c r="Y963" s="21"/>
      <c r="Z963" s="16"/>
    </row>
    <row r="964" ht="12.75" spans="1:26">
      <c r="A964" s="16"/>
      <c r="B964" s="1"/>
      <c r="C964" s="15"/>
      <c r="D964" s="16"/>
      <c r="E964" s="27"/>
      <c r="F964" s="21"/>
      <c r="G964" s="27"/>
      <c r="K964" s="21"/>
      <c r="L964" s="27"/>
      <c r="Q964" s="21"/>
      <c r="S964" s="21"/>
      <c r="T964" s="27"/>
      <c r="Y964" s="21"/>
      <c r="Z964" s="16"/>
    </row>
    <row r="965" ht="12.75" spans="1:26">
      <c r="A965" s="16"/>
      <c r="B965" s="1"/>
      <c r="C965" s="15"/>
      <c r="D965" s="16"/>
      <c r="E965" s="27"/>
      <c r="F965" s="21"/>
      <c r="G965" s="27"/>
      <c r="K965" s="21"/>
      <c r="L965" s="27"/>
      <c r="Q965" s="21"/>
      <c r="S965" s="21"/>
      <c r="T965" s="27"/>
      <c r="Y965" s="21"/>
      <c r="Z965" s="16"/>
    </row>
    <row r="966" ht="12.75" spans="1:26">
      <c r="A966" s="16"/>
      <c r="B966" s="1"/>
      <c r="C966" s="15"/>
      <c r="D966" s="16"/>
      <c r="E966" s="27"/>
      <c r="F966" s="21"/>
      <c r="G966" s="27"/>
      <c r="K966" s="21"/>
      <c r="L966" s="27"/>
      <c r="Q966" s="21"/>
      <c r="S966" s="21"/>
      <c r="T966" s="27"/>
      <c r="Y966" s="21"/>
      <c r="Z966" s="16"/>
    </row>
    <row r="967" ht="12.75" spans="1:26">
      <c r="A967" s="16"/>
      <c r="B967" s="1"/>
      <c r="C967" s="15"/>
      <c r="D967" s="16"/>
      <c r="E967" s="27"/>
      <c r="F967" s="21"/>
      <c r="G967" s="27"/>
      <c r="K967" s="21"/>
      <c r="L967" s="27"/>
      <c r="Q967" s="21"/>
      <c r="S967" s="21"/>
      <c r="T967" s="27"/>
      <c r="Y967" s="21"/>
      <c r="Z967" s="16"/>
    </row>
    <row r="968" ht="12.75" spans="1:26">
      <c r="A968" s="16"/>
      <c r="B968" s="1"/>
      <c r="C968" s="15"/>
      <c r="D968" s="16"/>
      <c r="E968" s="27"/>
      <c r="F968" s="21"/>
      <c r="G968" s="27"/>
      <c r="K968" s="21"/>
      <c r="L968" s="27"/>
      <c r="Q968" s="21"/>
      <c r="S968" s="21"/>
      <c r="T968" s="27"/>
      <c r="Y968" s="21"/>
      <c r="Z968" s="16"/>
    </row>
    <row r="969" ht="12.75" spans="1:26">
      <c r="A969" s="16"/>
      <c r="B969" s="1"/>
      <c r="C969" s="15"/>
      <c r="D969" s="16"/>
      <c r="E969" s="27"/>
      <c r="F969" s="21"/>
      <c r="G969" s="27"/>
      <c r="K969" s="21"/>
      <c r="L969" s="27"/>
      <c r="Q969" s="21"/>
      <c r="S969" s="21"/>
      <c r="T969" s="27"/>
      <c r="Y969" s="21"/>
      <c r="Z969" s="16"/>
    </row>
    <row r="970" ht="12.75" spans="1:26">
      <c r="A970" s="16"/>
      <c r="B970" s="1"/>
      <c r="C970" s="15"/>
      <c r="D970" s="16"/>
      <c r="E970" s="27"/>
      <c r="F970" s="21"/>
      <c r="G970" s="27"/>
      <c r="K970" s="21"/>
      <c r="L970" s="27"/>
      <c r="Q970" s="21"/>
      <c r="S970" s="21"/>
      <c r="T970" s="27"/>
      <c r="Y970" s="21"/>
      <c r="Z970" s="16"/>
    </row>
    <row r="971" ht="12.75" spans="1:26">
      <c r="A971" s="16"/>
      <c r="B971" s="1"/>
      <c r="C971" s="15"/>
      <c r="D971" s="16"/>
      <c r="E971" s="27"/>
      <c r="F971" s="21"/>
      <c r="G971" s="27"/>
      <c r="K971" s="21"/>
      <c r="L971" s="27"/>
      <c r="Q971" s="21"/>
      <c r="S971" s="21"/>
      <c r="T971" s="27"/>
      <c r="Y971" s="21"/>
      <c r="Z971" s="16"/>
    </row>
    <row r="972" ht="12.75" spans="1:26">
      <c r="A972" s="16"/>
      <c r="B972" s="1"/>
      <c r="C972" s="15"/>
      <c r="D972" s="16"/>
      <c r="E972" s="27"/>
      <c r="F972" s="21"/>
      <c r="G972" s="27"/>
      <c r="K972" s="21"/>
      <c r="L972" s="27"/>
      <c r="Q972" s="21"/>
      <c r="S972" s="21"/>
      <c r="T972" s="27"/>
      <c r="Y972" s="21"/>
      <c r="Z972" s="16"/>
    </row>
    <row r="973" ht="12.75" spans="1:26">
      <c r="A973" s="16"/>
      <c r="B973" s="1"/>
      <c r="C973" s="15"/>
      <c r="D973" s="16"/>
      <c r="E973" s="27"/>
      <c r="F973" s="21"/>
      <c r="G973" s="27"/>
      <c r="K973" s="21"/>
      <c r="L973" s="27"/>
      <c r="Q973" s="21"/>
      <c r="S973" s="21"/>
      <c r="T973" s="27"/>
      <c r="Y973" s="21"/>
      <c r="Z973" s="16"/>
    </row>
    <row r="974" ht="12.75" spans="1:26">
      <c r="A974" s="16"/>
      <c r="B974" s="1"/>
      <c r="C974" s="15"/>
      <c r="D974" s="16"/>
      <c r="E974" s="27"/>
      <c r="F974" s="21"/>
      <c r="G974" s="27"/>
      <c r="K974" s="21"/>
      <c r="L974" s="27"/>
      <c r="Q974" s="21"/>
      <c r="S974" s="21"/>
      <c r="T974" s="27"/>
      <c r="Y974" s="21"/>
      <c r="Z974" s="16"/>
    </row>
    <row r="975" ht="12.75" spans="1:26">
      <c r="A975" s="16"/>
      <c r="B975" s="1"/>
      <c r="C975" s="15"/>
      <c r="D975" s="16"/>
      <c r="E975" s="27"/>
      <c r="F975" s="21"/>
      <c r="G975" s="27"/>
      <c r="K975" s="21"/>
      <c r="L975" s="27"/>
      <c r="Q975" s="21"/>
      <c r="S975" s="21"/>
      <c r="T975" s="27"/>
      <c r="Y975" s="21"/>
      <c r="Z975" s="16"/>
    </row>
    <row r="976" ht="12.75" spans="1:26">
      <c r="A976" s="16"/>
      <c r="B976" s="1"/>
      <c r="C976" s="15"/>
      <c r="D976" s="16"/>
      <c r="E976" s="27"/>
      <c r="F976" s="21"/>
      <c r="G976" s="27"/>
      <c r="K976" s="21"/>
      <c r="L976" s="27"/>
      <c r="Q976" s="21"/>
      <c r="S976" s="21"/>
      <c r="T976" s="27"/>
      <c r="Y976" s="21"/>
      <c r="Z976" s="16"/>
    </row>
    <row r="977" ht="12.75" spans="1:26">
      <c r="A977" s="16"/>
      <c r="B977" s="1"/>
      <c r="C977" s="15"/>
      <c r="D977" s="16"/>
      <c r="E977" s="27"/>
      <c r="F977" s="21"/>
      <c r="G977" s="27"/>
      <c r="K977" s="21"/>
      <c r="L977" s="27"/>
      <c r="Q977" s="21"/>
      <c r="S977" s="21"/>
      <c r="T977" s="27"/>
      <c r="Y977" s="21"/>
      <c r="Z977" s="16"/>
    </row>
    <row r="978" ht="12.75" spans="1:26">
      <c r="A978" s="16"/>
      <c r="B978" s="1"/>
      <c r="C978" s="15"/>
      <c r="D978" s="16"/>
      <c r="E978" s="27"/>
      <c r="F978" s="21"/>
      <c r="G978" s="27"/>
      <c r="K978" s="21"/>
      <c r="L978" s="27"/>
      <c r="Q978" s="21"/>
      <c r="S978" s="21"/>
      <c r="T978" s="27"/>
      <c r="Y978" s="21"/>
      <c r="Z978" s="16"/>
    </row>
    <row r="979" ht="12.75" spans="1:26">
      <c r="A979" s="16"/>
      <c r="B979" s="1"/>
      <c r="C979" s="15"/>
      <c r="D979" s="16"/>
      <c r="E979" s="27"/>
      <c r="F979" s="21"/>
      <c r="G979" s="27"/>
      <c r="K979" s="21"/>
      <c r="L979" s="27"/>
      <c r="Q979" s="21"/>
      <c r="S979" s="21"/>
      <c r="T979" s="27"/>
      <c r="Y979" s="21"/>
      <c r="Z979" s="16"/>
    </row>
    <row r="980" ht="12.75" spans="1:26">
      <c r="A980" s="16"/>
      <c r="B980" s="1"/>
      <c r="C980" s="15"/>
      <c r="D980" s="16"/>
      <c r="E980" s="27"/>
      <c r="F980" s="21"/>
      <c r="G980" s="27"/>
      <c r="K980" s="21"/>
      <c r="L980" s="27"/>
      <c r="Q980" s="21"/>
      <c r="S980" s="21"/>
      <c r="T980" s="27"/>
      <c r="Y980" s="21"/>
      <c r="Z980" s="16"/>
    </row>
    <row r="981" ht="12.75" spans="1:26">
      <c r="A981" s="16"/>
      <c r="B981" s="1"/>
      <c r="C981" s="15"/>
      <c r="D981" s="16"/>
      <c r="E981" s="27"/>
      <c r="F981" s="21"/>
      <c r="G981" s="27"/>
      <c r="K981" s="21"/>
      <c r="L981" s="27"/>
      <c r="Q981" s="21"/>
      <c r="S981" s="21"/>
      <c r="T981" s="27"/>
      <c r="Y981" s="21"/>
      <c r="Z981" s="16"/>
    </row>
    <row r="982" ht="12.75" spans="1:26">
      <c r="A982" s="16"/>
      <c r="B982" s="1"/>
      <c r="C982" s="15"/>
      <c r="D982" s="16"/>
      <c r="E982" s="27"/>
      <c r="F982" s="21"/>
      <c r="G982" s="27"/>
      <c r="K982" s="21"/>
      <c r="L982" s="27"/>
      <c r="Q982" s="21"/>
      <c r="S982" s="21"/>
      <c r="T982" s="27"/>
      <c r="Y982" s="21"/>
      <c r="Z982" s="16"/>
    </row>
    <row r="983" ht="12.75" spans="1:26">
      <c r="A983" s="16"/>
      <c r="B983" s="1"/>
      <c r="C983" s="15"/>
      <c r="D983" s="16"/>
      <c r="E983" s="27"/>
      <c r="F983" s="21"/>
      <c r="G983" s="27"/>
      <c r="K983" s="21"/>
      <c r="L983" s="27"/>
      <c r="Q983" s="21"/>
      <c r="S983" s="21"/>
      <c r="T983" s="27"/>
      <c r="Y983" s="21"/>
      <c r="Z983" s="16"/>
    </row>
    <row r="984" ht="12.75" spans="1:26">
      <c r="A984" s="16"/>
      <c r="B984" s="1"/>
      <c r="C984" s="15"/>
      <c r="D984" s="16"/>
      <c r="E984" s="27"/>
      <c r="F984" s="21"/>
      <c r="G984" s="27"/>
      <c r="K984" s="21"/>
      <c r="L984" s="27"/>
      <c r="Q984" s="21"/>
      <c r="S984" s="21"/>
      <c r="T984" s="27"/>
      <c r="Y984" s="21"/>
      <c r="Z984" s="16"/>
    </row>
    <row r="985" ht="12.75" spans="1:26">
      <c r="A985" s="16"/>
      <c r="B985" s="1"/>
      <c r="C985" s="15"/>
      <c r="D985" s="16"/>
      <c r="E985" s="27"/>
      <c r="F985" s="21"/>
      <c r="G985" s="27"/>
      <c r="K985" s="21"/>
      <c r="L985" s="27"/>
      <c r="Q985" s="21"/>
      <c r="S985" s="21"/>
      <c r="T985" s="27"/>
      <c r="Y985" s="21"/>
      <c r="Z985" s="16"/>
    </row>
    <row r="986" ht="12.75" spans="1:26">
      <c r="A986" s="16"/>
      <c r="B986" s="1"/>
      <c r="C986" s="15"/>
      <c r="D986" s="16"/>
      <c r="E986" s="27"/>
      <c r="F986" s="21"/>
      <c r="G986" s="27"/>
      <c r="K986" s="21"/>
      <c r="L986" s="27"/>
      <c r="Q986" s="21"/>
      <c r="S986" s="21"/>
      <c r="T986" s="27"/>
      <c r="Y986" s="21"/>
      <c r="Z986" s="16"/>
    </row>
    <row r="987" ht="12.75" spans="1:26">
      <c r="A987" s="16"/>
      <c r="B987" s="1"/>
      <c r="C987" s="15"/>
      <c r="D987" s="16"/>
      <c r="E987" s="27"/>
      <c r="F987" s="21"/>
      <c r="G987" s="27"/>
      <c r="K987" s="21"/>
      <c r="L987" s="27"/>
      <c r="Q987" s="21"/>
      <c r="S987" s="21"/>
      <c r="T987" s="27"/>
      <c r="Y987" s="21"/>
      <c r="Z987" s="16"/>
    </row>
    <row r="988" ht="12.75" spans="1:26">
      <c r="A988" s="16"/>
      <c r="B988" s="1"/>
      <c r="C988" s="15"/>
      <c r="D988" s="16"/>
      <c r="E988" s="27"/>
      <c r="F988" s="21"/>
      <c r="G988" s="27"/>
      <c r="K988" s="21"/>
      <c r="L988" s="27"/>
      <c r="Q988" s="21"/>
      <c r="S988" s="21"/>
      <c r="T988" s="27"/>
      <c r="Y988" s="21"/>
      <c r="Z988" s="16"/>
    </row>
    <row r="989" ht="12.75" spans="1:26">
      <c r="A989" s="16"/>
      <c r="B989" s="1"/>
      <c r="C989" s="15"/>
      <c r="D989" s="16"/>
      <c r="E989" s="27"/>
      <c r="F989" s="21"/>
      <c r="G989" s="27"/>
      <c r="K989" s="21"/>
      <c r="L989" s="27"/>
      <c r="Q989" s="21"/>
      <c r="S989" s="21"/>
      <c r="T989" s="27"/>
      <c r="Y989" s="21"/>
      <c r="Z989" s="16"/>
    </row>
    <row r="990" ht="12.75" spans="1:26">
      <c r="A990" s="16"/>
      <c r="B990" s="1"/>
      <c r="C990" s="15"/>
      <c r="D990" s="16"/>
      <c r="E990" s="27"/>
      <c r="F990" s="21"/>
      <c r="G990" s="27"/>
      <c r="K990" s="21"/>
      <c r="L990" s="27"/>
      <c r="Q990" s="21"/>
      <c r="S990" s="21"/>
      <c r="T990" s="27"/>
      <c r="Y990" s="21"/>
      <c r="Z990" s="16"/>
    </row>
    <row r="991" ht="12.75" spans="1:26">
      <c r="A991" s="16"/>
      <c r="B991" s="1"/>
      <c r="C991" s="15"/>
      <c r="D991" s="16"/>
      <c r="E991" s="27"/>
      <c r="F991" s="21"/>
      <c r="G991" s="27"/>
      <c r="K991" s="21"/>
      <c r="L991" s="27"/>
      <c r="Q991" s="21"/>
      <c r="S991" s="21"/>
      <c r="T991" s="27"/>
      <c r="Y991" s="21"/>
      <c r="Z991" s="16"/>
    </row>
    <row r="992" ht="12.75" spans="1:26">
      <c r="A992" s="16"/>
      <c r="B992" s="1"/>
      <c r="C992" s="15"/>
      <c r="D992" s="16"/>
      <c r="E992" s="27"/>
      <c r="F992" s="21"/>
      <c r="G992" s="27"/>
      <c r="K992" s="21"/>
      <c r="L992" s="27"/>
      <c r="Q992" s="21"/>
      <c r="S992" s="21"/>
      <c r="T992" s="27"/>
      <c r="Y992" s="21"/>
      <c r="Z992" s="16"/>
    </row>
    <row r="993" ht="12.75" spans="1:26">
      <c r="A993" s="16"/>
      <c r="B993" s="1"/>
      <c r="C993" s="15"/>
      <c r="D993" s="16"/>
      <c r="E993" s="27"/>
      <c r="F993" s="21"/>
      <c r="G993" s="27"/>
      <c r="K993" s="21"/>
      <c r="L993" s="27"/>
      <c r="Q993" s="21"/>
      <c r="S993" s="21"/>
      <c r="T993" s="27"/>
      <c r="Y993" s="21"/>
      <c r="Z993" s="16"/>
    </row>
    <row r="994" ht="12.75" spans="1:26">
      <c r="A994" s="16"/>
      <c r="B994" s="1"/>
      <c r="C994" s="15"/>
      <c r="D994" s="16"/>
      <c r="E994" s="27"/>
      <c r="F994" s="21"/>
      <c r="G994" s="27"/>
      <c r="K994" s="21"/>
      <c r="L994" s="27"/>
      <c r="Q994" s="21"/>
      <c r="S994" s="21"/>
      <c r="T994" s="27"/>
      <c r="Y994" s="21"/>
      <c r="Z994" s="16"/>
    </row>
    <row r="995" ht="12.75" spans="1:26">
      <c r="A995" s="16"/>
      <c r="B995" s="1"/>
      <c r="C995" s="15"/>
      <c r="D995" s="16"/>
      <c r="E995" s="27"/>
      <c r="F995" s="21"/>
      <c r="G995" s="27"/>
      <c r="K995" s="21"/>
      <c r="L995" s="27"/>
      <c r="Q995" s="21"/>
      <c r="S995" s="21"/>
      <c r="T995" s="27"/>
      <c r="Y995" s="21"/>
      <c r="Z995" s="16"/>
    </row>
    <row r="996" ht="12.75" spans="1:26">
      <c r="A996" s="16"/>
      <c r="B996" s="1"/>
      <c r="C996" s="15"/>
      <c r="D996" s="16"/>
      <c r="E996" s="27"/>
      <c r="F996" s="21"/>
      <c r="G996" s="27"/>
      <c r="K996" s="21"/>
      <c r="L996" s="27"/>
      <c r="Q996" s="21"/>
      <c r="S996" s="21"/>
      <c r="T996" s="27"/>
      <c r="Y996" s="21"/>
      <c r="Z996" s="16"/>
    </row>
    <row r="997" ht="12.75" spans="1:26">
      <c r="A997" s="16"/>
      <c r="B997" s="1"/>
      <c r="C997" s="15"/>
      <c r="D997" s="16"/>
      <c r="E997" s="27"/>
      <c r="F997" s="21"/>
      <c r="G997" s="27"/>
      <c r="K997" s="21"/>
      <c r="L997" s="27"/>
      <c r="Q997" s="21"/>
      <c r="S997" s="21"/>
      <c r="T997" s="27"/>
      <c r="Y997" s="21"/>
      <c r="Z997" s="16"/>
    </row>
    <row r="998" ht="12.75" spans="1:26">
      <c r="A998" s="16"/>
      <c r="B998" s="1"/>
      <c r="C998" s="15"/>
      <c r="D998" s="16"/>
      <c r="E998" s="27"/>
      <c r="F998" s="21"/>
      <c r="G998" s="27"/>
      <c r="K998" s="21"/>
      <c r="L998" s="27"/>
      <c r="Q998" s="21"/>
      <c r="S998" s="21"/>
      <c r="T998" s="27"/>
      <c r="Y998" s="21"/>
      <c r="Z998" s="16"/>
    </row>
    <row r="999" ht="12.75" spans="1:26">
      <c r="A999" s="16"/>
      <c r="B999" s="1"/>
      <c r="C999" s="15"/>
      <c r="D999" s="16"/>
      <c r="E999" s="27"/>
      <c r="F999" s="21"/>
      <c r="G999" s="27"/>
      <c r="K999" s="21"/>
      <c r="L999" s="27"/>
      <c r="Q999" s="21"/>
      <c r="S999" s="21"/>
      <c r="T999" s="27"/>
      <c r="Y999" s="21"/>
      <c r="Z999" s="16"/>
    </row>
    <row r="1000" ht="12.75" spans="1:26">
      <c r="A1000" s="16"/>
      <c r="B1000" s="1"/>
      <c r="C1000" s="15"/>
      <c r="D1000" s="16"/>
      <c r="E1000" s="27"/>
      <c r="F1000" s="21"/>
      <c r="G1000" s="27"/>
      <c r="K1000" s="21"/>
      <c r="L1000" s="27"/>
      <c r="Q1000" s="21"/>
      <c r="S1000" s="21"/>
      <c r="T1000" s="27"/>
      <c r="Y1000" s="21"/>
      <c r="Z1000" s="16"/>
    </row>
    <row r="1001" ht="12.75" spans="1:26">
      <c r="A1001" s="16"/>
      <c r="B1001" s="1"/>
      <c r="C1001" s="15"/>
      <c r="D1001" s="16"/>
      <c r="E1001" s="27"/>
      <c r="F1001" s="21"/>
      <c r="G1001" s="27"/>
      <c r="K1001" s="21"/>
      <c r="L1001" s="27"/>
      <c r="Q1001" s="21"/>
      <c r="S1001" s="21"/>
      <c r="T1001" s="27"/>
      <c r="Y1001" s="21"/>
      <c r="Z1001" s="16"/>
    </row>
    <row r="1002" ht="12.75" spans="1:26">
      <c r="A1002" s="16"/>
      <c r="B1002" s="1"/>
      <c r="C1002" s="15"/>
      <c r="D1002" s="16"/>
      <c r="E1002" s="27"/>
      <c r="F1002" s="21"/>
      <c r="G1002" s="27"/>
      <c r="K1002" s="21"/>
      <c r="L1002" s="27"/>
      <c r="Q1002" s="21"/>
      <c r="S1002" s="21"/>
      <c r="T1002" s="27"/>
      <c r="Y1002" s="21"/>
      <c r="Z1002" s="16"/>
    </row>
    <row r="1003" ht="12.75" spans="1:26">
      <c r="A1003" s="16"/>
      <c r="B1003" s="1"/>
      <c r="C1003" s="15"/>
      <c r="D1003" s="16"/>
      <c r="E1003" s="27"/>
      <c r="F1003" s="21"/>
      <c r="G1003" s="27"/>
      <c r="K1003" s="21"/>
      <c r="L1003" s="27"/>
      <c r="Q1003" s="21"/>
      <c r="S1003" s="21"/>
      <c r="T1003" s="27"/>
      <c r="Y1003" s="21"/>
      <c r="Z1003" s="16"/>
    </row>
    <row r="1004" ht="12.75" spans="1:26">
      <c r="A1004" s="16"/>
      <c r="B1004" s="1"/>
      <c r="C1004" s="15"/>
      <c r="D1004" s="16"/>
      <c r="E1004" s="27"/>
      <c r="F1004" s="21"/>
      <c r="G1004" s="27"/>
      <c r="K1004" s="21"/>
      <c r="L1004" s="27"/>
      <c r="Q1004" s="21"/>
      <c r="S1004" s="21"/>
      <c r="T1004" s="27"/>
      <c r="Y1004" s="21"/>
      <c r="Z1004" s="16"/>
    </row>
    <row r="1005" ht="12.75" spans="1:26">
      <c r="A1005" s="16"/>
      <c r="B1005" s="1"/>
      <c r="C1005" s="15"/>
      <c r="D1005" s="16"/>
      <c r="E1005" s="27"/>
      <c r="F1005" s="21"/>
      <c r="G1005" s="27"/>
      <c r="K1005" s="21"/>
      <c r="L1005" s="27"/>
      <c r="Q1005" s="21"/>
      <c r="S1005" s="21"/>
      <c r="T1005" s="27"/>
      <c r="Y1005" s="21"/>
      <c r="Z1005" s="16"/>
    </row>
    <row r="1006" ht="12.75" spans="1:26">
      <c r="A1006" s="16"/>
      <c r="B1006" s="1"/>
      <c r="C1006" s="15"/>
      <c r="D1006" s="16"/>
      <c r="E1006" s="38"/>
      <c r="F1006" s="39"/>
      <c r="G1006" s="38"/>
      <c r="H1006" s="40"/>
      <c r="I1006" s="40"/>
      <c r="J1006" s="40"/>
      <c r="K1006" s="21"/>
      <c r="L1006" s="38"/>
      <c r="M1006" s="40"/>
      <c r="N1006" s="40"/>
      <c r="O1006" s="40"/>
      <c r="P1006" s="40"/>
      <c r="Q1006" s="21"/>
      <c r="S1006" s="39"/>
      <c r="T1006" s="38"/>
      <c r="U1006" s="40"/>
      <c r="V1006" s="40"/>
      <c r="W1006" s="40"/>
      <c r="X1006" s="40"/>
      <c r="Y1006" s="39"/>
      <c r="Z1006" s="16"/>
    </row>
  </sheetData>
  <mergeCells count="8">
    <mergeCell ref="A1:D1"/>
    <mergeCell ref="E1:F1"/>
    <mergeCell ref="G1:S1"/>
    <mergeCell ref="T1:X1"/>
    <mergeCell ref="G30:Q30"/>
    <mergeCell ref="A35:D35"/>
    <mergeCell ref="A36:D36"/>
    <mergeCell ref="A31:D34"/>
  </mergeCells>
  <conditionalFormatting sqref="E3:X29">
    <cfRule type="cellIs" dxfId="0" priority="1" operator="equal">
      <formula>"✔️"</formula>
    </cfRule>
    <cfRule type="cellIs" dxfId="1" priority="2" operator="equal">
      <formula>"❌"</formula>
    </cfRule>
    <cfRule type="containsText" dxfId="2" priority="4" operator="between" text="?">
      <formula>NOT(ISERROR(SEARCH("?",E3)))</formula>
    </cfRule>
  </conditionalFormatting>
  <conditionalFormatting sqref="T5 V5:Y5">
    <cfRule type="notContainsBlanks" dxfId="3" priority="3">
      <formula>LEN(TRIM(T5))&gt;0</formula>
    </cfRule>
  </conditionalFormatting>
  <hyperlinks>
    <hyperlink ref="B3" r:id="rId1" display="https://github.com/openai/baselines"/>
    <hyperlink ref="B4" r:id="rId2" display="https://github.com/hill-a/stable-baselines"/>
    <hyperlink ref="B5" r:id="rId3" display="https://github.com/catalyst-team/catalyst"/>
    <hyperlink ref="B6" r:id="rId4" display="https://github.com/ray-project/ray/tree/master/python/ray/rllib"/>
    <hyperlink ref="B7" r:id="rId5" display="https://github.com/tensorflow/agents"/>
    <hyperlink ref="B8" r:id="rId6" display="https://github.com/facebookresearch/Horizon"/>
    <hyperlink ref="B9" r:id="rId7" display="https://github.com/NervanaSystems/coach"/>
    <hyperlink ref="B10" r:id="rId8" display="https://github.com/rlworkgroup/garage"/>
    <hyperlink ref="B11" r:id="rId9" display="https://github.com/kengz/SLM-Lab"/>
    <hyperlink ref="B12" r:id="rId10" display="https://github.com/google/dopamine"/>
    <hyperlink ref="B13" r:id="rId11" display="https://github.com/openai/spinningup"/>
    <hyperlink ref="B14" r:id="rId12" display="https://github.com/deepmind/trfl"/>
    <hyperlink ref="B15" r:id="rId13" display="https://github.com/deepmind/scalable_agent"/>
    <hyperlink ref="B16" r:id="rId14" display="https://github.com/facebookresearch/ELF"/>
    <hyperlink ref="B17" r:id="rId15" display="https://github.com/keras-rl/keras-rl"/>
    <hyperlink ref="B18" r:id="rId16" display="https://github.com/ikostrikov/pytorch-a2c-ppo-acktr-gail"/>
    <hyperlink ref="B19" r:id="rId17" display="https://github.com/Kaixhin/Rainbow"/>
    <hyperlink ref="B20" r:id="rId18" display="https://github.com/MillionIntegrals/vel"/>
    <hyperlink ref="B21" r:id="rId19" display="https://github.com/Khrylx/PyTorch-RL"/>
    <hyperlink ref="B22" r:id="rId20" display="https://github.com/tensorforce/tensorforce"/>
    <hyperlink ref="B23" r:id="rId21" display="https://github.com/higgsfield/RL-Adventure"/>
    <hyperlink ref="B24" r:id="rId22" display="https://github.com/qfettes/DeepRL-Tutorials"/>
    <hyperlink ref="B25" r:id="rId23" display="https://github.com/SurrealAI/surreal"/>
    <hyperlink ref="B26" r:id="rId24" display="https://github.com/zuoxingdong/lagom"/>
    <hyperlink ref="B27" r:id="rId25" display="https://github.com/dennybritz/reinforcement-learning"/>
    <hyperlink ref="B28" r:id="rId25" display="https://github.com/dennybritz/reinforcement-learning"/>
    <hyperlink ref="B29" r:id="rId26" display="https://github.com/Scitator/rl-course-experiments"/>
    <hyperlink ref="B30" r:id="rId27" display="https://github.com/oxwhirl/pymarl"/>
    <hyperlink ref="A38" r:id="rId28" display="https://medium.com/@vermashresth/a-primer-on-deep-reinforcement-learning-frameworks-part-1-6c9ab6a0f555"/>
    <hyperlink ref="A39" r:id="rId29" display="https://www.quora.com/What-are-some-of-the-good-Reinforcement-Learning-libraries"/>
  </hyperlinks>
  <printOptions horizontalCentered="1" gridLines="1"/>
  <pageMargins left="0.7" right="0.7" top="0.75" bottom="0.75" header="0" footer="0"/>
  <pageSetup paperSize="9" fitToHeight="0" pageOrder="overThenDown" orientation="landscape" cellComments="atEnd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8"/>
  <sheetViews>
    <sheetView workbookViewId="0">
      <selection activeCell="A1" sqref="A1"/>
    </sheetView>
  </sheetViews>
  <sheetFormatPr defaultColWidth="14.4336283185841" defaultRowHeight="15.75" customHeight="1" outlineLevelRow="7" outlineLevelCol="4"/>
  <cols>
    <col min="1" max="1" width="34.141592920354" customWidth="1"/>
    <col min="4" max="4" width="20.141592920354" customWidth="1"/>
  </cols>
  <sheetData>
    <row r="1" ht="13.1" spans="1:5">
      <c r="A1" s="4" t="s">
        <v>81</v>
      </c>
      <c r="B1" s="4" t="s">
        <v>82</v>
      </c>
      <c r="C1" s="4" t="s">
        <v>5</v>
      </c>
      <c r="D1" s="4" t="s">
        <v>83</v>
      </c>
      <c r="E1" s="4" t="s">
        <v>84</v>
      </c>
    </row>
    <row r="2" ht="12.75" spans="1:5">
      <c r="A2" s="2" t="s">
        <v>85</v>
      </c>
      <c r="B2" s="1" t="s">
        <v>86</v>
      </c>
      <c r="C2" s="1" t="s">
        <v>26</v>
      </c>
      <c r="D2" t="str">
        <f>IFERROR(__xludf.DUMMYFUNCTION("ImportJSON(replace(REGEXEXTRACT($A2, ""^https://github\.com/[^/]+/[^/]+""), 1, 18, ""https://api.github.com/repos""), ""/stargazers_count,/pushed_at"", ""noHeaders"")"),"2019-06-01T20:07:50Z")</f>
        <v>2019-06-01T20:07:50Z</v>
      </c>
      <c r="E2" t="str">
        <f>IFERROR(__xludf.DUMMYFUNCTION("""COMPUTED_VALUE"""),"16920")</f>
        <v>16920</v>
      </c>
    </row>
    <row r="3" ht="12.75" spans="1:5">
      <c r="A3" s="2" t="s">
        <v>87</v>
      </c>
      <c r="B3" s="1" t="s">
        <v>88</v>
      </c>
      <c r="C3" s="1" t="s">
        <v>55</v>
      </c>
      <c r="D3" t="str">
        <f>IFERROR(__xludf.DUMMYFUNCTION("ImportJSON(replace(REGEXEXTRACT($A3, ""^https://github\.com/[^/]+/[^/]+""), 1, 18, ""https://api.github.com/repos""), ""/stargazers_count,/pushed_at"", ""noHeaders"")"),"2019-05-09T12:09:33Z")</f>
        <v>2019-05-09T12:09:33Z</v>
      </c>
      <c r="E3" t="str">
        <f>IFERROR(__xludf.DUMMYFUNCTION("""COMPUTED_VALUE"""),"5804")</f>
        <v>5804</v>
      </c>
    </row>
    <row r="4" ht="12.75" spans="1:5">
      <c r="A4" s="2" t="s">
        <v>89</v>
      </c>
      <c r="B4" s="1" t="s">
        <v>90</v>
      </c>
      <c r="C4" s="1" t="s">
        <v>91</v>
      </c>
      <c r="D4" t="str">
        <f>IFERROR(__xludf.DUMMYFUNCTION("ImportJSON(replace(REGEXEXTRACT($A4, ""^https://github\.com/[^/]+/[^/]+""), 1, 18, ""https://api.github.com/repos""), ""/stargazers_count,/pushed_at"", ""noHeaders"")"),"2019-05-29T06:07:47Z")</f>
        <v>2019-05-29T06:07:47Z</v>
      </c>
      <c r="E4" t="str">
        <f>IFERROR(__xludf.DUMMYFUNCTION("""COMPUTED_VALUE"""),"3261")</f>
        <v>3261</v>
      </c>
    </row>
    <row r="5" ht="12.75" spans="1:5">
      <c r="A5" s="2" t="s">
        <v>92</v>
      </c>
      <c r="B5" s="1" t="s">
        <v>93</v>
      </c>
      <c r="C5" s="1" t="s">
        <v>26</v>
      </c>
      <c r="D5" t="str">
        <f>IFERROR(__xludf.DUMMYFUNCTION("ImportJSON(replace(REGEXEXTRACT($A5, ""^https://github\.com/[^/]+/[^/]+""), 1, 18, ""https://api.github.com/repos""), ""/stargazers_count,/pushed_at"", ""noHeaders"")"),"2019-05-24T23:48:21Z")</f>
        <v>2019-05-24T23:48:21Z</v>
      </c>
      <c r="E5" t="str">
        <f>IFERROR(__xludf.DUMMYFUNCTION("""COMPUTED_VALUE"""),"1661")</f>
        <v>1661</v>
      </c>
    </row>
    <row r="6" ht="12.75" spans="1:5">
      <c r="A6" s="2" t="s">
        <v>94</v>
      </c>
      <c r="B6" s="1" t="s">
        <v>95</v>
      </c>
      <c r="C6" s="1" t="s">
        <v>55</v>
      </c>
      <c r="D6" t="str">
        <f>IFERROR(__xludf.DUMMYFUNCTION("ImportJSON(replace(REGEXEXTRACT($A6, ""^https://github\.com/[^/]+/[^/]+""), 1, 18, ""https://api.github.com/repos""), ""/stargazers_count,/pushed_at"", ""noHeaders"")"),"2019-05-24T15:11:24Z")</f>
        <v>2019-05-24T15:11:24Z</v>
      </c>
      <c r="E6" t="str">
        <f>IFERROR(__xludf.DUMMYFUNCTION("""COMPUTED_VALUE"""),"1511")</f>
        <v>1511</v>
      </c>
    </row>
    <row r="7" ht="12.75" spans="1:5">
      <c r="A7" s="2" t="s">
        <v>96</v>
      </c>
      <c r="B7" s="1" t="s">
        <v>97</v>
      </c>
      <c r="C7" s="1" t="s">
        <v>26</v>
      </c>
      <c r="D7" t="str">
        <f>IFERROR(__xludf.DUMMYFUNCTION("ImportJSON(replace(REGEXEXTRACT($A7, ""^https://github\.com/[^/]+/[^/]+""), 1, 18, ""https://api.github.com/repos""), ""/stargazers_count,/pushed_at"", ""noHeaders"")"),"2019-05-31T07:34:02Z")</f>
        <v>2019-05-31T07:34:02Z</v>
      </c>
      <c r="E7" t="str">
        <f>IFERROR(__xludf.DUMMYFUNCTION("""COMPUTED_VALUE"""),"1008")</f>
        <v>1008</v>
      </c>
    </row>
    <row r="8" ht="12.75" spans="2:2">
      <c r="B8" s="5"/>
    </row>
  </sheetData>
  <hyperlinks>
    <hyperlink ref="A2" r:id="rId1" display="https://github.com/openai/gym"/>
    <hyperlink ref="A3" r:id="rId2" display="https://github.com/deepmind/lab"/>
    <hyperlink ref="A4" r:id="rId3" display="https://github.com/Microsoft/malmo"/>
    <hyperlink ref="A5" r:id="rId4" display="https://github.com/openai/retro"/>
    <hyperlink ref="A6" r:id="rId5" display="https://github.com/deepmind/dm_control"/>
    <hyperlink ref="A7" r:id="rId6" display="https://github.com/openai/neural-mmo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8"/>
  <sheetViews>
    <sheetView workbookViewId="0">
      <selection activeCell="A1" sqref="A1"/>
    </sheetView>
  </sheetViews>
  <sheetFormatPr defaultColWidth="14.4336283185841" defaultRowHeight="15.75" customHeight="1"/>
  <cols>
    <col min="1" max="1" width="10.7079646017699" customWidth="1"/>
    <col min="2" max="2" width="22.7079646017699" customWidth="1"/>
    <col min="3" max="3" width="15.858407079646" customWidth="1"/>
    <col min="5" max="5" width="6.85840707964602" customWidth="1"/>
    <col min="6" max="7" width="5" customWidth="1"/>
    <col min="8" max="10" width="20.141592920354" customWidth="1"/>
    <col min="11" max="11" width="7.29203539823009" customWidth="1"/>
    <col min="12" max="12" width="15.4336283185841" customWidth="1"/>
    <col min="13" max="13" width="14.141592920354" customWidth="1"/>
    <col min="14" max="14" width="15.7079646017699" customWidth="1"/>
    <col min="15" max="15" width="10.7079646017699" customWidth="1"/>
    <col min="16" max="16" width="8.14159292035398" customWidth="1"/>
    <col min="17" max="17" width="8" customWidth="1"/>
    <col min="18" max="18" width="17.141592920354" customWidth="1"/>
    <col min="19" max="19" width="17.4336283185841" customWidth="1"/>
    <col min="20" max="20" width="5.29203539823009" customWidth="1"/>
    <col min="21" max="21" width="11.5663716814159" customWidth="1"/>
    <col min="22" max="22" width="8.56637168141593" customWidth="1"/>
    <col min="23" max="23" width="13.2920353982301" customWidth="1"/>
    <col min="24" max="24" width="16.141592920354" customWidth="1"/>
  </cols>
  <sheetData>
    <row r="1" ht="12.75" spans="1:24">
      <c r="A1" s="1" t="s">
        <v>81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</row>
    <row r="2" ht="12.75" spans="1:24">
      <c r="A2" s="2" t="s">
        <v>25</v>
      </c>
      <c r="B2" t="str">
        <f>IFERROR(__xludf.DUMMYFUNCTION("ImportJSON(replace(REGEXEXTRACT($A2, ""^https://github\.com/[^/]+/[^/]+""), 1, 18, ""https://api.github.com/repos""), ""/name,/owner/login,/description,/fork,/created_at,/updated_at,/pushed_at,/size,/stargazers_count,/watchers_count,/language,/forks_count"&amp;",/archived,/disabled,/open_issues_count,/license/name,/forks,/open_issues,/watchers,/network_count,/subscribers_count"", ""noHeaders"")"),"baselines")</f>
        <v>baselines</v>
      </c>
      <c r="C2" t="str">
        <f>IFERROR(__xludf.DUMMYFUNCTION("""COMPUTED_VALUE"""),"openai")</f>
        <v>openai</v>
      </c>
      <c r="D2" t="str">
        <f>IFERROR(__xludf.DUMMYFUNCTION("""COMPUTED_VALUE"""),"OpenAI Baselines: high-quality implementations of reinforcement learning algorithms")</f>
        <v>OpenAI Baselines: high-quality implementations of reinforcement learning algorithms</v>
      </c>
      <c r="E2" t="b">
        <f>IFERROR(__xludf.DUMMYFUNCTION("""COMPUTED_VALUE"""),FALSE)</f>
        <v>0</v>
      </c>
      <c r="F2" s="3" t="str">
        <f>IFERROR(__xludf.DUMMYFUNCTION("""COMPUTED_VALUE"""),"https://api.github.com/repos/openai/baselines/forks")</f>
        <v>https://api.github.com/repos/openai/baselines/forks</v>
      </c>
      <c r="G2" s="3" t="str">
        <f>IFERROR(__xludf.DUMMYFUNCTION("""COMPUTED_VALUE"""),"https://api.github.com/repos/openai/baselines/languages")</f>
        <v>https://api.github.com/repos/openai/baselines/languages</v>
      </c>
      <c r="H2" t="str">
        <f>IFERROR(__xludf.DUMMYFUNCTION("""COMPUTED_VALUE"""),"2017-05-24T01:58:13Z")</f>
        <v>2017-05-24T01:58:13Z</v>
      </c>
      <c r="I2" t="str">
        <f>IFERROR(__xludf.DUMMYFUNCTION("""COMPUTED_VALUE"""),"2019-06-01T14:39:57Z")</f>
        <v>2019-06-01T14:39:57Z</v>
      </c>
      <c r="J2" t="str">
        <f>IFERROR(__xludf.DUMMYFUNCTION("""COMPUTED_VALUE"""),"2019-06-01T18:52:04Z")</f>
        <v>2019-06-01T18:52:04Z</v>
      </c>
      <c r="K2" t="str">
        <f>IFERROR(__xludf.DUMMYFUNCTION("""COMPUTED_VALUE"""),"7001")</f>
        <v>7001</v>
      </c>
      <c r="L2" t="str">
        <f>IFERROR(__xludf.DUMMYFUNCTION("""COMPUTED_VALUE"""),"7786")</f>
        <v>7786</v>
      </c>
      <c r="M2" t="str">
        <f>IFERROR(__xludf.DUMMYFUNCTION("""COMPUTED_VALUE"""),"7786")</f>
        <v>7786</v>
      </c>
      <c r="N2" t="str">
        <f>IFERROR(__xludf.DUMMYFUNCTION("""COMPUTED_VALUE"""),"Python")</f>
        <v>Python</v>
      </c>
      <c r="O2" t="str">
        <f>IFERROR(__xludf.DUMMYFUNCTION("""COMPUTED_VALUE"""),"2439")</f>
        <v>2439</v>
      </c>
      <c r="P2" t="b">
        <f>IFERROR(__xludf.DUMMYFUNCTION("""COMPUTED_VALUE"""),FALSE)</f>
        <v>0</v>
      </c>
      <c r="Q2" t="b">
        <f>IFERROR(__xludf.DUMMYFUNCTION("""COMPUTED_VALUE"""),FALSE)</f>
        <v>0</v>
      </c>
      <c r="R2" t="str">
        <f>IFERROR(__xludf.DUMMYFUNCTION("""COMPUTED_VALUE"""),"302")</f>
        <v>302</v>
      </c>
      <c r="S2" t="str">
        <f>IFERROR(__xludf.DUMMYFUNCTION("""COMPUTED_VALUE"""),"MIT License")</f>
        <v>MIT License</v>
      </c>
      <c r="T2" t="str">
        <f>IFERROR(__xludf.DUMMYFUNCTION("""COMPUTED_VALUE"""),"2439")</f>
        <v>2439</v>
      </c>
      <c r="U2" t="str">
        <f>IFERROR(__xludf.DUMMYFUNCTION("""COMPUTED_VALUE"""),"302")</f>
        <v>302</v>
      </c>
      <c r="V2" t="str">
        <f>IFERROR(__xludf.DUMMYFUNCTION("""COMPUTED_VALUE"""),"7786")</f>
        <v>7786</v>
      </c>
      <c r="W2" t="str">
        <f>IFERROR(__xludf.DUMMYFUNCTION("""COMPUTED_VALUE"""),"2439")</f>
        <v>2439</v>
      </c>
      <c r="X2" t="str">
        <f>IFERROR(__xludf.DUMMYFUNCTION("""COMPUTED_VALUE"""),"484")</f>
        <v>484</v>
      </c>
    </row>
    <row r="3" ht="12.75" spans="1:24">
      <c r="A3" s="2" t="s">
        <v>30</v>
      </c>
      <c r="B3" t="str">
        <f>IFERROR(__xludf.DUMMYFUNCTION("ImportJSON(replace(REGEXEXTRACT($A3, ""^https://github\.com/[^/]+/[^/]+""), 1, 18, ""https://api.github.com/repos""), ""/name,/owner/login,/fork,/created_at,/updated_at,/pushed_at,/size,/stargazers_count,/watchers_count,/language,/forks_count,/archived,/d"&amp;"isabled,/open_issues_count,/license/name,/forks,/open_issues,/watchers,/network_count,/subscribers_count,/description"", ""noHeaders"")"),"stable-baselines")</f>
        <v>stable-baselines</v>
      </c>
      <c r="C3" t="str">
        <f>IFERROR(__xludf.DUMMYFUNCTION("""COMPUTED_VALUE"""),"hill-a")</f>
        <v>hill-a</v>
      </c>
      <c r="D3" t="str">
        <f>IFERROR(__xludf.DUMMYFUNCTION("""COMPUTED_VALUE"""),"A fork of OpenAI Baselines, implementations of reinforcement learning algorithms")</f>
        <v>A fork of OpenAI Baselines, implementations of reinforcement learning algorithms</v>
      </c>
      <c r="E3" t="str">
        <f>IFERROR(__xludf.DUMMYFUNCTION("""COMPUTED_VALUE"""),"true")</f>
        <v>true</v>
      </c>
      <c r="F3" s="3" t="str">
        <f>IFERROR(__xludf.DUMMYFUNCTION("""COMPUTED_VALUE"""),"https://api.github.com/repos/hill-a/stable-baselines/forks")</f>
        <v>https://api.github.com/repos/hill-a/stable-baselines/forks</v>
      </c>
      <c r="G3" s="3" t="str">
        <f>IFERROR(__xludf.DUMMYFUNCTION("""COMPUTED_VALUE"""),"https://api.github.com/repos/hill-a/stable-baselines/languages")</f>
        <v>https://api.github.com/repos/hill-a/stable-baselines/languages</v>
      </c>
      <c r="H3" t="str">
        <f>IFERROR(__xludf.DUMMYFUNCTION("""COMPUTED_VALUE"""),"2018-07-02T14:28:59Z")</f>
        <v>2018-07-02T14:28:59Z</v>
      </c>
      <c r="I3" t="str">
        <f>IFERROR(__xludf.DUMMYFUNCTION("""COMPUTED_VALUE"""),"2019-06-01T08:38:33Z")</f>
        <v>2019-06-01T08:38:33Z</v>
      </c>
      <c r="J3" t="str">
        <f>IFERROR(__xludf.DUMMYFUNCTION("""COMPUTED_VALUE"""),"2019-06-01T18:01:51Z")</f>
        <v>2019-06-01T18:01:51Z</v>
      </c>
      <c r="K3" t="str">
        <f>IFERROR(__xludf.DUMMYFUNCTION("""COMPUTED_VALUE"""),"9038")</f>
        <v>9038</v>
      </c>
      <c r="L3" t="str">
        <f>IFERROR(__xludf.DUMMYFUNCTION("""COMPUTED_VALUE"""),"822")</f>
        <v>822</v>
      </c>
      <c r="M3" t="str">
        <f>IFERROR(__xludf.DUMMYFUNCTION("""COMPUTED_VALUE"""),"822")</f>
        <v>822</v>
      </c>
      <c r="N3" t="str">
        <f>IFERROR(__xludf.DUMMYFUNCTION("""COMPUTED_VALUE"""),"Python")</f>
        <v>Python</v>
      </c>
      <c r="O3" t="str">
        <f>IFERROR(__xludf.DUMMYFUNCTION("""COMPUTED_VALUE"""),"146")</f>
        <v>146</v>
      </c>
      <c r="P3" t="b">
        <f>IFERROR(__xludf.DUMMYFUNCTION("""COMPUTED_VALUE"""),FALSE)</f>
        <v>0</v>
      </c>
      <c r="Q3" t="b">
        <f>IFERROR(__xludf.DUMMYFUNCTION("""COMPUTED_VALUE"""),FALSE)</f>
        <v>0</v>
      </c>
      <c r="R3" t="str">
        <f>IFERROR(__xludf.DUMMYFUNCTION("""COMPUTED_VALUE"""),"71")</f>
        <v>71</v>
      </c>
      <c r="S3" t="str">
        <f>IFERROR(__xludf.DUMMYFUNCTION("""COMPUTED_VALUE"""),"MIT License")</f>
        <v>MIT License</v>
      </c>
      <c r="T3" t="str">
        <f>IFERROR(__xludf.DUMMYFUNCTION("""COMPUTED_VALUE"""),"146")</f>
        <v>146</v>
      </c>
      <c r="U3" t="str">
        <f>IFERROR(__xludf.DUMMYFUNCTION("""COMPUTED_VALUE"""),"71")</f>
        <v>71</v>
      </c>
      <c r="V3" t="str">
        <f>IFERROR(__xludf.DUMMYFUNCTION("""COMPUTED_VALUE"""),"822")</f>
        <v>822</v>
      </c>
      <c r="W3" t="str">
        <f>IFERROR(__xludf.DUMMYFUNCTION("""COMPUTED_VALUE"""),"2439")</f>
        <v>2439</v>
      </c>
      <c r="X3" t="str">
        <f>IFERROR(__xludf.DUMMYFUNCTION("""COMPUTED_VALUE"""),"42")</f>
        <v>42</v>
      </c>
    </row>
    <row r="4" ht="12.75" spans="1:24">
      <c r="A4" s="2" t="s">
        <v>53</v>
      </c>
      <c r="B4" t="str">
        <f>IFERROR(__xludf.DUMMYFUNCTION("ImportJSON(replace(REGEXEXTRACT($A4, ""^https://github\.com/[^/]+/[^/]+""), 1, 18, ""https://api.github.com/repos""), ""/name,/owner/login,/fork,/created_at,/updated_at,/pushed_at,/size,/stargazers_count,/watchers_count,/language,/forks_count,/archived,/d"&amp;"isabled,/open_issues_count,/license/name,/forks,/open_issues,/watchers,/network_count,/subscribers_count,/description"", ""noHeaders"")"),"spinningup")</f>
        <v>spinningup</v>
      </c>
      <c r="C4" t="str">
        <f>IFERROR(__xludf.DUMMYFUNCTION("""COMPUTED_VALUE"""),"openai")</f>
        <v>openai</v>
      </c>
      <c r="D4" t="str">
        <f>IFERROR(__xludf.DUMMYFUNCTION("""COMPUTED_VALUE"""),"An educational resource to help anyone learn deep reinforcement learning.")</f>
        <v>An educational resource to help anyone learn deep reinforcement learning.</v>
      </c>
      <c r="E4" t="b">
        <f>IFERROR(__xludf.DUMMYFUNCTION("""COMPUTED_VALUE"""),FALSE)</f>
        <v>0</v>
      </c>
      <c r="F4" s="3" t="str">
        <f>IFERROR(__xludf.DUMMYFUNCTION("""COMPUTED_VALUE"""),"https://api.github.com/repos/openai/spinningup/forks")</f>
        <v>https://api.github.com/repos/openai/spinningup/forks</v>
      </c>
      <c r="G4" s="3" t="str">
        <f>IFERROR(__xludf.DUMMYFUNCTION("""COMPUTED_VALUE"""),"https://api.github.com/repos/openai/spinningup/languages")</f>
        <v>https://api.github.com/repos/openai/spinningup/languages</v>
      </c>
      <c r="H4" t="str">
        <f>IFERROR(__xludf.DUMMYFUNCTION("""COMPUTED_VALUE"""),"2018-11-07T20:52:15Z")</f>
        <v>2018-11-07T20:52:15Z</v>
      </c>
      <c r="I4" t="str">
        <f>IFERROR(__xludf.DUMMYFUNCTION("""COMPUTED_VALUE"""),"2019-06-01T09:16:21Z")</f>
        <v>2019-06-01T09:16:21Z</v>
      </c>
      <c r="J4" t="str">
        <f>IFERROR(__xludf.DUMMYFUNCTION("""COMPUTED_VALUE"""),"2019-05-14T07:41:22Z")</f>
        <v>2019-05-14T07:41:22Z</v>
      </c>
      <c r="K4" t="str">
        <f>IFERROR(__xludf.DUMMYFUNCTION("""COMPUTED_VALUE"""),"30120")</f>
        <v>30120</v>
      </c>
      <c r="L4" t="str">
        <f>IFERROR(__xludf.DUMMYFUNCTION("""COMPUTED_VALUE"""),"2961")</f>
        <v>2961</v>
      </c>
      <c r="M4" t="str">
        <f>IFERROR(__xludf.DUMMYFUNCTION("""COMPUTED_VALUE"""),"2961")</f>
        <v>2961</v>
      </c>
      <c r="N4" t="str">
        <f>IFERROR(__xludf.DUMMYFUNCTION("""COMPUTED_VALUE"""),"Python")</f>
        <v>Python</v>
      </c>
      <c r="O4" t="str">
        <f>IFERROR(__xludf.DUMMYFUNCTION("""COMPUTED_VALUE"""),"565")</f>
        <v>565</v>
      </c>
      <c r="P4" t="b">
        <f>IFERROR(__xludf.DUMMYFUNCTION("""COMPUTED_VALUE"""),FALSE)</f>
        <v>0</v>
      </c>
      <c r="Q4" t="b">
        <f>IFERROR(__xludf.DUMMYFUNCTION("""COMPUTED_VALUE"""),FALSE)</f>
        <v>0</v>
      </c>
      <c r="R4" t="str">
        <f>IFERROR(__xludf.DUMMYFUNCTION("""COMPUTED_VALUE"""),"76")</f>
        <v>76</v>
      </c>
      <c r="S4" t="str">
        <f>IFERROR(__xludf.DUMMYFUNCTION("""COMPUTED_VALUE"""),"MIT License")</f>
        <v>MIT License</v>
      </c>
      <c r="T4" t="str">
        <f>IFERROR(__xludf.DUMMYFUNCTION("""COMPUTED_VALUE"""),"565")</f>
        <v>565</v>
      </c>
      <c r="U4" t="str">
        <f>IFERROR(__xludf.DUMMYFUNCTION("""COMPUTED_VALUE"""),"76")</f>
        <v>76</v>
      </c>
      <c r="V4" t="str">
        <f>IFERROR(__xludf.DUMMYFUNCTION("""COMPUTED_VALUE"""),"2961")</f>
        <v>2961</v>
      </c>
      <c r="W4" t="str">
        <f>IFERROR(__xludf.DUMMYFUNCTION("""COMPUTED_VALUE"""),"565")</f>
        <v>565</v>
      </c>
      <c r="X4" t="str">
        <f>IFERROR(__xludf.DUMMYFUNCTION("""COMPUTED_VALUE"""),"150")</f>
        <v>150</v>
      </c>
    </row>
    <row r="5" ht="12.75" spans="1:24">
      <c r="A5" s="2" t="s">
        <v>52</v>
      </c>
      <c r="B5" t="str">
        <f>IFERROR(__xludf.DUMMYFUNCTION("ImportJSON(replace(REGEXEXTRACT($A5, ""^https://github\.com/[^/]+/[^/]+""), 1, 18, ""https://api.github.com/repos""), ""/name,/owner/login,/fork,/created_at,/updated_at,/pushed_at,/size,/stargazers_count,/watchers_count,/language,/forks_count,/archived,/d"&amp;"isabled,/open_issues_count,/license/name,/forks,/open_issues,/watchers,/network_count,/subscribers_count,/description"", ""noHeaders"")"),"dopamine")</f>
        <v>dopamine</v>
      </c>
      <c r="C5" t="str">
        <f>IFERROR(__xludf.DUMMYFUNCTION("""COMPUTED_VALUE"""),"google")</f>
        <v>google</v>
      </c>
      <c r="D5" t="str">
        <f>IFERROR(__xludf.DUMMYFUNCTION("""COMPUTED_VALUE"""),"Dopamine is a research framework for fast prototyping of reinforcement learning algorithms. ")</f>
        <v>Dopamine is a research framework for fast prototyping of reinforcement learning algorithms. </v>
      </c>
      <c r="E5" t="b">
        <f>IFERROR(__xludf.DUMMYFUNCTION("""COMPUTED_VALUE"""),FALSE)</f>
        <v>0</v>
      </c>
      <c r="F5" s="3" t="str">
        <f>IFERROR(__xludf.DUMMYFUNCTION("""COMPUTED_VALUE"""),"https://api.github.com/repos/google/dopamine/forks")</f>
        <v>https://api.github.com/repos/google/dopamine/forks</v>
      </c>
      <c r="G5" s="3" t="str">
        <f>IFERROR(__xludf.DUMMYFUNCTION("""COMPUTED_VALUE"""),"https://api.github.com/repos/google/dopamine/languages")</f>
        <v>https://api.github.com/repos/google/dopamine/languages</v>
      </c>
      <c r="H5" t="str">
        <f>IFERROR(__xludf.DUMMYFUNCTION("""COMPUTED_VALUE"""),"2018-07-26T09:58:36Z")</f>
        <v>2018-07-26T09:58:36Z</v>
      </c>
      <c r="I5" t="str">
        <f>IFERROR(__xludf.DUMMYFUNCTION("""COMPUTED_VALUE"""),"2019-06-01T14:15:41Z")</f>
        <v>2019-06-01T14:15:41Z</v>
      </c>
      <c r="J5" t="str">
        <f>IFERROR(__xludf.DUMMYFUNCTION("""COMPUTED_VALUE"""),"2019-05-05T14:44:29Z")</f>
        <v>2019-05-05T14:44:29Z</v>
      </c>
      <c r="K5" t="str">
        <f>IFERROR(__xludf.DUMMYFUNCTION("""COMPUTED_VALUE"""),"6772")</f>
        <v>6772</v>
      </c>
      <c r="L5" t="str">
        <f>IFERROR(__xludf.DUMMYFUNCTION("""COMPUTED_VALUE"""),"7924")</f>
        <v>7924</v>
      </c>
      <c r="M5" t="str">
        <f>IFERROR(__xludf.DUMMYFUNCTION("""COMPUTED_VALUE"""),"7924")</f>
        <v>7924</v>
      </c>
      <c r="N5" t="str">
        <f>IFERROR(__xludf.DUMMYFUNCTION("""COMPUTED_VALUE"""),"Jupyter Notebook")</f>
        <v>Jupyter Notebook</v>
      </c>
      <c r="O5" t="str">
        <f>IFERROR(__xludf.DUMMYFUNCTION("""COMPUTED_VALUE"""),"1012")</f>
        <v>1012</v>
      </c>
      <c r="P5" t="b">
        <f>IFERROR(__xludf.DUMMYFUNCTION("""COMPUTED_VALUE"""),FALSE)</f>
        <v>0</v>
      </c>
      <c r="Q5" t="b">
        <f>IFERROR(__xludf.DUMMYFUNCTION("""COMPUTED_VALUE"""),FALSE)</f>
        <v>0</v>
      </c>
      <c r="R5" t="str">
        <f>IFERROR(__xludf.DUMMYFUNCTION("""COMPUTED_VALUE"""),"40")</f>
        <v>40</v>
      </c>
      <c r="S5" t="str">
        <f>IFERROR(__xludf.DUMMYFUNCTION("""COMPUTED_VALUE"""),"Apache License 2.0")</f>
        <v>Apache License 2.0</v>
      </c>
      <c r="T5" t="str">
        <f>IFERROR(__xludf.DUMMYFUNCTION("""COMPUTED_VALUE"""),"1012")</f>
        <v>1012</v>
      </c>
      <c r="U5" t="str">
        <f>IFERROR(__xludf.DUMMYFUNCTION("""COMPUTED_VALUE"""),"40")</f>
        <v>40</v>
      </c>
      <c r="V5" t="str">
        <f>IFERROR(__xludf.DUMMYFUNCTION("""COMPUTED_VALUE"""),"7924")</f>
        <v>7924</v>
      </c>
      <c r="W5" t="str">
        <f>IFERROR(__xludf.DUMMYFUNCTION("""COMPUTED_VALUE"""),"1012")</f>
        <v>1012</v>
      </c>
      <c r="X5" t="str">
        <f>IFERROR(__xludf.DUMMYFUNCTION("""COMPUTED_VALUE"""),"447")</f>
        <v>447</v>
      </c>
    </row>
    <row r="6" ht="12.75" spans="1:24">
      <c r="A6" s="2" t="s">
        <v>42</v>
      </c>
      <c r="B6" t="str">
        <f>IFERROR(__xludf.DUMMYFUNCTION("ImportJSON(replace(REGEXEXTRACT($A6, ""^https://github\.com/[^/]+/[^/]+""), 1, 18, ""https://api.github.com/repos""), ""/name,/owner/login,/fork,/created_at,/updated_at,/pushed_at,/size,/stargazers_count,/watchers_count,/language,/forks_count,/archived,/d"&amp;"isabled,/open_issues_count,/license/name,/forks,/open_issues,/watchers,/network_count,/subscribers_count,/description"", ""noHeaders"")"),"agents")</f>
        <v>agents</v>
      </c>
      <c r="C6" t="str">
        <f>IFERROR(__xludf.DUMMYFUNCTION("""COMPUTED_VALUE"""),"tensorflow")</f>
        <v>tensorflow</v>
      </c>
      <c r="D6" t="str">
        <f>IFERROR(__xludf.DUMMYFUNCTION("""COMPUTED_VALUE"""),"TF-Agents is a library for Reinforcement Learning in TensorFlow")</f>
        <v>TF-Agents is a library for Reinforcement Learning in TensorFlow</v>
      </c>
      <c r="E6" t="b">
        <f>IFERROR(__xludf.DUMMYFUNCTION("""COMPUTED_VALUE"""),FALSE)</f>
        <v>0</v>
      </c>
      <c r="F6" s="3" t="str">
        <f>IFERROR(__xludf.DUMMYFUNCTION("""COMPUTED_VALUE"""),"https://api.github.com/repos/tensorflow/agents/forks")</f>
        <v>https://api.github.com/repos/tensorflow/agents/forks</v>
      </c>
      <c r="G6" s="3" t="str">
        <f>IFERROR(__xludf.DUMMYFUNCTION("""COMPUTED_VALUE"""),"https://api.github.com/repos/tensorflow/agents/languages")</f>
        <v>https://api.github.com/repos/tensorflow/agents/languages</v>
      </c>
      <c r="H6" t="str">
        <f>IFERROR(__xludf.DUMMYFUNCTION("""COMPUTED_VALUE"""),"2018-11-17T00:29:12Z")</f>
        <v>2018-11-17T00:29:12Z</v>
      </c>
      <c r="I6" t="str">
        <f>IFERROR(__xludf.DUMMYFUNCTION("""COMPUTED_VALUE"""),"2019-06-01T15:05:30Z")</f>
        <v>2019-06-01T15:05:30Z</v>
      </c>
      <c r="J6" t="str">
        <f>IFERROR(__xludf.DUMMYFUNCTION("""COMPUTED_VALUE"""),"2019-05-30T01:02:50Z")</f>
        <v>2019-05-30T01:02:50Z</v>
      </c>
      <c r="K6" t="str">
        <f>IFERROR(__xludf.DUMMYFUNCTION("""COMPUTED_VALUE"""),"2783")</f>
        <v>2783</v>
      </c>
      <c r="L6" t="str">
        <f>IFERROR(__xludf.DUMMYFUNCTION("""COMPUTED_VALUE"""),"602")</f>
        <v>602</v>
      </c>
      <c r="M6" t="str">
        <f>IFERROR(__xludf.DUMMYFUNCTION("""COMPUTED_VALUE"""),"602")</f>
        <v>602</v>
      </c>
      <c r="N6" t="str">
        <f>IFERROR(__xludf.DUMMYFUNCTION("""COMPUTED_VALUE"""),"Python")</f>
        <v>Python</v>
      </c>
      <c r="O6" t="str">
        <f>IFERROR(__xludf.DUMMYFUNCTION("""COMPUTED_VALUE"""),"98")</f>
        <v>98</v>
      </c>
      <c r="P6" t="b">
        <f>IFERROR(__xludf.DUMMYFUNCTION("""COMPUTED_VALUE"""),FALSE)</f>
        <v>0</v>
      </c>
      <c r="Q6" t="b">
        <f>IFERROR(__xludf.DUMMYFUNCTION("""COMPUTED_VALUE"""),FALSE)</f>
        <v>0</v>
      </c>
      <c r="R6" t="str">
        <f>IFERROR(__xludf.DUMMYFUNCTION("""COMPUTED_VALUE"""),"57")</f>
        <v>57</v>
      </c>
      <c r="S6" t="str">
        <f>IFERROR(__xludf.DUMMYFUNCTION("""COMPUTED_VALUE"""),"Apache License 2.0")</f>
        <v>Apache License 2.0</v>
      </c>
      <c r="T6" t="str">
        <f>IFERROR(__xludf.DUMMYFUNCTION("""COMPUTED_VALUE"""),"98")</f>
        <v>98</v>
      </c>
      <c r="U6" t="str">
        <f>IFERROR(__xludf.DUMMYFUNCTION("""COMPUTED_VALUE"""),"57")</f>
        <v>57</v>
      </c>
      <c r="V6" t="str">
        <f>IFERROR(__xludf.DUMMYFUNCTION("""COMPUTED_VALUE"""),"602")</f>
        <v>602</v>
      </c>
      <c r="W6" t="str">
        <f>IFERROR(__xludf.DUMMYFUNCTION("""COMPUTED_VALUE"""),"98")</f>
        <v>98</v>
      </c>
      <c r="X6" t="str">
        <f>IFERROR(__xludf.DUMMYFUNCTION("""COMPUTED_VALUE"""),"56")</f>
        <v>56</v>
      </c>
    </row>
    <row r="7" ht="12.75" spans="1:24">
      <c r="A7" s="2" t="s">
        <v>54</v>
      </c>
      <c r="B7" t="str">
        <f>IFERROR(__xludf.DUMMYFUNCTION("ImportJSON(replace(REGEXEXTRACT($A7, ""^https://github\.com/[^/]+/[^/]+""), 1, 18, ""https://api.github.com/repos""), ""/name,/owner/login,/fork,/created_at,/updated_at,/pushed_at,/size,/stargazers_count,/watchers_count,/language,/forks_count,/archived,/d"&amp;"isabled,/open_issues_count,/license/name,/forks,/open_issues,/watchers,/network_count,/subscribers_count,/description"", ""noHeaders"")"),"trfl")</f>
        <v>trfl</v>
      </c>
      <c r="C7" t="str">
        <f>IFERROR(__xludf.DUMMYFUNCTION("""COMPUTED_VALUE"""),"deepmind")</f>
        <v>deepmind</v>
      </c>
      <c r="D7" t="str">
        <f>IFERROR(__xludf.DUMMYFUNCTION("""COMPUTED_VALUE"""),"TensorFlow Reinforcement Learning")</f>
        <v>TensorFlow Reinforcement Learning</v>
      </c>
      <c r="E7" t="b">
        <f>IFERROR(__xludf.DUMMYFUNCTION("""COMPUTED_VALUE"""),FALSE)</f>
        <v>0</v>
      </c>
      <c r="F7" s="3" t="str">
        <f>IFERROR(__xludf.DUMMYFUNCTION("""COMPUTED_VALUE"""),"https://api.github.com/repos/deepmind/trfl/forks")</f>
        <v>https://api.github.com/repos/deepmind/trfl/forks</v>
      </c>
      <c r="G7" s="3" t="str">
        <f>IFERROR(__xludf.DUMMYFUNCTION("""COMPUTED_VALUE"""),"https://api.github.com/repos/deepmind/trfl/languages")</f>
        <v>https://api.github.com/repos/deepmind/trfl/languages</v>
      </c>
      <c r="H7" t="str">
        <f>IFERROR(__xludf.DUMMYFUNCTION("""COMPUTED_VALUE"""),"2018-08-08T14:44:11Z")</f>
        <v>2018-08-08T14:44:11Z</v>
      </c>
      <c r="I7" t="str">
        <f>IFERROR(__xludf.DUMMYFUNCTION("""COMPUTED_VALUE"""),"2019-06-01T21:09:05Z")</f>
        <v>2019-06-01T21:09:05Z</v>
      </c>
      <c r="J7" t="str">
        <f>IFERROR(__xludf.DUMMYFUNCTION("""COMPUTED_VALUE"""),"2019-04-04T15:15:21Z")</f>
        <v>2019-04-04T15:15:21Z</v>
      </c>
      <c r="K7" t="str">
        <f>IFERROR(__xludf.DUMMYFUNCTION("""COMPUTED_VALUE"""),"238")</f>
        <v>238</v>
      </c>
      <c r="L7" t="str">
        <f>IFERROR(__xludf.DUMMYFUNCTION("""COMPUTED_VALUE"""),"2556")</f>
        <v>2556</v>
      </c>
      <c r="M7" t="str">
        <f>IFERROR(__xludf.DUMMYFUNCTION("""COMPUTED_VALUE"""),"2556")</f>
        <v>2556</v>
      </c>
      <c r="N7" t="str">
        <f>IFERROR(__xludf.DUMMYFUNCTION("""COMPUTED_VALUE"""),"Python")</f>
        <v>Python</v>
      </c>
      <c r="O7" t="str">
        <f>IFERROR(__xludf.DUMMYFUNCTION("""COMPUTED_VALUE"""),"304")</f>
        <v>304</v>
      </c>
      <c r="P7" t="b">
        <f>IFERROR(__xludf.DUMMYFUNCTION("""COMPUTED_VALUE"""),FALSE)</f>
        <v>0</v>
      </c>
      <c r="Q7" t="b">
        <f>IFERROR(__xludf.DUMMYFUNCTION("""COMPUTED_VALUE"""),FALSE)</f>
        <v>0</v>
      </c>
      <c r="R7" t="str">
        <f>IFERROR(__xludf.DUMMYFUNCTION("""COMPUTED_VALUE"""),"2")</f>
        <v>2</v>
      </c>
      <c r="S7" t="str">
        <f>IFERROR(__xludf.DUMMYFUNCTION("""COMPUTED_VALUE"""),"Apache License 2.0")</f>
        <v>Apache License 2.0</v>
      </c>
      <c r="T7" t="str">
        <f>IFERROR(__xludf.DUMMYFUNCTION("""COMPUTED_VALUE"""),"304")</f>
        <v>304</v>
      </c>
      <c r="U7" t="str">
        <f>IFERROR(__xludf.DUMMYFUNCTION("""COMPUTED_VALUE"""),"2")</f>
        <v>2</v>
      </c>
      <c r="V7" t="str">
        <f>IFERROR(__xludf.DUMMYFUNCTION("""COMPUTED_VALUE"""),"2556")</f>
        <v>2556</v>
      </c>
      <c r="W7" t="str">
        <f>IFERROR(__xludf.DUMMYFUNCTION("""COMPUTED_VALUE"""),"304")</f>
        <v>304</v>
      </c>
      <c r="X7" t="str">
        <f>IFERROR(__xludf.DUMMYFUNCTION("""COMPUTED_VALUE"""),"190")</f>
        <v>190</v>
      </c>
    </row>
    <row r="8" ht="12.75" spans="1:24">
      <c r="A8" s="2" t="s">
        <v>44</v>
      </c>
      <c r="B8" t="str">
        <f>IFERROR(__xludf.DUMMYFUNCTION("ImportJSON(replace(REGEXEXTRACT($A8, ""^https://github\.com/[^/]+/[^/]+""), 1, 18, ""https://api.github.com/repos""), ""/name,/owner/login,/fork,/created_at,/updated_at,/pushed_at,/size,/stargazers_count,/watchers_count,/language,/forks_count,/archived,/d"&amp;"isabled,/open_issues_count,/license/name,/forks,/open_issues,/watchers,/network_count,/subscribers_count,/description"", ""noHeaders"")"),"Horizon")</f>
        <v>Horizon</v>
      </c>
      <c r="C8" t="str">
        <f>IFERROR(__xludf.DUMMYFUNCTION("""COMPUTED_VALUE"""),"facebookresearch")</f>
        <v>facebookresearch</v>
      </c>
      <c r="D8" t="str">
        <f>IFERROR(__xludf.DUMMYFUNCTION("""COMPUTED_VALUE"""),"A platform for Applied Reinforcement Learning (Applied RL)")</f>
        <v>A platform for Applied Reinforcement Learning (Applied RL)</v>
      </c>
      <c r="E8" t="b">
        <f>IFERROR(__xludf.DUMMYFUNCTION("""COMPUTED_VALUE"""),FALSE)</f>
        <v>0</v>
      </c>
      <c r="F8" s="3" t="str">
        <f>IFERROR(__xludf.DUMMYFUNCTION("""COMPUTED_VALUE"""),"https://api.github.com/repos/facebookresearch/Horizon/forks")</f>
        <v>https://api.github.com/repos/facebookresearch/Horizon/forks</v>
      </c>
      <c r="G8" s="3" t="str">
        <f>IFERROR(__xludf.DUMMYFUNCTION("""COMPUTED_VALUE"""),"https://api.github.com/repos/facebookresearch/Horizon/languages")</f>
        <v>https://api.github.com/repos/facebookresearch/Horizon/languages</v>
      </c>
      <c r="H8" t="str">
        <f>IFERROR(__xludf.DUMMYFUNCTION("""COMPUTED_VALUE"""),"2017-07-27T17:53:21Z")</f>
        <v>2017-07-27T17:53:21Z</v>
      </c>
      <c r="I8" t="str">
        <f>IFERROR(__xludf.DUMMYFUNCTION("""COMPUTED_VALUE"""),"2019-06-01T06:11:14Z")</f>
        <v>2019-06-01T06:11:14Z</v>
      </c>
      <c r="J8" t="str">
        <f>IFERROR(__xludf.DUMMYFUNCTION("""COMPUTED_VALUE"""),"2019-05-23T20:38:04Z")</f>
        <v>2019-05-23T20:38:04Z</v>
      </c>
      <c r="K8" t="str">
        <f>IFERROR(__xludf.DUMMYFUNCTION("""COMPUTED_VALUE"""),"25618")</f>
        <v>25618</v>
      </c>
      <c r="L8" t="str">
        <f>IFERROR(__xludf.DUMMYFUNCTION("""COMPUTED_VALUE"""),"1964")</f>
        <v>1964</v>
      </c>
      <c r="M8" t="str">
        <f>IFERROR(__xludf.DUMMYFUNCTION("""COMPUTED_VALUE"""),"1964")</f>
        <v>1964</v>
      </c>
      <c r="N8" t="str">
        <f>IFERROR(__xludf.DUMMYFUNCTION("""COMPUTED_VALUE"""),"Python")</f>
        <v>Python</v>
      </c>
      <c r="O8" t="str">
        <f>IFERROR(__xludf.DUMMYFUNCTION("""COMPUTED_VALUE"""),"243")</f>
        <v>243</v>
      </c>
      <c r="P8" t="b">
        <f>IFERROR(__xludf.DUMMYFUNCTION("""COMPUTED_VALUE"""),FALSE)</f>
        <v>0</v>
      </c>
      <c r="Q8" t="b">
        <f>IFERROR(__xludf.DUMMYFUNCTION("""COMPUTED_VALUE"""),FALSE)</f>
        <v>0</v>
      </c>
      <c r="R8" t="str">
        <f>IFERROR(__xludf.DUMMYFUNCTION("""COMPUTED_VALUE"""),"6")</f>
        <v>6</v>
      </c>
      <c r="S8" t="str">
        <f>IFERROR(__xludf.DUMMYFUNCTION("""COMPUTED_VALUE"""),"Other")</f>
        <v>Other</v>
      </c>
      <c r="T8" t="str">
        <f>IFERROR(__xludf.DUMMYFUNCTION("""COMPUTED_VALUE"""),"243")</f>
        <v>243</v>
      </c>
      <c r="U8" t="str">
        <f>IFERROR(__xludf.DUMMYFUNCTION("""COMPUTED_VALUE"""),"6")</f>
        <v>6</v>
      </c>
      <c r="V8" t="str">
        <f>IFERROR(__xludf.DUMMYFUNCTION("""COMPUTED_VALUE"""),"1964")</f>
        <v>1964</v>
      </c>
      <c r="W8" t="str">
        <f>IFERROR(__xludf.DUMMYFUNCTION("""COMPUTED_VALUE"""),"243")</f>
        <v>243</v>
      </c>
      <c r="X8" t="str">
        <f>IFERROR(__xludf.DUMMYFUNCTION("""COMPUTED_VALUE"""),"140")</f>
        <v>140</v>
      </c>
    </row>
    <row r="9" ht="12.75" spans="1:24">
      <c r="A9" s="2" t="s">
        <v>57</v>
      </c>
      <c r="B9" t="str">
        <f>IFERROR(__xludf.DUMMYFUNCTION("ImportJSON(replace(REGEXEXTRACT($A9, ""^https://github\.com/[^/]+/[^/]+""), 1, 18, ""https://api.github.com/repos""), ""/name,/owner/login,/fork,/created_at,/updated_at,/pushed_at,/size,/stargazers_count,/watchers_count,/language,/forks_count,/archived,/d"&amp;"isabled,/open_issues_count,/license/name,/forks,/open_issues,/watchers,/network_count,/subscribers_count,/description"", ""noHeaders"")"),"ELF")</f>
        <v>ELF</v>
      </c>
      <c r="C9" t="str">
        <f>IFERROR(__xludf.DUMMYFUNCTION("""COMPUTED_VALUE"""),"facebookresearch")</f>
        <v>facebookresearch</v>
      </c>
      <c r="D9" t="str">
        <f>IFERROR(__xludf.DUMMYFUNCTION("""COMPUTED_VALUE"""),"An End-To-End, Lightweight and Flexible Platform for Game Research")</f>
        <v>An End-To-End, Lightweight and Flexible Platform for Game Research</v>
      </c>
      <c r="E9" t="b">
        <f>IFERROR(__xludf.DUMMYFUNCTION("""COMPUTED_VALUE"""),FALSE)</f>
        <v>0</v>
      </c>
      <c r="F9" s="3" t="str">
        <f>IFERROR(__xludf.DUMMYFUNCTION("""COMPUTED_VALUE"""),"https://api.github.com/repos/facebookresearch/ELF/forks")</f>
        <v>https://api.github.com/repos/facebookresearch/ELF/forks</v>
      </c>
      <c r="G9" s="3" t="str">
        <f>IFERROR(__xludf.DUMMYFUNCTION("""COMPUTED_VALUE"""),"https://api.github.com/repos/facebookresearch/ELF/languages")</f>
        <v>https://api.github.com/repos/facebookresearch/ELF/languages</v>
      </c>
      <c r="H9" t="str">
        <f>IFERROR(__xludf.DUMMYFUNCTION("""COMPUTED_VALUE"""),"2017-06-06T00:07:35Z")</f>
        <v>2017-06-06T00:07:35Z</v>
      </c>
      <c r="I9" t="str">
        <f>IFERROR(__xludf.DUMMYFUNCTION("""COMPUTED_VALUE"""),"2019-05-26T15:25:30Z")</f>
        <v>2019-05-26T15:25:30Z</v>
      </c>
      <c r="J9" t="str">
        <f>IFERROR(__xludf.DUMMYFUNCTION("""COMPUTED_VALUE"""),"2019-03-22T18:11:22Z")</f>
        <v>2019-03-22T18:11:22Z</v>
      </c>
      <c r="K9" t="str">
        <f>IFERROR(__xludf.DUMMYFUNCTION("""COMPUTED_VALUE"""),"4755")</f>
        <v>4755</v>
      </c>
      <c r="L9" t="str">
        <f>IFERROR(__xludf.DUMMYFUNCTION("""COMPUTED_VALUE"""),"1887")</f>
        <v>1887</v>
      </c>
      <c r="M9" t="str">
        <f>IFERROR(__xludf.DUMMYFUNCTION("""COMPUTED_VALUE"""),"1887")</f>
        <v>1887</v>
      </c>
      <c r="N9" t="str">
        <f>IFERROR(__xludf.DUMMYFUNCTION("""COMPUTED_VALUE"""),"C++")</f>
        <v>C++</v>
      </c>
      <c r="O9" t="str">
        <f>IFERROR(__xludf.DUMMYFUNCTION("""COMPUTED_VALUE"""),"271")</f>
        <v>271</v>
      </c>
      <c r="P9" t="b">
        <f>IFERROR(__xludf.DUMMYFUNCTION("""COMPUTED_VALUE"""),FALSE)</f>
        <v>0</v>
      </c>
      <c r="Q9" t="b">
        <f>IFERROR(__xludf.DUMMYFUNCTION("""COMPUTED_VALUE"""),FALSE)</f>
        <v>0</v>
      </c>
      <c r="R9" t="str">
        <f>IFERROR(__xludf.DUMMYFUNCTION("""COMPUTED_VALUE"""),"37")</f>
        <v>37</v>
      </c>
      <c r="S9" t="str">
        <f>IFERROR(__xludf.DUMMYFUNCTION("""COMPUTED_VALUE"""),"Other")</f>
        <v>Other</v>
      </c>
      <c r="T9" t="str">
        <f>IFERROR(__xludf.DUMMYFUNCTION("""COMPUTED_VALUE"""),"271")</f>
        <v>271</v>
      </c>
      <c r="U9" t="str">
        <f>IFERROR(__xludf.DUMMYFUNCTION("""COMPUTED_VALUE"""),"37")</f>
        <v>37</v>
      </c>
      <c r="V9" t="str">
        <f>IFERROR(__xludf.DUMMYFUNCTION("""COMPUTED_VALUE"""),"1887")</f>
        <v>1887</v>
      </c>
      <c r="W9" t="str">
        <f>IFERROR(__xludf.DUMMYFUNCTION("""COMPUTED_VALUE"""),"271")</f>
        <v>271</v>
      </c>
      <c r="X9" t="str">
        <f>IFERROR(__xludf.DUMMYFUNCTION("""COMPUTED_VALUE"""),"127")</f>
        <v>127</v>
      </c>
    </row>
    <row r="10" ht="12.75" spans="1:24">
      <c r="A10" s="2" t="s">
        <v>46</v>
      </c>
      <c r="B10" t="str">
        <f>IFERROR(__xludf.DUMMYFUNCTION("ImportJSON(replace(REGEXEXTRACT($A10, ""^https://github\.com/[^/]+/[^/]+""), 1, 18, ""https://api.github.com/repos""), ""/name,/owner/login,/fork,/created_at,/updated_at,/pushed_at,/size,/stargazers_count,/watchers_count,/language,/forks_count,/archived,/"&amp;"disabled,/open_issues_count,/license/name,/forks,/open_issues,/watchers,/network_count,/subscribers_count,/description"", ""noHeaders"")"),"coach")</f>
        <v>coach</v>
      </c>
      <c r="C10" t="str">
        <f>IFERROR(__xludf.DUMMYFUNCTION("""COMPUTED_VALUE"""),"NervanaSystems")</f>
        <v>NervanaSystems</v>
      </c>
      <c r="D10" t="str">
        <f>IFERROR(__xludf.DUMMYFUNCTION("""COMPUTED_VALUE"""),"Reinforcement Learning Coach by Intel AI Lab enables easy experimentation with state of the art Reinforcement Learning algorithms")</f>
        <v>Reinforcement Learning Coach by Intel AI Lab enables easy experimentation with state of the art Reinforcement Learning algorithms</v>
      </c>
      <c r="E10" t="b">
        <f>IFERROR(__xludf.DUMMYFUNCTION("""COMPUTED_VALUE"""),FALSE)</f>
        <v>0</v>
      </c>
      <c r="F10" s="3" t="str">
        <f>IFERROR(__xludf.DUMMYFUNCTION("""COMPUTED_VALUE"""),"https://api.github.com/repos/NervanaSystems/coach/forks")</f>
        <v>https://api.github.com/repos/NervanaSystems/coach/forks</v>
      </c>
      <c r="G10" s="3" t="str">
        <f>IFERROR(__xludf.DUMMYFUNCTION("""COMPUTED_VALUE"""),"https://api.github.com/repos/NervanaSystems/coach/languages")</f>
        <v>https://api.github.com/repos/NervanaSystems/coach/languages</v>
      </c>
      <c r="H10" t="str">
        <f>IFERROR(__xludf.DUMMYFUNCTION("""COMPUTED_VALUE"""),"2017-10-01T19:27:43Z")</f>
        <v>2017-10-01T19:27:43Z</v>
      </c>
      <c r="I10" t="str">
        <f>IFERROR(__xludf.DUMMYFUNCTION("""COMPUTED_VALUE"""),"2019-06-01T16:37:22Z")</f>
        <v>2019-06-01T16:37:22Z</v>
      </c>
      <c r="J10" t="str">
        <f>IFERROR(__xludf.DUMMYFUNCTION("""COMPUTED_VALUE"""),"2019-05-30T08:52:33Z")</f>
        <v>2019-05-30T08:52:33Z</v>
      </c>
      <c r="K10" t="str">
        <f>IFERROR(__xludf.DUMMYFUNCTION("""COMPUTED_VALUE"""),"73598")</f>
        <v>73598</v>
      </c>
      <c r="L10" t="str">
        <f>IFERROR(__xludf.DUMMYFUNCTION("""COMPUTED_VALUE"""),"1272")</f>
        <v>1272</v>
      </c>
      <c r="M10" t="str">
        <f>IFERROR(__xludf.DUMMYFUNCTION("""COMPUTED_VALUE"""),"1272")</f>
        <v>1272</v>
      </c>
      <c r="N10" t="str">
        <f>IFERROR(__xludf.DUMMYFUNCTION("""COMPUTED_VALUE"""),"Python")</f>
        <v>Python</v>
      </c>
      <c r="O10" t="str">
        <f>IFERROR(__xludf.DUMMYFUNCTION("""COMPUTED_VALUE"""),"256")</f>
        <v>256</v>
      </c>
      <c r="P10" t="b">
        <f>IFERROR(__xludf.DUMMYFUNCTION("""COMPUTED_VALUE"""),FALSE)</f>
        <v>0</v>
      </c>
      <c r="Q10" t="b">
        <f>IFERROR(__xludf.DUMMYFUNCTION("""COMPUTED_VALUE"""),FALSE)</f>
        <v>0</v>
      </c>
      <c r="R10" t="str">
        <f>IFERROR(__xludf.DUMMYFUNCTION("""COMPUTED_VALUE"""),"51")</f>
        <v>51</v>
      </c>
      <c r="S10" t="str">
        <f>IFERROR(__xludf.DUMMYFUNCTION("""COMPUTED_VALUE"""),"Apache License 2.0")</f>
        <v>Apache License 2.0</v>
      </c>
      <c r="T10" t="str">
        <f>IFERROR(__xludf.DUMMYFUNCTION("""COMPUTED_VALUE"""),"256")</f>
        <v>256</v>
      </c>
      <c r="U10" t="str">
        <f>IFERROR(__xludf.DUMMYFUNCTION("""COMPUTED_VALUE"""),"51")</f>
        <v>51</v>
      </c>
      <c r="V10" t="str">
        <f>IFERROR(__xludf.DUMMYFUNCTION("""COMPUTED_VALUE"""),"1272")</f>
        <v>1272</v>
      </c>
      <c r="W10" t="str">
        <f>IFERROR(__xludf.DUMMYFUNCTION("""COMPUTED_VALUE"""),"256")</f>
        <v>256</v>
      </c>
      <c r="X10" t="str">
        <f>IFERROR(__xludf.DUMMYFUNCTION("""COMPUTED_VALUE"""),"102")</f>
        <v>102</v>
      </c>
    </row>
    <row r="11" ht="12.75" spans="1:24">
      <c r="A11" s="2" t="s">
        <v>38</v>
      </c>
      <c r="B11" t="str">
        <f>IFERROR(__xludf.DUMMYFUNCTION("ImportJSON(replace(REGEXEXTRACT($A11, ""^https://github\.com/[^/]+/[^/]+""), 1, 18, ""https://api.github.com/repos""), ""/name,/owner/login,/fork,/created_at,/updated_at,/pushed_at,/size,/stargazers_count,/watchers_count,/language,/forks_count,/archived,/"&amp;"disabled,/open_issues_count,/license/name,/forks,/open_issues,/watchers,/network_count,/subscribers_count,/description"", ""noHeaders"")"),"ray")</f>
        <v>ray</v>
      </c>
      <c r="C11" t="str">
        <f>IFERROR(__xludf.DUMMYFUNCTION("""COMPUTED_VALUE"""),"ray-project")</f>
        <v>ray-project</v>
      </c>
      <c r="D11" t="str">
        <f>IFERROR(__xludf.DUMMYFUNCTION("""COMPUTED_VALUE"""),"A fast and simple framework for building and running distributed applications.")</f>
        <v>A fast and simple framework for building and running distributed applications.</v>
      </c>
      <c r="E11" t="b">
        <f>IFERROR(__xludf.DUMMYFUNCTION("""COMPUTED_VALUE"""),FALSE)</f>
        <v>0</v>
      </c>
      <c r="F11" s="3" t="str">
        <f>IFERROR(__xludf.DUMMYFUNCTION("""COMPUTED_VALUE"""),"https://api.github.com/repos/ray-project/ray/forks")</f>
        <v>https://api.github.com/repos/ray-project/ray/forks</v>
      </c>
      <c r="G11" s="3" t="str">
        <f>IFERROR(__xludf.DUMMYFUNCTION("""COMPUTED_VALUE"""),"https://api.github.com/repos/ray-project/ray/languages")</f>
        <v>https://api.github.com/repos/ray-project/ray/languages</v>
      </c>
      <c r="H11" t="str">
        <f>IFERROR(__xludf.DUMMYFUNCTION("""COMPUTED_VALUE"""),"2016-10-25T19:38:30Z")</f>
        <v>2016-10-25T19:38:30Z</v>
      </c>
      <c r="I11" t="str">
        <f>IFERROR(__xludf.DUMMYFUNCTION("""COMPUTED_VALUE"""),"2019-06-01T23:23:37Z")</f>
        <v>2019-06-01T23:23:37Z</v>
      </c>
      <c r="J11" t="str">
        <f>IFERROR(__xludf.DUMMYFUNCTION("""COMPUTED_VALUE"""),"2019-06-01T19:39:00Z")</f>
        <v>2019-06-01T19:39:00Z</v>
      </c>
      <c r="K11" t="str">
        <f>IFERROR(__xludf.DUMMYFUNCTION("""COMPUTED_VALUE"""),"22538")</f>
        <v>22538</v>
      </c>
      <c r="L11" t="str">
        <f>IFERROR(__xludf.DUMMYFUNCTION("""COMPUTED_VALUE"""),"7418")</f>
        <v>7418</v>
      </c>
      <c r="M11" t="str">
        <f>IFERROR(__xludf.DUMMYFUNCTION("""COMPUTED_VALUE"""),"7418")</f>
        <v>7418</v>
      </c>
      <c r="N11" t="str">
        <f>IFERROR(__xludf.DUMMYFUNCTION("""COMPUTED_VALUE"""),"Python")</f>
        <v>Python</v>
      </c>
      <c r="O11" t="str">
        <f>IFERROR(__xludf.DUMMYFUNCTION("""COMPUTED_VALUE"""),"1027")</f>
        <v>1027</v>
      </c>
      <c r="P11" t="b">
        <f>IFERROR(__xludf.DUMMYFUNCTION("""COMPUTED_VALUE"""),FALSE)</f>
        <v>0</v>
      </c>
      <c r="Q11" t="b">
        <f>IFERROR(__xludf.DUMMYFUNCTION("""COMPUTED_VALUE"""),FALSE)</f>
        <v>0</v>
      </c>
      <c r="R11" t="str">
        <f>IFERROR(__xludf.DUMMYFUNCTION("""COMPUTED_VALUE"""),"699")</f>
        <v>699</v>
      </c>
      <c r="S11" t="str">
        <f>IFERROR(__xludf.DUMMYFUNCTION("""COMPUTED_VALUE"""),"Apache License 2.0")</f>
        <v>Apache License 2.0</v>
      </c>
      <c r="T11" t="str">
        <f>IFERROR(__xludf.DUMMYFUNCTION("""COMPUTED_VALUE"""),"1027")</f>
        <v>1027</v>
      </c>
      <c r="U11" t="str">
        <f>IFERROR(__xludf.DUMMYFUNCTION("""COMPUTED_VALUE"""),"699")</f>
        <v>699</v>
      </c>
      <c r="V11" t="str">
        <f>IFERROR(__xludf.DUMMYFUNCTION("""COMPUTED_VALUE"""),"7418")</f>
        <v>7418</v>
      </c>
      <c r="W11" t="str">
        <f>IFERROR(__xludf.DUMMYFUNCTION("""COMPUTED_VALUE"""),"1027")</f>
        <v>1027</v>
      </c>
      <c r="X11" t="str">
        <f>IFERROR(__xludf.DUMMYFUNCTION("""COMPUTED_VALUE"""),"293")</f>
        <v>293</v>
      </c>
    </row>
    <row r="12" ht="12.75" spans="1:24">
      <c r="A12" s="2" t="s">
        <v>58</v>
      </c>
      <c r="B12" t="str">
        <f>IFERROR(__xludf.DUMMYFUNCTION("ImportJSON(replace(REGEXEXTRACT($A12, ""^https://github\.com/[^/]+/[^/]+""), 1, 18, ""https://api.github.com/repos""), ""/name,/owner/login,/fork,/created_at,/updated_at,/pushed_at,/size,/stargazers_count,/watchers_count,/language,/forks_count,/archived,/"&amp;"disabled,/open_issues_count,/license/name,/forks,/open_issues,/watchers,/network_count,/subscribers_count,/description"", ""noHeaders"")"),"keras-rl")</f>
        <v>keras-rl</v>
      </c>
      <c r="C12" t="str">
        <f>IFERROR(__xludf.DUMMYFUNCTION("""COMPUTED_VALUE"""),"keras-rl")</f>
        <v>keras-rl</v>
      </c>
      <c r="D12" t="str">
        <f>IFERROR(__xludf.DUMMYFUNCTION("""COMPUTED_VALUE"""),"Deep Reinforcement Learning for Keras.")</f>
        <v>Deep Reinforcement Learning for Keras.</v>
      </c>
      <c r="E12" t="b">
        <f>IFERROR(__xludf.DUMMYFUNCTION("""COMPUTED_VALUE"""),FALSE)</f>
        <v>0</v>
      </c>
      <c r="F12" s="3" t="str">
        <f>IFERROR(__xludf.DUMMYFUNCTION("""COMPUTED_VALUE"""),"https://api.github.com/repos/keras-rl/keras-rl/forks")</f>
        <v>https://api.github.com/repos/keras-rl/keras-rl/forks</v>
      </c>
      <c r="G12" s="3" t="str">
        <f>IFERROR(__xludf.DUMMYFUNCTION("""COMPUTED_VALUE"""),"https://api.github.com/repos/keras-rl/keras-rl/languages")</f>
        <v>https://api.github.com/repos/keras-rl/keras-rl/languages</v>
      </c>
      <c r="H12" t="str">
        <f>IFERROR(__xludf.DUMMYFUNCTION("""COMPUTED_VALUE"""),"2016-07-02T15:53:12Z")</f>
        <v>2016-07-02T15:53:12Z</v>
      </c>
      <c r="I12" t="str">
        <f>IFERROR(__xludf.DUMMYFUNCTION("""COMPUTED_VALUE"""),"2019-06-01T21:25:01Z")</f>
        <v>2019-06-01T21:25:01Z</v>
      </c>
      <c r="J12" t="str">
        <f>IFERROR(__xludf.DUMMYFUNCTION("""COMPUTED_VALUE"""),"2019-05-28T02:57:03Z")</f>
        <v>2019-05-28T02:57:03Z</v>
      </c>
      <c r="K12" t="str">
        <f>IFERROR(__xludf.DUMMYFUNCTION("""COMPUTED_VALUE"""),"1412")</f>
        <v>1412</v>
      </c>
      <c r="L12" t="str">
        <f>IFERROR(__xludf.DUMMYFUNCTION("""COMPUTED_VALUE"""),"3839")</f>
        <v>3839</v>
      </c>
      <c r="M12" t="str">
        <f>IFERROR(__xludf.DUMMYFUNCTION("""COMPUTED_VALUE"""),"3839")</f>
        <v>3839</v>
      </c>
      <c r="N12" t="str">
        <f>IFERROR(__xludf.DUMMYFUNCTION("""COMPUTED_VALUE"""),"Python")</f>
        <v>Python</v>
      </c>
      <c r="O12" t="str">
        <f>IFERROR(__xludf.DUMMYFUNCTION("""COMPUTED_VALUE"""),"981")</f>
        <v>981</v>
      </c>
      <c r="P12" t="b">
        <f>IFERROR(__xludf.DUMMYFUNCTION("""COMPUTED_VALUE"""),FALSE)</f>
        <v>0</v>
      </c>
      <c r="Q12" t="b">
        <f>IFERROR(__xludf.DUMMYFUNCTION("""COMPUTED_VALUE"""),FALSE)</f>
        <v>0</v>
      </c>
      <c r="R12" t="str">
        <f>IFERROR(__xludf.DUMMYFUNCTION("""COMPUTED_VALUE"""),"41")</f>
        <v>41</v>
      </c>
      <c r="S12" t="str">
        <f>IFERROR(__xludf.DUMMYFUNCTION("""COMPUTED_VALUE"""),"MIT License")</f>
        <v>MIT License</v>
      </c>
      <c r="T12" t="str">
        <f>IFERROR(__xludf.DUMMYFUNCTION("""COMPUTED_VALUE"""),"981")</f>
        <v>981</v>
      </c>
      <c r="U12" t="str">
        <f>IFERROR(__xludf.DUMMYFUNCTION("""COMPUTED_VALUE"""),"41")</f>
        <v>41</v>
      </c>
      <c r="V12" t="str">
        <f>IFERROR(__xludf.DUMMYFUNCTION("""COMPUTED_VALUE"""),"3839")</f>
        <v>3839</v>
      </c>
      <c r="W12" t="str">
        <f>IFERROR(__xludf.DUMMYFUNCTION("""COMPUTED_VALUE"""),"981")</f>
        <v>981</v>
      </c>
      <c r="X12" t="str">
        <f>IFERROR(__xludf.DUMMYFUNCTION("""COMPUTED_VALUE"""),"216")</f>
        <v>216</v>
      </c>
    </row>
    <row r="13" ht="12.75" spans="1:24">
      <c r="A13" s="2" t="s">
        <v>60</v>
      </c>
      <c r="B13" t="str">
        <f>IFERROR(__xludf.DUMMYFUNCTION("ImportJSON(replace(REGEXEXTRACT($A13, ""^https://github\.com/[^/]+/[^/]+""), 1, 18, ""https://api.github.com/repos""), ""/name,/owner/login,/fork,/created_at,/updated_at,/pushed_at,/size,/stargazers_count,/watchers_count,/language,/forks_count,/archived,/"&amp;"disabled,/open_issues_count,/license/name,/forks,/open_issues,/watchers,/network_count,/subscribers_count,/description"", ""noHeaders"")"),"pytorch-a2c-ppo-acktr-gail")</f>
        <v>pytorch-a2c-ppo-acktr-gail</v>
      </c>
      <c r="C13" t="str">
        <f>IFERROR(__xludf.DUMMYFUNCTION("""COMPUTED_VALUE"""),"ikostrikov")</f>
        <v>ikostrikov</v>
      </c>
      <c r="D13" t="str">
        <f>IFERROR(__xludf.DUMMYFUNCTION("""COMPUTED_VALUE"""),"PyTorch implementation of Advantage Actor Critic (A2C), Proximal Policy Optimization (PPO), Scalable trust-region method for deep reinforcement learning using Kronecker-factored approximation (ACKTR) and Generative Adversarial Imitation Learning (GAIL).")</f>
        <v>PyTorch implementation of Advantage Actor Critic (A2C), Proximal Policy Optimization (PPO), Scalable trust-region method for deep reinforcement learning using Kronecker-factored approximation (ACKTR) and Generative Adversarial Imitation Learning (GAIL).</v>
      </c>
      <c r="E13" t="b">
        <f>IFERROR(__xludf.DUMMYFUNCTION("""COMPUTED_VALUE"""),FALSE)</f>
        <v>0</v>
      </c>
      <c r="F13" s="3" t="str">
        <f>IFERROR(__xludf.DUMMYFUNCTION("""COMPUTED_VALUE"""),"https://api.github.com/repos/ikostrikov/pytorch-a2c-ppo-acktr-gail/forks")</f>
        <v>https://api.github.com/repos/ikostrikov/pytorch-a2c-ppo-acktr-gail/forks</v>
      </c>
      <c r="G13" s="3" t="str">
        <f>IFERROR(__xludf.DUMMYFUNCTION("""COMPUTED_VALUE"""),"https://api.github.com/repos/ikostrikov/pytorch-a2c-ppo-acktr-gail/languages")</f>
        <v>https://api.github.com/repos/ikostrikov/pytorch-a2c-ppo-acktr-gail/languages</v>
      </c>
      <c r="H13" t="str">
        <f>IFERROR(__xludf.DUMMYFUNCTION("""COMPUTED_VALUE"""),"2017-08-22T15:57:25Z")</f>
        <v>2017-08-22T15:57:25Z</v>
      </c>
      <c r="I13" t="str">
        <f>IFERROR(__xludf.DUMMYFUNCTION("""COMPUTED_VALUE"""),"2019-05-30T12:14:15Z")</f>
        <v>2019-05-30T12:14:15Z</v>
      </c>
      <c r="J13" t="str">
        <f>IFERROR(__xludf.DUMMYFUNCTION("""COMPUTED_VALUE"""),"2019-05-07T20:13:13Z")</f>
        <v>2019-05-07T20:13:13Z</v>
      </c>
      <c r="K13" t="str">
        <f>IFERROR(__xludf.DUMMYFUNCTION("""COMPUTED_VALUE"""),"6160")</f>
        <v>6160</v>
      </c>
      <c r="L13" t="str">
        <f>IFERROR(__xludf.DUMMYFUNCTION("""COMPUTED_VALUE"""),"1349")</f>
        <v>1349</v>
      </c>
      <c r="M13" t="str">
        <f>IFERROR(__xludf.DUMMYFUNCTION("""COMPUTED_VALUE"""),"1349")</f>
        <v>1349</v>
      </c>
      <c r="N13" t="str">
        <f>IFERROR(__xludf.DUMMYFUNCTION("""COMPUTED_VALUE"""),"Python")</f>
        <v>Python</v>
      </c>
      <c r="O13" t="str">
        <f>IFERROR(__xludf.DUMMYFUNCTION("""COMPUTED_VALUE"""),"321")</f>
        <v>321</v>
      </c>
      <c r="P13" t="b">
        <f>IFERROR(__xludf.DUMMYFUNCTION("""COMPUTED_VALUE"""),FALSE)</f>
        <v>0</v>
      </c>
      <c r="Q13" t="b">
        <f>IFERROR(__xludf.DUMMYFUNCTION("""COMPUTED_VALUE"""),FALSE)</f>
        <v>0</v>
      </c>
      <c r="R13" t="str">
        <f>IFERROR(__xludf.DUMMYFUNCTION("""COMPUTED_VALUE"""),"22")</f>
        <v>22</v>
      </c>
      <c r="S13" t="str">
        <f>IFERROR(__xludf.DUMMYFUNCTION("""COMPUTED_VALUE"""),"MIT License")</f>
        <v>MIT License</v>
      </c>
      <c r="T13" t="str">
        <f>IFERROR(__xludf.DUMMYFUNCTION("""COMPUTED_VALUE"""),"321")</f>
        <v>321</v>
      </c>
      <c r="U13" t="str">
        <f>IFERROR(__xludf.DUMMYFUNCTION("""COMPUTED_VALUE"""),"22")</f>
        <v>22</v>
      </c>
      <c r="V13" t="str">
        <f>IFERROR(__xludf.DUMMYFUNCTION("""COMPUTED_VALUE"""),"1349")</f>
        <v>1349</v>
      </c>
      <c r="W13" t="str">
        <f>IFERROR(__xludf.DUMMYFUNCTION("""COMPUTED_VALUE"""),"321")</f>
        <v>321</v>
      </c>
      <c r="X13" t="str">
        <f>IFERROR(__xludf.DUMMYFUNCTION("""COMPUTED_VALUE"""),"60")</f>
        <v>60</v>
      </c>
    </row>
    <row r="14" ht="12.75" spans="1:24">
      <c r="A14" s="2" t="s">
        <v>62</v>
      </c>
      <c r="B14" t="str">
        <f>IFERROR(__xludf.DUMMYFUNCTION("ImportJSON(replace(REGEXEXTRACT($A14, ""^https://github\.com/[^/]+/[^/]+""), 1, 18, ""https://api.github.com/repos""), ""/name,/owner/login,/fork,/created_at,/updated_at,/pushed_at,/size,/stargazers_count,/watchers_count,/language,/forks_count,/archived,/"&amp;"disabled,/open_issues_count,/license/name,/forks,/open_issues,/watchers,/network_count,/subscribers_count,/description"", ""noHeaders"")"),"Rainbow")</f>
        <v>Rainbow</v>
      </c>
      <c r="C14" t="str">
        <f>IFERROR(__xludf.DUMMYFUNCTION("""COMPUTED_VALUE"""),"Kaixhin")</f>
        <v>Kaixhin</v>
      </c>
      <c r="D14" t="str">
        <f>IFERROR(__xludf.DUMMYFUNCTION("""COMPUTED_VALUE"""),"Rainbow: Combining Improvements in Deep Reinforcement Learning")</f>
        <v>Rainbow: Combining Improvements in Deep Reinforcement Learning</v>
      </c>
      <c r="E14" t="b">
        <f>IFERROR(__xludf.DUMMYFUNCTION("""COMPUTED_VALUE"""),FALSE)</f>
        <v>0</v>
      </c>
      <c r="F14" s="3" t="str">
        <f>IFERROR(__xludf.DUMMYFUNCTION("""COMPUTED_VALUE"""),"https://api.github.com/repos/Kaixhin/Rainbow/forks")</f>
        <v>https://api.github.com/repos/Kaixhin/Rainbow/forks</v>
      </c>
      <c r="G14" s="3" t="str">
        <f>IFERROR(__xludf.DUMMYFUNCTION("""COMPUTED_VALUE"""),"https://api.github.com/repos/Kaixhin/Rainbow/languages")</f>
        <v>https://api.github.com/repos/Kaixhin/Rainbow/languages</v>
      </c>
      <c r="H14" t="str">
        <f>IFERROR(__xludf.DUMMYFUNCTION("""COMPUTED_VALUE"""),"2017-10-09T07:21:24Z")</f>
        <v>2017-10-09T07:21:24Z</v>
      </c>
      <c r="I14" t="str">
        <f>IFERROR(__xludf.DUMMYFUNCTION("""COMPUTED_VALUE"""),"2019-05-31T05:14:12Z")</f>
        <v>2019-05-31T05:14:12Z</v>
      </c>
      <c r="J14" t="str">
        <f>IFERROR(__xludf.DUMMYFUNCTION("""COMPUTED_VALUE"""),"2019-04-24T13:00:42Z")</f>
        <v>2019-04-24T13:00:42Z</v>
      </c>
      <c r="K14" t="str">
        <f>IFERROR(__xludf.DUMMYFUNCTION("""COMPUTED_VALUE"""),"133")</f>
        <v>133</v>
      </c>
      <c r="L14" t="str">
        <f>IFERROR(__xludf.DUMMYFUNCTION("""COMPUTED_VALUE"""),"725")</f>
        <v>725</v>
      </c>
      <c r="M14" t="str">
        <f>IFERROR(__xludf.DUMMYFUNCTION("""COMPUTED_VALUE"""),"725")</f>
        <v>725</v>
      </c>
      <c r="N14" t="str">
        <f>IFERROR(__xludf.DUMMYFUNCTION("""COMPUTED_VALUE"""),"Python")</f>
        <v>Python</v>
      </c>
      <c r="O14" t="str">
        <f>IFERROR(__xludf.DUMMYFUNCTION("""COMPUTED_VALUE"""),"104")</f>
        <v>104</v>
      </c>
      <c r="P14" t="b">
        <f>IFERROR(__xludf.DUMMYFUNCTION("""COMPUTED_VALUE"""),FALSE)</f>
        <v>0</v>
      </c>
      <c r="Q14" t="b">
        <f>IFERROR(__xludf.DUMMYFUNCTION("""COMPUTED_VALUE"""),FALSE)</f>
        <v>0</v>
      </c>
      <c r="R14" t="str">
        <f>IFERROR(__xludf.DUMMYFUNCTION("""COMPUTED_VALUE"""),"4")</f>
        <v>4</v>
      </c>
      <c r="S14" t="str">
        <f>IFERROR(__xludf.DUMMYFUNCTION("""COMPUTED_VALUE"""),"MIT License")</f>
        <v>MIT License</v>
      </c>
      <c r="T14" t="str">
        <f>IFERROR(__xludf.DUMMYFUNCTION("""COMPUTED_VALUE"""),"104")</f>
        <v>104</v>
      </c>
      <c r="U14" t="str">
        <f>IFERROR(__xludf.DUMMYFUNCTION("""COMPUTED_VALUE"""),"4")</f>
        <v>4</v>
      </c>
      <c r="V14" t="str">
        <f>IFERROR(__xludf.DUMMYFUNCTION("""COMPUTED_VALUE"""),"725")</f>
        <v>725</v>
      </c>
      <c r="W14" t="str">
        <f>IFERROR(__xludf.DUMMYFUNCTION("""COMPUTED_VALUE"""),"104")</f>
        <v>104</v>
      </c>
      <c r="X14" t="str">
        <f>IFERROR(__xludf.DUMMYFUNCTION("""COMPUTED_VALUE"""),"35")</f>
        <v>35</v>
      </c>
    </row>
    <row r="15" ht="12.75" spans="1:24">
      <c r="A15" s="2" t="s">
        <v>64</v>
      </c>
      <c r="B15" t="str">
        <f>IFERROR(__xludf.DUMMYFUNCTION("ImportJSON(replace(REGEXEXTRACT($A15, ""^https://github\.com/[^/]+/[^/]+""), 1, 18, ""https://api.github.com/repos""), ""/name,/owner/login,/fork,/created_at,/updated_at,/pushed_at,/size,/stargazers_count,/watchers_count,/language,/forks_count,/archived,/"&amp;"disabled,/open_issues_count,/license/name,/forks,/open_issues,/watchers,/network_count,/subscribers_count,/description"", ""noHeaders"")"),"vel")</f>
        <v>vel</v>
      </c>
      <c r="C15" t="str">
        <f>IFERROR(__xludf.DUMMYFUNCTION("""COMPUTED_VALUE"""),"MillionIntegrals")</f>
        <v>MillionIntegrals</v>
      </c>
      <c r="D15" t="str">
        <f>IFERROR(__xludf.DUMMYFUNCTION("""COMPUTED_VALUE"""),"Velocity in deep-learning research")</f>
        <v>Velocity in deep-learning research</v>
      </c>
      <c r="E15" t="b">
        <f>IFERROR(__xludf.DUMMYFUNCTION("""COMPUTED_VALUE"""),FALSE)</f>
        <v>0</v>
      </c>
      <c r="F15" s="3" t="str">
        <f>IFERROR(__xludf.DUMMYFUNCTION("""COMPUTED_VALUE"""),"https://api.github.com/repos/MillionIntegrals/vel/forks")</f>
        <v>https://api.github.com/repos/MillionIntegrals/vel/forks</v>
      </c>
      <c r="G15" s="3" t="str">
        <f>IFERROR(__xludf.DUMMYFUNCTION("""COMPUTED_VALUE"""),"https://api.github.com/repos/MillionIntegrals/vel/languages")</f>
        <v>https://api.github.com/repos/MillionIntegrals/vel/languages</v>
      </c>
      <c r="H15" t="str">
        <f>IFERROR(__xludf.DUMMYFUNCTION("""COMPUTED_VALUE"""),"2018-05-09T20:16:48Z")</f>
        <v>2018-05-09T20:16:48Z</v>
      </c>
      <c r="I15" t="str">
        <f>IFERROR(__xludf.DUMMYFUNCTION("""COMPUTED_VALUE"""),"2019-05-30T18:11:36Z")</f>
        <v>2019-05-30T18:11:36Z</v>
      </c>
      <c r="J15" t="str">
        <f>IFERROR(__xludf.DUMMYFUNCTION("""COMPUTED_VALUE"""),"2019-05-16T16:34:09Z")</f>
        <v>2019-05-16T16:34:09Z</v>
      </c>
      <c r="K15" t="str">
        <f>IFERROR(__xludf.DUMMYFUNCTION("""COMPUTED_VALUE"""),"1065")</f>
        <v>1065</v>
      </c>
      <c r="L15" t="str">
        <f>IFERROR(__xludf.DUMMYFUNCTION("""COMPUTED_VALUE"""),"220")</f>
        <v>220</v>
      </c>
      <c r="M15" t="str">
        <f>IFERROR(__xludf.DUMMYFUNCTION("""COMPUTED_VALUE"""),"220")</f>
        <v>220</v>
      </c>
      <c r="N15" t="str">
        <f>IFERROR(__xludf.DUMMYFUNCTION("""COMPUTED_VALUE"""),"Python")</f>
        <v>Python</v>
      </c>
      <c r="O15" t="str">
        <f>IFERROR(__xludf.DUMMYFUNCTION("""COMPUTED_VALUE"""),"28")</f>
        <v>28</v>
      </c>
      <c r="P15" t="b">
        <f>IFERROR(__xludf.DUMMYFUNCTION("""COMPUTED_VALUE"""),FALSE)</f>
        <v>0</v>
      </c>
      <c r="Q15" t="b">
        <f>IFERROR(__xludf.DUMMYFUNCTION("""COMPUTED_VALUE"""),FALSE)</f>
        <v>0</v>
      </c>
      <c r="R15" t="str">
        <f>IFERROR(__xludf.DUMMYFUNCTION("""COMPUTED_VALUE"""),"10")</f>
        <v>10</v>
      </c>
      <c r="S15" t="str">
        <f>IFERROR(__xludf.DUMMYFUNCTION("""COMPUTED_VALUE"""),"MIT License")</f>
        <v>MIT License</v>
      </c>
      <c r="T15" t="str">
        <f>IFERROR(__xludf.DUMMYFUNCTION("""COMPUTED_VALUE"""),"28")</f>
        <v>28</v>
      </c>
      <c r="U15" t="str">
        <f>IFERROR(__xludf.DUMMYFUNCTION("""COMPUTED_VALUE"""),"10")</f>
        <v>10</v>
      </c>
      <c r="V15" t="str">
        <f>IFERROR(__xludf.DUMMYFUNCTION("""COMPUTED_VALUE"""),"220")</f>
        <v>220</v>
      </c>
      <c r="W15" t="str">
        <f>IFERROR(__xludf.DUMMYFUNCTION("""COMPUTED_VALUE"""),"28")</f>
        <v>28</v>
      </c>
      <c r="X15" t="str">
        <f>IFERROR(__xludf.DUMMYFUNCTION("""COMPUTED_VALUE"""),"13")</f>
        <v>13</v>
      </c>
    </row>
    <row r="16" ht="12.75" spans="1:24">
      <c r="A16" s="2" t="s">
        <v>67</v>
      </c>
      <c r="B16" t="str">
        <f>IFERROR(__xludf.DUMMYFUNCTION("ImportJSON(replace(REGEXEXTRACT($A16, ""^https://github\.com/[^/]+/[^/]+""), 1, 18, ""https://api.github.com/repos""), ""/name,/owner/login,/fork,/created_at,/updated_at,/pushed_at,/size,/stargazers_count,/watchers_count,/language,/forks_count,/archived,/"&amp;"disabled,/open_issues_count,/license/name,/forks,/open_issues,/watchers,/network_count,/subscribers_count,/description"", ""noHeaders"")"),"tensorforce")</f>
        <v>tensorforce</v>
      </c>
      <c r="C16" t="str">
        <f>IFERROR(__xludf.DUMMYFUNCTION("""COMPUTED_VALUE"""),"tensorforce")</f>
        <v>tensorforce</v>
      </c>
      <c r="D16" t="str">
        <f>IFERROR(__xludf.DUMMYFUNCTION("""COMPUTED_VALUE"""),"Tensorforce: A TensorFlow library for applied reinforcement learning")</f>
        <v>Tensorforce: A TensorFlow library for applied reinforcement learning</v>
      </c>
      <c r="E16" t="b">
        <f>IFERROR(__xludf.DUMMYFUNCTION("""COMPUTED_VALUE"""),FALSE)</f>
        <v>0</v>
      </c>
      <c r="F16" s="3" t="str">
        <f>IFERROR(__xludf.DUMMYFUNCTION("""COMPUTED_VALUE"""),"https://api.github.com/repos/tensorforce/tensorforce/forks")</f>
        <v>https://api.github.com/repos/tensorforce/tensorforce/forks</v>
      </c>
      <c r="G16" s="3" t="str">
        <f>IFERROR(__xludf.DUMMYFUNCTION("""COMPUTED_VALUE"""),"https://api.github.com/repos/tensorforce/tensorforce/languages")</f>
        <v>https://api.github.com/repos/tensorforce/tensorforce/languages</v>
      </c>
      <c r="H16" t="str">
        <f>IFERROR(__xludf.DUMMYFUNCTION("""COMPUTED_VALUE"""),"2017-03-19T16:24:22Z")</f>
        <v>2017-03-19T16:24:22Z</v>
      </c>
      <c r="I16" t="str">
        <f>IFERROR(__xludf.DUMMYFUNCTION("""COMPUTED_VALUE"""),"2019-05-30T08:25:35Z")</f>
        <v>2019-05-30T08:25:35Z</v>
      </c>
      <c r="J16" t="str">
        <f>IFERROR(__xludf.DUMMYFUNCTION("""COMPUTED_VALUE"""),"2019-05-28T14:05:14Z")</f>
        <v>2019-05-28T14:05:14Z</v>
      </c>
      <c r="K16" t="str">
        <f>IFERROR(__xludf.DUMMYFUNCTION("""COMPUTED_VALUE"""),"19241")</f>
        <v>19241</v>
      </c>
      <c r="L16" t="str">
        <f>IFERROR(__xludf.DUMMYFUNCTION("""COMPUTED_VALUE"""),"2327")</f>
        <v>2327</v>
      </c>
      <c r="M16" t="str">
        <f>IFERROR(__xludf.DUMMYFUNCTION("""COMPUTED_VALUE"""),"2327")</f>
        <v>2327</v>
      </c>
      <c r="N16" t="str">
        <f>IFERROR(__xludf.DUMMYFUNCTION("""COMPUTED_VALUE"""),"Python")</f>
        <v>Python</v>
      </c>
      <c r="O16" t="str">
        <f>IFERROR(__xludf.DUMMYFUNCTION("""COMPUTED_VALUE"""),"403")</f>
        <v>403</v>
      </c>
      <c r="P16" t="b">
        <f>IFERROR(__xludf.DUMMYFUNCTION("""COMPUTED_VALUE"""),FALSE)</f>
        <v>0</v>
      </c>
      <c r="Q16" t="b">
        <f>IFERROR(__xludf.DUMMYFUNCTION("""COMPUTED_VALUE"""),FALSE)</f>
        <v>0</v>
      </c>
      <c r="R16" t="str">
        <f>IFERROR(__xludf.DUMMYFUNCTION("""COMPUTED_VALUE"""),"50")</f>
        <v>50</v>
      </c>
      <c r="S16" t="str">
        <f>IFERROR(__xludf.DUMMYFUNCTION("""COMPUTED_VALUE"""),"Apache License 2.0")</f>
        <v>Apache License 2.0</v>
      </c>
      <c r="T16" t="str">
        <f>IFERROR(__xludf.DUMMYFUNCTION("""COMPUTED_VALUE"""),"403")</f>
        <v>403</v>
      </c>
      <c r="U16" t="str">
        <f>IFERROR(__xludf.DUMMYFUNCTION("""COMPUTED_VALUE"""),"50")</f>
        <v>50</v>
      </c>
      <c r="V16" t="str">
        <f>IFERROR(__xludf.DUMMYFUNCTION("""COMPUTED_VALUE"""),"2327")</f>
        <v>2327</v>
      </c>
      <c r="W16" t="str">
        <f>IFERROR(__xludf.DUMMYFUNCTION("""COMPUTED_VALUE"""),"403")</f>
        <v>403</v>
      </c>
      <c r="X16" t="str">
        <f>IFERROR(__xludf.DUMMYFUNCTION("""COMPUTED_VALUE"""),"148")</f>
        <v>148</v>
      </c>
    </row>
    <row r="17" ht="12.75" spans="1:24">
      <c r="A17" s="2" t="s">
        <v>50</v>
      </c>
      <c r="B17" t="str">
        <f>IFERROR(__xludf.DUMMYFUNCTION("ImportJSON(replace(REGEXEXTRACT($A17, ""^https://github\.com/[^/]+/[^/]+""), 1, 18, ""https://api.github.com/repos""), ""/name,/owner/login,/fork,/created_at,/updated_at,/pushed_at,/size,/stargazers_count,/watchers_count,/language,/forks_count,/archived,/"&amp;"disabled,/open_issues_count,/license/name,/forks,/open_issues,/watchers,/network_count,/subscribers_count,/description"", ""noHeaders"")"),"SLM-Lab")</f>
        <v>SLM-Lab</v>
      </c>
      <c r="C17" t="str">
        <f>IFERROR(__xludf.DUMMYFUNCTION("""COMPUTED_VALUE"""),"kengz")</f>
        <v>kengz</v>
      </c>
      <c r="D17" t="str">
        <f>IFERROR(__xludf.DUMMYFUNCTION("""COMPUTED_VALUE"""),"Modular Deep Reinforcement Learning framework in PyTorch.")</f>
        <v>Modular Deep Reinforcement Learning framework in PyTorch.</v>
      </c>
      <c r="E17" t="b">
        <f>IFERROR(__xludf.DUMMYFUNCTION("""COMPUTED_VALUE"""),FALSE)</f>
        <v>0</v>
      </c>
      <c r="F17" s="3" t="str">
        <f>IFERROR(__xludf.DUMMYFUNCTION("""COMPUTED_VALUE"""),"https://api.github.com/repos/kengz/SLM-Lab/forks")</f>
        <v>https://api.github.com/repos/kengz/SLM-Lab/forks</v>
      </c>
      <c r="G17" s="3" t="str">
        <f>IFERROR(__xludf.DUMMYFUNCTION("""COMPUTED_VALUE"""),"https://api.github.com/repos/kengz/SLM-Lab/languages")</f>
        <v>https://api.github.com/repos/kengz/SLM-Lab/languages</v>
      </c>
      <c r="H17" t="str">
        <f>IFERROR(__xludf.DUMMYFUNCTION("""COMPUTED_VALUE"""),"2017-10-02T22:20:22Z")</f>
        <v>2017-10-02T22:20:22Z</v>
      </c>
      <c r="I17" t="str">
        <f>IFERROR(__xludf.DUMMYFUNCTION("""COMPUTED_VALUE"""),"2019-05-31T02:47:22Z")</f>
        <v>2019-05-31T02:47:22Z</v>
      </c>
      <c r="J17" t="str">
        <f>IFERROR(__xludf.DUMMYFUNCTION("""COMPUTED_VALUE"""),"2019-06-01T08:31:37Z")</f>
        <v>2019-06-01T08:31:37Z</v>
      </c>
      <c r="K17" t="str">
        <f>IFERROR(__xludf.DUMMYFUNCTION("""COMPUTED_VALUE"""),"3356")</f>
        <v>3356</v>
      </c>
      <c r="L17" t="str">
        <f>IFERROR(__xludf.DUMMYFUNCTION("""COMPUTED_VALUE"""),"526")</f>
        <v>526</v>
      </c>
      <c r="M17" t="str">
        <f>IFERROR(__xludf.DUMMYFUNCTION("""COMPUTED_VALUE"""),"526")</f>
        <v>526</v>
      </c>
      <c r="N17" t="str">
        <f>IFERROR(__xludf.DUMMYFUNCTION("""COMPUTED_VALUE"""),"Python")</f>
        <v>Python</v>
      </c>
      <c r="O17" t="str">
        <f>IFERROR(__xludf.DUMMYFUNCTION("""COMPUTED_VALUE"""),"86")</f>
        <v>86</v>
      </c>
      <c r="P17" t="b">
        <f>IFERROR(__xludf.DUMMYFUNCTION("""COMPUTED_VALUE"""),FALSE)</f>
        <v>0</v>
      </c>
      <c r="Q17" t="b">
        <f>IFERROR(__xludf.DUMMYFUNCTION("""COMPUTED_VALUE"""),FALSE)</f>
        <v>0</v>
      </c>
      <c r="R17">
        <f>IFERROR(__xludf.DUMMYFUNCTION("""COMPUTED_VALUE"""),0)</f>
        <v>0</v>
      </c>
      <c r="S17" t="str">
        <f>IFERROR(__xludf.DUMMYFUNCTION("""COMPUTED_VALUE"""),"MIT License")</f>
        <v>MIT License</v>
      </c>
      <c r="T17" t="str">
        <f>IFERROR(__xludf.DUMMYFUNCTION("""COMPUTED_VALUE"""),"86")</f>
        <v>86</v>
      </c>
      <c r="U17">
        <f>IFERROR(__xludf.DUMMYFUNCTION("""COMPUTED_VALUE"""),0)</f>
        <v>0</v>
      </c>
      <c r="V17" t="str">
        <f>IFERROR(__xludf.DUMMYFUNCTION("""COMPUTED_VALUE"""),"526")</f>
        <v>526</v>
      </c>
      <c r="W17" t="str">
        <f>IFERROR(__xludf.DUMMYFUNCTION("""COMPUTED_VALUE"""),"86")</f>
        <v>86</v>
      </c>
      <c r="X17" t="str">
        <f>IFERROR(__xludf.DUMMYFUNCTION("""COMPUTED_VALUE"""),"41")</f>
        <v>41</v>
      </c>
    </row>
    <row r="18" ht="12.75" spans="1:24">
      <c r="A18" s="2" t="s">
        <v>48</v>
      </c>
      <c r="B18" t="str">
        <f>IFERROR(__xludf.DUMMYFUNCTION("ImportJSON(replace(REGEXEXTRACT($A18, ""^https://github\.com/[^/]+/[^/]+""), 1, 18, ""https://api.github.com/repos""), ""/name,/owner/login,/fork,/created_at,/updated_at,/pushed_at,/size,/stargazers_count,/watchers_count,/language,/forks_count,/archived,/"&amp;"disabled,/open_issues_count,/license/name,/forks,/open_issues,/watchers,/network_count,/subscribers_count,/description"", ""noHeaders"")"),"garage")</f>
        <v>garage</v>
      </c>
      <c r="C18" t="str">
        <f>IFERROR(__xludf.DUMMYFUNCTION("""COMPUTED_VALUE"""),"rlworkgroup")</f>
        <v>rlworkgroup</v>
      </c>
      <c r="D18" t="str">
        <f>IFERROR(__xludf.DUMMYFUNCTION("""COMPUTED_VALUE"""),"A framework for reproducible reinforcement learning research")</f>
        <v>A framework for reproducible reinforcement learning research</v>
      </c>
      <c r="E18" t="b">
        <f>IFERROR(__xludf.DUMMYFUNCTION("""COMPUTED_VALUE"""),FALSE)</f>
        <v>0</v>
      </c>
      <c r="F18" s="3" t="str">
        <f>IFERROR(__xludf.DUMMYFUNCTION("""COMPUTED_VALUE"""),"https://api.github.com/repos/rlworkgroup/garage/forks")</f>
        <v>https://api.github.com/repos/rlworkgroup/garage/forks</v>
      </c>
      <c r="G18" s="3" t="str">
        <f>IFERROR(__xludf.DUMMYFUNCTION("""COMPUTED_VALUE"""),"https://api.github.com/repos/rlworkgroup/garage/languages")</f>
        <v>https://api.github.com/repos/rlworkgroup/garage/languages</v>
      </c>
      <c r="H18" t="str">
        <f>IFERROR(__xludf.DUMMYFUNCTION("""COMPUTED_VALUE"""),"2018-06-10T21:31:23Z")</f>
        <v>2018-06-10T21:31:23Z</v>
      </c>
      <c r="I18" t="str">
        <f>IFERROR(__xludf.DUMMYFUNCTION("""COMPUTED_VALUE"""),"2019-06-01T06:57:39Z")</f>
        <v>2019-06-01T06:57:39Z</v>
      </c>
      <c r="J18" t="str">
        <f>IFERROR(__xludf.DUMMYFUNCTION("""COMPUTED_VALUE"""),"2019-06-01T00:41:04Z")</f>
        <v>2019-06-01T00:41:04Z</v>
      </c>
      <c r="K18" t="str">
        <f>IFERROR(__xludf.DUMMYFUNCTION("""COMPUTED_VALUE"""),"10050")</f>
        <v>10050</v>
      </c>
      <c r="L18" t="str">
        <f>IFERROR(__xludf.DUMMYFUNCTION("""COMPUTED_VALUE"""),"337")</f>
        <v>337</v>
      </c>
      <c r="M18" t="str">
        <f>IFERROR(__xludf.DUMMYFUNCTION("""COMPUTED_VALUE"""),"337")</f>
        <v>337</v>
      </c>
      <c r="N18" t="str">
        <f>IFERROR(__xludf.DUMMYFUNCTION("""COMPUTED_VALUE"""),"Python")</f>
        <v>Python</v>
      </c>
      <c r="O18" t="str">
        <f>IFERROR(__xludf.DUMMYFUNCTION("""COMPUTED_VALUE"""),"51")</f>
        <v>51</v>
      </c>
      <c r="P18" t="b">
        <f>IFERROR(__xludf.DUMMYFUNCTION("""COMPUTED_VALUE"""),FALSE)</f>
        <v>0</v>
      </c>
      <c r="Q18" t="b">
        <f>IFERROR(__xludf.DUMMYFUNCTION("""COMPUTED_VALUE"""),FALSE)</f>
        <v>0</v>
      </c>
      <c r="R18" t="str">
        <f>IFERROR(__xludf.DUMMYFUNCTION("""COMPUTED_VALUE"""),"94")</f>
        <v>94</v>
      </c>
      <c r="S18" t="str">
        <f>IFERROR(__xludf.DUMMYFUNCTION("""COMPUTED_VALUE"""),"MIT License")</f>
        <v>MIT License</v>
      </c>
      <c r="T18" t="str">
        <f>IFERROR(__xludf.DUMMYFUNCTION("""COMPUTED_VALUE"""),"51")</f>
        <v>51</v>
      </c>
      <c r="U18" t="str">
        <f>IFERROR(__xludf.DUMMYFUNCTION("""COMPUTED_VALUE"""),"94")</f>
        <v>94</v>
      </c>
      <c r="V18" t="str">
        <f>IFERROR(__xludf.DUMMYFUNCTION("""COMPUTED_VALUE"""),"337")</f>
        <v>337</v>
      </c>
      <c r="W18" t="str">
        <f>IFERROR(__xludf.DUMMYFUNCTION("""COMPUTED_VALUE"""),"51")</f>
        <v>51</v>
      </c>
      <c r="X18" t="str">
        <f>IFERROR(__xludf.DUMMYFUNCTION("""COMPUTED_VALUE"""),"41")</f>
        <v>41</v>
      </c>
    </row>
    <row r="19" ht="12.75" spans="1:24">
      <c r="A19" s="2" t="s">
        <v>32</v>
      </c>
      <c r="B19" t="str">
        <f>IFERROR(__xludf.DUMMYFUNCTION("ImportJSON(replace(REGEXEXTRACT($A19, ""^https://github\.com/[^/]+/[^/]+""), 1, 18, ""https://api.github.com/repos""), ""/name,/owner/login,/fork,/created_at,/updated_at,/pushed_at,/size,/stargazers_count,/watchers_count,/language,/forks_count,/archived,/"&amp;"disabled,/open_issues_count,/license/name,/forks,/open_issues,/watchers,/network_count,/subscribers_count,/description"", ""noHeaders"")"),"catalyst")</f>
        <v>catalyst</v>
      </c>
      <c r="C19" t="str">
        <f>IFERROR(__xludf.DUMMYFUNCTION("""COMPUTED_VALUE"""),"catalyst-team")</f>
        <v>catalyst-team</v>
      </c>
      <c r="D19" t="str">
        <f>IFERROR(__xludf.DUMMYFUNCTION("""COMPUTED_VALUE"""),"Reproducible and fast DL &amp; RL.")</f>
        <v>Reproducible and fast DL &amp; RL.</v>
      </c>
      <c r="E19" t="b">
        <f>IFERROR(__xludf.DUMMYFUNCTION("""COMPUTED_VALUE"""),FALSE)</f>
        <v>0</v>
      </c>
      <c r="F19" s="3" t="str">
        <f>IFERROR(__xludf.DUMMYFUNCTION("""COMPUTED_VALUE"""),"https://api.github.com/repos/catalyst-team/catalyst/forks")</f>
        <v>https://api.github.com/repos/catalyst-team/catalyst/forks</v>
      </c>
      <c r="G19" s="3" t="str">
        <f>IFERROR(__xludf.DUMMYFUNCTION("""COMPUTED_VALUE"""),"https://api.github.com/repos/catalyst-team/catalyst/languages")</f>
        <v>https://api.github.com/repos/catalyst-team/catalyst/languages</v>
      </c>
      <c r="H19" t="str">
        <f>IFERROR(__xludf.DUMMYFUNCTION("""COMPUTED_VALUE"""),"2018-08-20T07:56:13Z")</f>
        <v>2018-08-20T07:56:13Z</v>
      </c>
      <c r="I19" t="str">
        <f>IFERROR(__xludf.DUMMYFUNCTION("""COMPUTED_VALUE"""),"2019-06-01T16:58:06Z")</f>
        <v>2019-06-01T16:58:06Z</v>
      </c>
      <c r="J19" t="str">
        <f>IFERROR(__xludf.DUMMYFUNCTION("""COMPUTED_VALUE"""),"2019-06-01T17:38:33Z")</f>
        <v>2019-06-01T17:38:33Z</v>
      </c>
      <c r="K19" t="str">
        <f>IFERROR(__xludf.DUMMYFUNCTION("""COMPUTED_VALUE"""),"8213")</f>
        <v>8213</v>
      </c>
      <c r="L19" t="str">
        <f>IFERROR(__xludf.DUMMYFUNCTION("""COMPUTED_VALUE"""),"651")</f>
        <v>651</v>
      </c>
      <c r="M19" t="str">
        <f>IFERROR(__xludf.DUMMYFUNCTION("""COMPUTED_VALUE"""),"651")</f>
        <v>651</v>
      </c>
      <c r="N19" t="str">
        <f>IFERROR(__xludf.DUMMYFUNCTION("""COMPUTED_VALUE"""),"Python")</f>
        <v>Python</v>
      </c>
      <c r="O19" t="str">
        <f>IFERROR(__xludf.DUMMYFUNCTION("""COMPUTED_VALUE"""),"65")</f>
        <v>65</v>
      </c>
      <c r="P19" t="b">
        <f>IFERROR(__xludf.DUMMYFUNCTION("""COMPUTED_VALUE"""),FALSE)</f>
        <v>0</v>
      </c>
      <c r="Q19" t="b">
        <f>IFERROR(__xludf.DUMMYFUNCTION("""COMPUTED_VALUE"""),FALSE)</f>
        <v>0</v>
      </c>
      <c r="R19" t="str">
        <f>IFERROR(__xludf.DUMMYFUNCTION("""COMPUTED_VALUE"""),"13")</f>
        <v>13</v>
      </c>
      <c r="S19" t="str">
        <f>IFERROR(__xludf.DUMMYFUNCTION("""COMPUTED_VALUE"""),"MIT License")</f>
        <v>MIT License</v>
      </c>
      <c r="T19" t="str">
        <f>IFERROR(__xludf.DUMMYFUNCTION("""COMPUTED_VALUE"""),"65")</f>
        <v>65</v>
      </c>
      <c r="U19" t="str">
        <f>IFERROR(__xludf.DUMMYFUNCTION("""COMPUTED_VALUE"""),"13")</f>
        <v>13</v>
      </c>
      <c r="V19" t="str">
        <f>IFERROR(__xludf.DUMMYFUNCTION("""COMPUTED_VALUE"""),"651")</f>
        <v>651</v>
      </c>
      <c r="W19" t="str">
        <f>IFERROR(__xludf.DUMMYFUNCTION("""COMPUTED_VALUE"""),"65")</f>
        <v>65</v>
      </c>
      <c r="X19" t="str">
        <f>IFERROR(__xludf.DUMMYFUNCTION("""COMPUTED_VALUE"""),"24")</f>
        <v>24</v>
      </c>
    </row>
    <row r="20" ht="12.75" spans="1:23">
      <c r="A20" s="2" t="s">
        <v>68</v>
      </c>
      <c r="B20" t="str">
        <f>IFERROR(__xludf.DUMMYFUNCTION("ImportJSON(replace(REGEXEXTRACT($A20, ""^https://github\.com/[^/]+/[^/]+""), 1, 18, ""https://api.github.com/repos""), ""/name,/owner/login,/fork,/created_at,/updated_at,/pushed_at,/size,/stargazers_count,/watchers_count,/language,/forks_count,/archived,/"&amp;"disabled,/open_issues_count,/license/name,/forks,/open_issues,/watchers,/network_count,/subscribers_count,/description"", ""noHeaders"")"),"RL-Adventure")</f>
        <v>RL-Adventure</v>
      </c>
      <c r="C20" t="str">
        <f>IFERROR(__xludf.DUMMYFUNCTION("""COMPUTED_VALUE"""),"higgsfield")</f>
        <v>higgsfield</v>
      </c>
      <c r="D20" t="str">
        <f>IFERROR(__xludf.DUMMYFUNCTION("""COMPUTED_VALUE"""),"Pytorch Implementation of DQN / DDQN / Prioritized replay/ noisy networks/ distributional values/ Rainbow/ hierarchical RL")</f>
        <v>Pytorch Implementation of DQN / DDQN / Prioritized replay/ noisy networks/ distributional values/ Rainbow/ hierarchical RL</v>
      </c>
      <c r="E20" t="b">
        <f>IFERROR(__xludf.DUMMYFUNCTION("""COMPUTED_VALUE"""),FALSE)</f>
        <v>0</v>
      </c>
      <c r="F20" s="3" t="str">
        <f>IFERROR(__xludf.DUMMYFUNCTION("""COMPUTED_VALUE"""),"https://api.github.com/repos/higgsfield/RL-Adventure/forks")</f>
        <v>https://api.github.com/repos/higgsfield/RL-Adventure/forks</v>
      </c>
      <c r="G20" s="3" t="str">
        <f>IFERROR(__xludf.DUMMYFUNCTION("""COMPUTED_VALUE"""),"https://api.github.com/repos/higgsfield/RL-Adventure/languages")</f>
        <v>https://api.github.com/repos/higgsfield/RL-Adventure/languages</v>
      </c>
      <c r="H20" t="str">
        <f>IFERROR(__xludf.DUMMYFUNCTION("""COMPUTED_VALUE"""),"2018-03-24T18:18:11Z")</f>
        <v>2018-03-24T18:18:11Z</v>
      </c>
      <c r="I20" t="str">
        <f>IFERROR(__xludf.DUMMYFUNCTION("""COMPUTED_VALUE"""),"2019-06-01T20:05:14Z")</f>
        <v>2019-06-01T20:05:14Z</v>
      </c>
      <c r="J20" t="str">
        <f>IFERROR(__xludf.DUMMYFUNCTION("""COMPUTED_VALUE"""),"2019-03-24T15:55:30Z")</f>
        <v>2019-03-24T15:55:30Z</v>
      </c>
      <c r="K20" t="str">
        <f>IFERROR(__xludf.DUMMYFUNCTION("""COMPUTED_VALUE"""),"751")</f>
        <v>751</v>
      </c>
      <c r="L20" t="str">
        <f>IFERROR(__xludf.DUMMYFUNCTION("""COMPUTED_VALUE"""),"1483")</f>
        <v>1483</v>
      </c>
      <c r="M20" t="str">
        <f>IFERROR(__xludf.DUMMYFUNCTION("""COMPUTED_VALUE"""),"1483")</f>
        <v>1483</v>
      </c>
      <c r="N20" t="str">
        <f>IFERROR(__xludf.DUMMYFUNCTION("""COMPUTED_VALUE"""),"Jupyter Notebook")</f>
        <v>Jupyter Notebook</v>
      </c>
      <c r="O20" t="str">
        <f>IFERROR(__xludf.DUMMYFUNCTION("""COMPUTED_VALUE"""),"250")</f>
        <v>250</v>
      </c>
      <c r="P20" t="b">
        <f>IFERROR(__xludf.DUMMYFUNCTION("""COMPUTED_VALUE"""),FALSE)</f>
        <v>0</v>
      </c>
      <c r="Q20" t="b">
        <f>IFERROR(__xludf.DUMMYFUNCTION("""COMPUTED_VALUE"""),FALSE)</f>
        <v>0</v>
      </c>
      <c r="R20" t="str">
        <f>IFERROR(__xludf.DUMMYFUNCTION("""COMPUTED_VALUE"""),"13")</f>
        <v>13</v>
      </c>
      <c r="S20" t="str">
        <f>IFERROR(__xludf.DUMMYFUNCTION("""COMPUTED_VALUE"""),"250")</f>
        <v>250</v>
      </c>
      <c r="T20" t="str">
        <f>IFERROR(__xludf.DUMMYFUNCTION("""COMPUTED_VALUE"""),"13")</f>
        <v>13</v>
      </c>
      <c r="U20" t="str">
        <f>IFERROR(__xludf.DUMMYFUNCTION("""COMPUTED_VALUE"""),"1483")</f>
        <v>1483</v>
      </c>
      <c r="V20" t="str">
        <f>IFERROR(__xludf.DUMMYFUNCTION("""COMPUTED_VALUE"""),"250")</f>
        <v>250</v>
      </c>
      <c r="W20" t="str">
        <f>IFERROR(__xludf.DUMMYFUNCTION("""COMPUTED_VALUE"""),"66")</f>
        <v>66</v>
      </c>
    </row>
    <row r="21" ht="12.75" spans="1:23">
      <c r="A21" s="2" t="s">
        <v>69</v>
      </c>
      <c r="B21" t="str">
        <f>IFERROR(__xludf.DUMMYFUNCTION("ImportJSON(replace(REGEXEXTRACT($A21, ""^https://github\.com/[^/]+/[^/]+""), 1, 18, ""https://api.github.com/repos""), ""/name,/owner/login,/fork,/created_at,/updated_at,/pushed_at,/size,/stargazers_count,/watchers_count,/language,/forks_count,/archived,/"&amp;"disabled,/open_issues_count,/license/name,/forks,/open_issues,/watchers,/network_count,/subscribers_count,/description"", ""noHeaders"")"),"DeepRL-Tutorials")</f>
        <v>DeepRL-Tutorials</v>
      </c>
      <c r="C21" t="str">
        <f>IFERROR(__xludf.DUMMYFUNCTION("""COMPUTED_VALUE"""),"qfettes")</f>
        <v>qfettes</v>
      </c>
      <c r="D21" t="str">
        <f>IFERROR(__xludf.DUMMYFUNCTION("""COMPUTED_VALUE"""),"Contains high quality implementations of Deep Reinforcement Learning algorithms written in PyTorch")</f>
        <v>Contains high quality implementations of Deep Reinforcement Learning algorithms written in PyTorch</v>
      </c>
      <c r="E21" t="b">
        <f>IFERROR(__xludf.DUMMYFUNCTION("""COMPUTED_VALUE"""),FALSE)</f>
        <v>0</v>
      </c>
      <c r="F21" s="3" t="str">
        <f>IFERROR(__xludf.DUMMYFUNCTION("""COMPUTED_VALUE"""),"https://api.github.com/repos/qfettes/DeepRL-Tutorials/forks")</f>
        <v>https://api.github.com/repos/qfettes/DeepRL-Tutorials/forks</v>
      </c>
      <c r="G21" s="3" t="str">
        <f>IFERROR(__xludf.DUMMYFUNCTION("""COMPUTED_VALUE"""),"https://api.github.com/repos/qfettes/DeepRL-Tutorials/languages")</f>
        <v>https://api.github.com/repos/qfettes/DeepRL-Tutorials/languages</v>
      </c>
      <c r="H21" t="str">
        <f>IFERROR(__xludf.DUMMYFUNCTION("""COMPUTED_VALUE"""),"2018-05-31T16:37:34Z")</f>
        <v>2018-05-31T16:37:34Z</v>
      </c>
      <c r="I21" t="str">
        <f>IFERROR(__xludf.DUMMYFUNCTION("""COMPUTED_VALUE"""),"2019-06-01T06:57:02Z")</f>
        <v>2019-06-01T06:57:02Z</v>
      </c>
      <c r="J21" t="str">
        <f>IFERROR(__xludf.DUMMYFUNCTION("""COMPUTED_VALUE"""),"2019-03-26T17:39:43Z")</f>
        <v>2019-03-26T17:39:43Z</v>
      </c>
      <c r="K21" t="str">
        <f>IFERROR(__xludf.DUMMYFUNCTION("""COMPUTED_VALUE"""),"135360")</f>
        <v>135360</v>
      </c>
      <c r="L21" t="str">
        <f>IFERROR(__xludf.DUMMYFUNCTION("""COMPUTED_VALUE"""),"380")</f>
        <v>380</v>
      </c>
      <c r="M21" t="str">
        <f>IFERROR(__xludf.DUMMYFUNCTION("""COMPUTED_VALUE"""),"380")</f>
        <v>380</v>
      </c>
      <c r="N21" t="str">
        <f>IFERROR(__xludf.DUMMYFUNCTION("""COMPUTED_VALUE"""),"Jupyter Notebook")</f>
        <v>Jupyter Notebook</v>
      </c>
      <c r="O21" t="str">
        <f>IFERROR(__xludf.DUMMYFUNCTION("""COMPUTED_VALUE"""),"89")</f>
        <v>89</v>
      </c>
      <c r="P21" t="b">
        <f>IFERROR(__xludf.DUMMYFUNCTION("""COMPUTED_VALUE"""),FALSE)</f>
        <v>0</v>
      </c>
      <c r="Q21" t="b">
        <f>IFERROR(__xludf.DUMMYFUNCTION("""COMPUTED_VALUE"""),FALSE)</f>
        <v>0</v>
      </c>
      <c r="R21" t="str">
        <f>IFERROR(__xludf.DUMMYFUNCTION("""COMPUTED_VALUE"""),"1")</f>
        <v>1</v>
      </c>
      <c r="S21" t="str">
        <f>IFERROR(__xludf.DUMMYFUNCTION("""COMPUTED_VALUE"""),"89")</f>
        <v>89</v>
      </c>
      <c r="T21" t="str">
        <f>IFERROR(__xludf.DUMMYFUNCTION("""COMPUTED_VALUE"""),"1")</f>
        <v>1</v>
      </c>
      <c r="U21" t="str">
        <f>IFERROR(__xludf.DUMMYFUNCTION("""COMPUTED_VALUE"""),"380")</f>
        <v>380</v>
      </c>
      <c r="V21" t="str">
        <f>IFERROR(__xludf.DUMMYFUNCTION("""COMPUTED_VALUE"""),"89")</f>
        <v>89</v>
      </c>
      <c r="W21" t="str">
        <f>IFERROR(__xludf.DUMMYFUNCTION("""COMPUTED_VALUE"""),"24")</f>
        <v>24</v>
      </c>
    </row>
    <row r="23" ht="12.75" spans="1:24">
      <c r="A23" s="2" t="s">
        <v>85</v>
      </c>
      <c r="B23" t="str">
        <f>IFERROR(__xludf.DUMMYFUNCTION("ImportJSON(replace(REGEXEXTRACT($A23, ""^https://github\.com/[^/]+/[^/]+""), 1, 18, ""https://api.github.com/repos""), ""/name,/owner/login,/fork,/created_at,/updated_at,/pushed_at,/size,/stargazers_count,/watchers_count,/language,/forks_count,/archived,/"&amp;"disabled,/open_issues_count,/license/name,/forks,/open_issues,/watchers,/network_count,/subscribers_count,/description"", ""noHeaders"")"),"gym")</f>
        <v>gym</v>
      </c>
      <c r="C23" t="str">
        <f>IFERROR(__xludf.DUMMYFUNCTION("""COMPUTED_VALUE"""),"openai")</f>
        <v>openai</v>
      </c>
      <c r="D23" t="str">
        <f>IFERROR(__xludf.DUMMYFUNCTION("""COMPUTED_VALUE"""),"A toolkit for developing and comparing reinforcement learning algorithms.")</f>
        <v>A toolkit for developing and comparing reinforcement learning algorithms.</v>
      </c>
      <c r="E23" t="b">
        <f>IFERROR(__xludf.DUMMYFUNCTION("""COMPUTED_VALUE"""),FALSE)</f>
        <v>0</v>
      </c>
      <c r="F23" s="3" t="str">
        <f>IFERROR(__xludf.DUMMYFUNCTION("""COMPUTED_VALUE"""),"https://api.github.com/repos/openai/gym/forks")</f>
        <v>https://api.github.com/repos/openai/gym/forks</v>
      </c>
      <c r="G23" s="3" t="str">
        <f>IFERROR(__xludf.DUMMYFUNCTION("""COMPUTED_VALUE"""),"https://api.github.com/repos/openai/gym/languages")</f>
        <v>https://api.github.com/repos/openai/gym/languages</v>
      </c>
      <c r="H23" t="str">
        <f>IFERROR(__xludf.DUMMYFUNCTION("""COMPUTED_VALUE"""),"2016-04-27T14:59:16Z")</f>
        <v>2016-04-27T14:59:16Z</v>
      </c>
      <c r="I23" t="str">
        <f>IFERROR(__xludf.DUMMYFUNCTION("""COMPUTED_VALUE"""),"2019-06-01T19:35:13Z")</f>
        <v>2019-06-01T19:35:13Z</v>
      </c>
      <c r="J23" t="str">
        <f>IFERROR(__xludf.DUMMYFUNCTION("""COMPUTED_VALUE"""),"2019-06-01T20:07:50Z")</f>
        <v>2019-06-01T20:07:50Z</v>
      </c>
      <c r="K23" t="str">
        <f>IFERROR(__xludf.DUMMYFUNCTION("""COMPUTED_VALUE"""),"3852")</f>
        <v>3852</v>
      </c>
      <c r="L23" t="str">
        <f>IFERROR(__xludf.DUMMYFUNCTION("""COMPUTED_VALUE"""),"16920")</f>
        <v>16920</v>
      </c>
      <c r="M23" t="str">
        <f>IFERROR(__xludf.DUMMYFUNCTION("""COMPUTED_VALUE"""),"16920")</f>
        <v>16920</v>
      </c>
      <c r="N23" t="str">
        <f>IFERROR(__xludf.DUMMYFUNCTION("""COMPUTED_VALUE"""),"Python")</f>
        <v>Python</v>
      </c>
      <c r="O23" t="str">
        <f>IFERROR(__xludf.DUMMYFUNCTION("""COMPUTED_VALUE"""),"4530")</f>
        <v>4530</v>
      </c>
      <c r="P23" t="b">
        <f>IFERROR(__xludf.DUMMYFUNCTION("""COMPUTED_VALUE"""),FALSE)</f>
        <v>0</v>
      </c>
      <c r="Q23" t="b">
        <f>IFERROR(__xludf.DUMMYFUNCTION("""COMPUTED_VALUE"""),FALSE)</f>
        <v>0</v>
      </c>
      <c r="R23" t="str">
        <f>IFERROR(__xludf.DUMMYFUNCTION("""COMPUTED_VALUE"""),"165")</f>
        <v>165</v>
      </c>
      <c r="S23" t="str">
        <f>IFERROR(__xludf.DUMMYFUNCTION("""COMPUTED_VALUE"""),"Other")</f>
        <v>Other</v>
      </c>
      <c r="T23" t="str">
        <f>IFERROR(__xludf.DUMMYFUNCTION("""COMPUTED_VALUE"""),"4530")</f>
        <v>4530</v>
      </c>
      <c r="U23" t="str">
        <f>IFERROR(__xludf.DUMMYFUNCTION("""COMPUTED_VALUE"""),"165")</f>
        <v>165</v>
      </c>
      <c r="V23" t="str">
        <f>IFERROR(__xludf.DUMMYFUNCTION("""COMPUTED_VALUE"""),"16920")</f>
        <v>16920</v>
      </c>
      <c r="W23" t="str">
        <f>IFERROR(__xludf.DUMMYFUNCTION("""COMPUTED_VALUE"""),"4530")</f>
        <v>4530</v>
      </c>
      <c r="X23" t="str">
        <f>IFERROR(__xludf.DUMMYFUNCTION("""COMPUTED_VALUE"""),"935")</f>
        <v>935</v>
      </c>
    </row>
    <row r="24" ht="12.75" spans="1:24">
      <c r="A24" s="2" t="s">
        <v>87</v>
      </c>
      <c r="B24" t="str">
        <f>IFERROR(__xludf.DUMMYFUNCTION("ImportJSON(replace(REGEXEXTRACT($A24, ""^https://github\.com/[^/]+/[^/]+""), 1, 18, ""https://api.github.com/repos""), ""/name,/owner/login,/fork,/created_at,/updated_at,/pushed_at,/size,/stargazers_count,/watchers_count,/language,/forks_count,/archived,/"&amp;"disabled,/open_issues_count,/license/name,/forks,/open_issues,/watchers,/network_count,/subscribers_count,/description"", ""noHeaders"")"),"lab")</f>
        <v>lab</v>
      </c>
      <c r="C24" t="str">
        <f>IFERROR(__xludf.DUMMYFUNCTION("""COMPUTED_VALUE"""),"deepmind")</f>
        <v>deepmind</v>
      </c>
      <c r="D24" t="str">
        <f>IFERROR(__xludf.DUMMYFUNCTION("""COMPUTED_VALUE"""),"A customisable 3D platform for agent-based AI research")</f>
        <v>A customisable 3D platform for agent-based AI research</v>
      </c>
      <c r="E24" t="b">
        <f>IFERROR(__xludf.DUMMYFUNCTION("""COMPUTED_VALUE"""),FALSE)</f>
        <v>0</v>
      </c>
      <c r="F24" s="3" t="str">
        <f>IFERROR(__xludf.DUMMYFUNCTION("""COMPUTED_VALUE"""),"https://api.github.com/repos/deepmind/lab/forks")</f>
        <v>https://api.github.com/repos/deepmind/lab/forks</v>
      </c>
      <c r="G24" s="3" t="str">
        <f>IFERROR(__xludf.DUMMYFUNCTION("""COMPUTED_VALUE"""),"https://api.github.com/repos/deepmind/lab/languages")</f>
        <v>https://api.github.com/repos/deepmind/lab/languages</v>
      </c>
      <c r="H24" t="str">
        <f>IFERROR(__xludf.DUMMYFUNCTION("""COMPUTED_VALUE"""),"2016-11-30T13:41:26Z")</f>
        <v>2016-11-30T13:41:26Z</v>
      </c>
      <c r="I24" t="str">
        <f>IFERROR(__xludf.DUMMYFUNCTION("""COMPUTED_VALUE"""),"2019-05-31T22:27:18Z")</f>
        <v>2019-05-31T22:27:18Z</v>
      </c>
      <c r="J24" t="str">
        <f>IFERROR(__xludf.DUMMYFUNCTION("""COMPUTED_VALUE"""),"2019-05-09T12:09:33Z")</f>
        <v>2019-05-09T12:09:33Z</v>
      </c>
      <c r="K24" t="str">
        <f>IFERROR(__xludf.DUMMYFUNCTION("""COMPUTED_VALUE"""),"459657")</f>
        <v>459657</v>
      </c>
      <c r="L24" t="str">
        <f>IFERROR(__xludf.DUMMYFUNCTION("""COMPUTED_VALUE"""),"5804")</f>
        <v>5804</v>
      </c>
      <c r="M24" t="str">
        <f>IFERROR(__xludf.DUMMYFUNCTION("""COMPUTED_VALUE"""),"5804")</f>
        <v>5804</v>
      </c>
      <c r="N24" t="str">
        <f>IFERROR(__xludf.DUMMYFUNCTION("""COMPUTED_VALUE"""),"C")</f>
        <v>C</v>
      </c>
      <c r="O24" t="str">
        <f>IFERROR(__xludf.DUMMYFUNCTION("""COMPUTED_VALUE"""),"1151")</f>
        <v>1151</v>
      </c>
      <c r="P24" t="b">
        <f>IFERROR(__xludf.DUMMYFUNCTION("""COMPUTED_VALUE"""),FALSE)</f>
        <v>0</v>
      </c>
      <c r="Q24" t="b">
        <f>IFERROR(__xludf.DUMMYFUNCTION("""COMPUTED_VALUE"""),FALSE)</f>
        <v>0</v>
      </c>
      <c r="R24" t="str">
        <f>IFERROR(__xludf.DUMMYFUNCTION("""COMPUTED_VALUE"""),"32")</f>
        <v>32</v>
      </c>
      <c r="S24" t="str">
        <f>IFERROR(__xludf.DUMMYFUNCTION("""COMPUTED_VALUE"""),"GNU General Public License v2.0")</f>
        <v>GNU General Public License v2.0</v>
      </c>
      <c r="T24" t="str">
        <f>IFERROR(__xludf.DUMMYFUNCTION("""COMPUTED_VALUE"""),"1151")</f>
        <v>1151</v>
      </c>
      <c r="U24" t="str">
        <f>IFERROR(__xludf.DUMMYFUNCTION("""COMPUTED_VALUE"""),"32")</f>
        <v>32</v>
      </c>
      <c r="V24" t="str">
        <f>IFERROR(__xludf.DUMMYFUNCTION("""COMPUTED_VALUE"""),"5804")</f>
        <v>5804</v>
      </c>
      <c r="W24" t="str">
        <f>IFERROR(__xludf.DUMMYFUNCTION("""COMPUTED_VALUE"""),"1151")</f>
        <v>1151</v>
      </c>
      <c r="X24" t="str">
        <f>IFERROR(__xludf.DUMMYFUNCTION("""COMPUTED_VALUE"""),"517")</f>
        <v>517</v>
      </c>
    </row>
    <row r="25" ht="12.75" spans="1:24">
      <c r="A25" s="2" t="s">
        <v>89</v>
      </c>
      <c r="B25" t="str">
        <f>IFERROR(__xludf.DUMMYFUNCTION("ImportJSON(replace(REGEXEXTRACT($A25, ""^https://github\.com/[^/]+/[^/]+""), 1, 18, ""https://api.github.com/repos""), ""/name,/owner/login,/fork,/created_at,/updated_at,/pushed_at,/size,/stargazers_count,/watchers_count,/language,/forks_count,/archived,/"&amp;"disabled,/open_issues_count,/license/name,/forks,/open_issues,/watchers,/network_count,/subscribers_count,/description"", ""noHeaders"")"),"malmo")</f>
        <v>malmo</v>
      </c>
      <c r="C25" t="str">
        <f>IFERROR(__xludf.DUMMYFUNCTION("""COMPUTED_VALUE"""),"microsoft")</f>
        <v>microsoft</v>
      </c>
      <c r="D25" t="str">
        <f>IFERROR(__xludf.DUMMYFUNCTION("""COMPUTED_VALUE"""),"Project Malmo is a platform for Artificial Intelligence experimentation and research built on top of Minecraft. We aim to inspire a new generation of research into challenging new problems presented by this unique environment. --- For installation instruc"&amp;"t")</f>
        <v>Project Malmo is a platform for Artificial Intelligence experimentation and research built on top of Minecraft. We aim to inspire a new generation of research into challenging new problems presented by this unique environment. --- For installation instruct</v>
      </c>
      <c r="E25" t="b">
        <f>IFERROR(__xludf.DUMMYFUNCTION("""COMPUTED_VALUE"""),FALSE)</f>
        <v>0</v>
      </c>
      <c r="F25" s="3" t="str">
        <f>IFERROR(__xludf.DUMMYFUNCTION("""COMPUTED_VALUE"""),"https://api.github.com/repos/microsoft/malmo/forks")</f>
        <v>https://api.github.com/repos/microsoft/malmo/forks</v>
      </c>
      <c r="G25" s="3" t="str">
        <f>IFERROR(__xludf.DUMMYFUNCTION("""COMPUTED_VALUE"""),"https://api.github.com/repos/microsoft/malmo/languages")</f>
        <v>https://api.github.com/repos/microsoft/malmo/languages</v>
      </c>
      <c r="H25" t="str">
        <f>IFERROR(__xludf.DUMMYFUNCTION("""COMPUTED_VALUE"""),"2016-05-17T14:58:40Z")</f>
        <v>2016-05-17T14:58:40Z</v>
      </c>
      <c r="I25" t="str">
        <f>IFERROR(__xludf.DUMMYFUNCTION("""COMPUTED_VALUE"""),"2019-06-01T16:04:17Z")</f>
        <v>2019-06-01T16:04:17Z</v>
      </c>
      <c r="J25" t="str">
        <f>IFERROR(__xludf.DUMMYFUNCTION("""COMPUTED_VALUE"""),"2019-05-29T06:07:47Z")</f>
        <v>2019-05-29T06:07:47Z</v>
      </c>
      <c r="K25" t="str">
        <f>IFERROR(__xludf.DUMMYFUNCTION("""COMPUTED_VALUE"""),"28752")</f>
        <v>28752</v>
      </c>
      <c r="L25" t="str">
        <f>IFERROR(__xludf.DUMMYFUNCTION("""COMPUTED_VALUE"""),"3261")</f>
        <v>3261</v>
      </c>
      <c r="M25" t="str">
        <f>IFERROR(__xludf.DUMMYFUNCTION("""COMPUTED_VALUE"""),"3261")</f>
        <v>3261</v>
      </c>
      <c r="N25" t="str">
        <f>IFERROR(__xludf.DUMMYFUNCTION("""COMPUTED_VALUE"""),"Java")</f>
        <v>Java</v>
      </c>
      <c r="O25" t="str">
        <f>IFERROR(__xludf.DUMMYFUNCTION("""COMPUTED_VALUE"""),"509")</f>
        <v>509</v>
      </c>
      <c r="P25" t="b">
        <f>IFERROR(__xludf.DUMMYFUNCTION("""COMPUTED_VALUE"""),FALSE)</f>
        <v>0</v>
      </c>
      <c r="Q25" t="b">
        <f>IFERROR(__xludf.DUMMYFUNCTION("""COMPUTED_VALUE"""),FALSE)</f>
        <v>0</v>
      </c>
      <c r="R25" t="str">
        <f>IFERROR(__xludf.DUMMYFUNCTION("""COMPUTED_VALUE"""),"99")</f>
        <v>99</v>
      </c>
      <c r="S25" t="str">
        <f>IFERROR(__xludf.DUMMYFUNCTION("""COMPUTED_VALUE"""),"MIT License")</f>
        <v>MIT License</v>
      </c>
      <c r="T25" t="str">
        <f>IFERROR(__xludf.DUMMYFUNCTION("""COMPUTED_VALUE"""),"509")</f>
        <v>509</v>
      </c>
      <c r="U25" t="str">
        <f>IFERROR(__xludf.DUMMYFUNCTION("""COMPUTED_VALUE"""),"99")</f>
        <v>99</v>
      </c>
      <c r="V25" t="str">
        <f>IFERROR(__xludf.DUMMYFUNCTION("""COMPUTED_VALUE"""),"3261")</f>
        <v>3261</v>
      </c>
      <c r="W25" t="str">
        <f>IFERROR(__xludf.DUMMYFUNCTION("""COMPUTED_VALUE"""),"509")</f>
        <v>509</v>
      </c>
      <c r="X25" t="str">
        <f>IFERROR(__xludf.DUMMYFUNCTION("""COMPUTED_VALUE"""),"281")</f>
        <v>281</v>
      </c>
    </row>
    <row r="26" ht="12.75" spans="1:24">
      <c r="A26" s="2" t="s">
        <v>92</v>
      </c>
      <c r="B26" t="str">
        <f>IFERROR(__xludf.DUMMYFUNCTION("ImportJSON(replace(REGEXEXTRACT($A26, ""^https://github\.com/[^/]+/[^/]+""), 1, 18, ""https://api.github.com/repos""), ""/name,/owner/login,/fork,/created_at,/updated_at,/pushed_at,/size,/stargazers_count,/watchers_count,/language,/forks_count,/archived,/"&amp;"disabled,/open_issues_count,/license/name,/forks,/open_issues,/watchers,/network_count,/subscribers_count,/description"", ""noHeaders"")"),"retro")</f>
        <v>retro</v>
      </c>
      <c r="C26" t="str">
        <f>IFERROR(__xludf.DUMMYFUNCTION("""COMPUTED_VALUE"""),"openai")</f>
        <v>openai</v>
      </c>
      <c r="D26" t="str">
        <f>IFERROR(__xludf.DUMMYFUNCTION("""COMPUTED_VALUE"""),"Retro Games in Gym")</f>
        <v>Retro Games in Gym</v>
      </c>
      <c r="E26" t="b">
        <f>IFERROR(__xludf.DUMMYFUNCTION("""COMPUTED_VALUE"""),FALSE)</f>
        <v>0</v>
      </c>
      <c r="F26" s="3" t="str">
        <f>IFERROR(__xludf.DUMMYFUNCTION("""COMPUTED_VALUE"""),"https://api.github.com/repos/openai/retro/forks")</f>
        <v>https://api.github.com/repos/openai/retro/forks</v>
      </c>
      <c r="G26" s="3" t="str">
        <f>IFERROR(__xludf.DUMMYFUNCTION("""COMPUTED_VALUE"""),"https://api.github.com/repos/openai/retro/languages")</f>
        <v>https://api.github.com/repos/openai/retro/languages</v>
      </c>
      <c r="H26" t="str">
        <f>IFERROR(__xludf.DUMMYFUNCTION("""COMPUTED_VALUE"""),"2018-02-07T00:32:02Z")</f>
        <v>2018-02-07T00:32:02Z</v>
      </c>
      <c r="I26" t="str">
        <f>IFERROR(__xludf.DUMMYFUNCTION("""COMPUTED_VALUE"""),"2019-05-31T10:27:46Z")</f>
        <v>2019-05-31T10:27:46Z</v>
      </c>
      <c r="J26" t="str">
        <f>IFERROR(__xludf.DUMMYFUNCTION("""COMPUTED_VALUE"""),"2019-05-24T23:48:21Z")</f>
        <v>2019-05-24T23:48:21Z</v>
      </c>
      <c r="K26" t="str">
        <f>IFERROR(__xludf.DUMMYFUNCTION("""COMPUTED_VALUE"""),"150634")</f>
        <v>150634</v>
      </c>
      <c r="L26" t="str">
        <f>IFERROR(__xludf.DUMMYFUNCTION("""COMPUTED_VALUE"""),"1661")</f>
        <v>1661</v>
      </c>
      <c r="M26" t="str">
        <f>IFERROR(__xludf.DUMMYFUNCTION("""COMPUTED_VALUE"""),"1661")</f>
        <v>1661</v>
      </c>
      <c r="N26" t="str">
        <f>IFERROR(__xludf.DUMMYFUNCTION("""COMPUTED_VALUE"""),"C++")</f>
        <v>C++</v>
      </c>
      <c r="O26" t="str">
        <f>IFERROR(__xludf.DUMMYFUNCTION("""COMPUTED_VALUE"""),"215")</f>
        <v>215</v>
      </c>
      <c r="P26" t="b">
        <f>IFERROR(__xludf.DUMMYFUNCTION("""COMPUTED_VALUE"""),FALSE)</f>
        <v>0</v>
      </c>
      <c r="Q26" t="b">
        <f>IFERROR(__xludf.DUMMYFUNCTION("""COMPUTED_VALUE"""),FALSE)</f>
        <v>0</v>
      </c>
      <c r="R26" t="str">
        <f>IFERROR(__xludf.DUMMYFUNCTION("""COMPUTED_VALUE"""),"13")</f>
        <v>13</v>
      </c>
      <c r="S26" t="str">
        <f>IFERROR(__xludf.DUMMYFUNCTION("""COMPUTED_VALUE"""),"MIT License")</f>
        <v>MIT License</v>
      </c>
      <c r="T26" t="str">
        <f>IFERROR(__xludf.DUMMYFUNCTION("""COMPUTED_VALUE"""),"215")</f>
        <v>215</v>
      </c>
      <c r="U26" t="str">
        <f>IFERROR(__xludf.DUMMYFUNCTION("""COMPUTED_VALUE"""),"13")</f>
        <v>13</v>
      </c>
      <c r="V26" t="str">
        <f>IFERROR(__xludf.DUMMYFUNCTION("""COMPUTED_VALUE"""),"1661")</f>
        <v>1661</v>
      </c>
      <c r="W26" t="str">
        <f>IFERROR(__xludf.DUMMYFUNCTION("""COMPUTED_VALUE"""),"215")</f>
        <v>215</v>
      </c>
      <c r="X26" t="str">
        <f>IFERROR(__xludf.DUMMYFUNCTION("""COMPUTED_VALUE"""),"83")</f>
        <v>83</v>
      </c>
    </row>
    <row r="27" ht="12.75" spans="1:24">
      <c r="A27" s="2" t="s">
        <v>94</v>
      </c>
      <c r="B27" t="str">
        <f>IFERROR(__xludf.DUMMYFUNCTION("ImportJSON(replace(REGEXEXTRACT($A27, ""^https://github\.com/[^/]+/[^/]+""), 1, 18, ""https://api.github.com/repos""), ""/name,/owner/login,/fork,/created_at,/updated_at,/pushed_at,/size,/stargazers_count,/watchers_count,/language,/forks_count,/archived,/"&amp;"disabled,/open_issues_count,/license/name,/forks,/open_issues,/watchers,/network_count,/subscribers_count,/description"", ""noHeaders"")"),"dm_control")</f>
        <v>dm_control</v>
      </c>
      <c r="C27" t="str">
        <f>IFERROR(__xludf.DUMMYFUNCTION("""COMPUTED_VALUE"""),"deepmind")</f>
        <v>deepmind</v>
      </c>
      <c r="D27" t="str">
        <f>IFERROR(__xludf.DUMMYFUNCTION("""COMPUTED_VALUE"""),"The DeepMind Control Suite and Package")</f>
        <v>The DeepMind Control Suite and Package</v>
      </c>
      <c r="E27" t="b">
        <f>IFERROR(__xludf.DUMMYFUNCTION("""COMPUTED_VALUE"""),FALSE)</f>
        <v>0</v>
      </c>
      <c r="F27" s="3" t="str">
        <f>IFERROR(__xludf.DUMMYFUNCTION("""COMPUTED_VALUE"""),"https://api.github.com/repos/deepmind/dm_control/forks")</f>
        <v>https://api.github.com/repos/deepmind/dm_control/forks</v>
      </c>
      <c r="G27" s="3" t="str">
        <f>IFERROR(__xludf.DUMMYFUNCTION("""COMPUTED_VALUE"""),"https://api.github.com/repos/deepmind/dm_control/languages")</f>
        <v>https://api.github.com/repos/deepmind/dm_control/languages</v>
      </c>
      <c r="H27" t="str">
        <f>IFERROR(__xludf.DUMMYFUNCTION("""COMPUTED_VALUE"""),"2017-12-29T18:13:15Z")</f>
        <v>2017-12-29T18:13:15Z</v>
      </c>
      <c r="I27" t="str">
        <f>IFERROR(__xludf.DUMMYFUNCTION("""COMPUTED_VALUE"""),"2019-05-30T20:03:38Z")</f>
        <v>2019-05-30T20:03:38Z</v>
      </c>
      <c r="J27" t="str">
        <f>IFERROR(__xludf.DUMMYFUNCTION("""COMPUTED_VALUE"""),"2019-05-24T15:11:24Z")</f>
        <v>2019-05-24T15:11:24Z</v>
      </c>
      <c r="K27" t="str">
        <f>IFERROR(__xludf.DUMMYFUNCTION("""COMPUTED_VALUE"""),"20565")</f>
        <v>20565</v>
      </c>
      <c r="L27" t="str">
        <f>IFERROR(__xludf.DUMMYFUNCTION("""COMPUTED_VALUE"""),"1511")</f>
        <v>1511</v>
      </c>
      <c r="M27" t="str">
        <f>IFERROR(__xludf.DUMMYFUNCTION("""COMPUTED_VALUE"""),"1511")</f>
        <v>1511</v>
      </c>
      <c r="N27" t="str">
        <f>IFERROR(__xludf.DUMMYFUNCTION("""COMPUTED_VALUE"""),"Python")</f>
        <v>Python</v>
      </c>
      <c r="O27" t="str">
        <f>IFERROR(__xludf.DUMMYFUNCTION("""COMPUTED_VALUE"""),"227")</f>
        <v>227</v>
      </c>
      <c r="P27" t="b">
        <f>IFERROR(__xludf.DUMMYFUNCTION("""COMPUTED_VALUE"""),FALSE)</f>
        <v>0</v>
      </c>
      <c r="Q27" t="b">
        <f>IFERROR(__xludf.DUMMYFUNCTION("""COMPUTED_VALUE"""),FALSE)</f>
        <v>0</v>
      </c>
      <c r="R27" t="str">
        <f>IFERROR(__xludf.DUMMYFUNCTION("""COMPUTED_VALUE"""),"13")</f>
        <v>13</v>
      </c>
      <c r="S27" t="str">
        <f>IFERROR(__xludf.DUMMYFUNCTION("""COMPUTED_VALUE"""),"Apache License 2.0")</f>
        <v>Apache License 2.0</v>
      </c>
      <c r="T27" t="str">
        <f>IFERROR(__xludf.DUMMYFUNCTION("""COMPUTED_VALUE"""),"227")</f>
        <v>227</v>
      </c>
      <c r="U27" t="str">
        <f>IFERROR(__xludf.DUMMYFUNCTION("""COMPUTED_VALUE"""),"13")</f>
        <v>13</v>
      </c>
      <c r="V27" t="str">
        <f>IFERROR(__xludf.DUMMYFUNCTION("""COMPUTED_VALUE"""),"1511")</f>
        <v>1511</v>
      </c>
      <c r="W27" t="str">
        <f>IFERROR(__xludf.DUMMYFUNCTION("""COMPUTED_VALUE"""),"227")</f>
        <v>227</v>
      </c>
      <c r="X27" t="str">
        <f>IFERROR(__xludf.DUMMYFUNCTION("""COMPUTED_VALUE"""),"98")</f>
        <v>98</v>
      </c>
    </row>
    <row r="28" ht="12.75" spans="1:24">
      <c r="A28" s="2" t="s">
        <v>96</v>
      </c>
      <c r="B28" t="str">
        <f>IFERROR(__xludf.DUMMYFUNCTION("ImportJSON(replace(REGEXEXTRACT($A28, ""^https://github\.com/[^/]+/[^/]+""), 1, 18, ""https://api.github.com/repos""), ""/name,/owner/login,/fork,/created_at,/updated_at,/pushed_at,/size,/stargazers_count,/watchers_count,/language,/forks_count,/archived,/"&amp;"disabled,/open_issues_count,/license/name,/forks,/open_issues,/watchers,/network_count,/subscribers_count,/description"", ""noHeaders"")"),"neural-mmo")</f>
        <v>neural-mmo</v>
      </c>
      <c r="C28" t="str">
        <f>IFERROR(__xludf.DUMMYFUNCTION("""COMPUTED_VALUE"""),"openai")</f>
        <v>openai</v>
      </c>
      <c r="D28" t="str">
        <f>IFERROR(__xludf.DUMMYFUNCTION("""COMPUTED_VALUE"""),"Neural MMO - A Massively Multiagent Game Environment")</f>
        <v>Neural MMO - A Massively Multiagent Game Environment</v>
      </c>
      <c r="E28" t="b">
        <f>IFERROR(__xludf.DUMMYFUNCTION("""COMPUTED_VALUE"""),FALSE)</f>
        <v>0</v>
      </c>
      <c r="F28" s="3" t="str">
        <f>IFERROR(__xludf.DUMMYFUNCTION("""COMPUTED_VALUE"""),"https://api.github.com/repos/openai/neural-mmo/forks")</f>
        <v>https://api.github.com/repos/openai/neural-mmo/forks</v>
      </c>
      <c r="G28" s="3" t="str">
        <f>IFERROR(__xludf.DUMMYFUNCTION("""COMPUTED_VALUE"""),"https://api.github.com/repos/openai/neural-mmo/languages")</f>
        <v>https://api.github.com/repos/openai/neural-mmo/languages</v>
      </c>
      <c r="H28" t="str">
        <f>IFERROR(__xludf.DUMMYFUNCTION("""COMPUTED_VALUE"""),"2019-02-28T17:17:24Z")</f>
        <v>2019-02-28T17:17:24Z</v>
      </c>
      <c r="I28" t="str">
        <f>IFERROR(__xludf.DUMMYFUNCTION("""COMPUTED_VALUE"""),"2019-06-01T16:17:22Z")</f>
        <v>2019-06-01T16:17:22Z</v>
      </c>
      <c r="J28" t="str">
        <f>IFERROR(__xludf.DUMMYFUNCTION("""COMPUTED_VALUE"""),"2019-05-31T07:34:02Z")</f>
        <v>2019-05-31T07:34:02Z</v>
      </c>
      <c r="K28" t="str">
        <f>IFERROR(__xludf.DUMMYFUNCTION("""COMPUTED_VALUE"""),"99208")</f>
        <v>99208</v>
      </c>
      <c r="L28" t="str">
        <f>IFERROR(__xludf.DUMMYFUNCTION("""COMPUTED_VALUE"""),"1008")</f>
        <v>1008</v>
      </c>
      <c r="M28" t="str">
        <f>IFERROR(__xludf.DUMMYFUNCTION("""COMPUTED_VALUE"""),"1008")</f>
        <v>1008</v>
      </c>
      <c r="N28" t="str">
        <f>IFERROR(__xludf.DUMMYFUNCTION("""COMPUTED_VALUE"""),"Python")</f>
        <v>Python</v>
      </c>
      <c r="O28" t="str">
        <f>IFERROR(__xludf.DUMMYFUNCTION("""COMPUTED_VALUE"""),"99")</f>
        <v>99</v>
      </c>
      <c r="P28" t="b">
        <f>IFERROR(__xludf.DUMMYFUNCTION("""COMPUTED_VALUE"""),FALSE)</f>
        <v>0</v>
      </c>
      <c r="Q28" t="b">
        <f>IFERROR(__xludf.DUMMYFUNCTION("""COMPUTED_VALUE"""),FALSE)</f>
        <v>0</v>
      </c>
      <c r="R28" t="str">
        <f>IFERROR(__xludf.DUMMYFUNCTION("""COMPUTED_VALUE"""),"4")</f>
        <v>4</v>
      </c>
      <c r="S28" t="str">
        <f>IFERROR(__xludf.DUMMYFUNCTION("""COMPUTED_VALUE"""),"MIT License")</f>
        <v>MIT License</v>
      </c>
      <c r="T28" t="str">
        <f>IFERROR(__xludf.DUMMYFUNCTION("""COMPUTED_VALUE"""),"99")</f>
        <v>99</v>
      </c>
      <c r="U28" t="str">
        <f>IFERROR(__xludf.DUMMYFUNCTION("""COMPUTED_VALUE"""),"4")</f>
        <v>4</v>
      </c>
      <c r="V28" t="str">
        <f>IFERROR(__xludf.DUMMYFUNCTION("""COMPUTED_VALUE"""),"1008")</f>
        <v>1008</v>
      </c>
      <c r="W28" t="str">
        <f>IFERROR(__xludf.DUMMYFUNCTION("""COMPUTED_VALUE"""),"99")</f>
        <v>99</v>
      </c>
      <c r="X28" t="str">
        <f>IFERROR(__xludf.DUMMYFUNCTION("""COMPUTED_VALUE"""),"78")</f>
        <v>78</v>
      </c>
    </row>
    <row r="38" ht="12.75" spans="1:1">
      <c r="A38" t="e">
        <f t="array" ref="A38">Join(",",_xlfn.CONCAT("/",B1:X1))</f>
        <v>#NAME?</v>
      </c>
    </row>
  </sheetData>
  <hyperlinks>
    <hyperlink ref="A2" r:id="rId1" display="https://github.com/openai/baselines"/>
    <hyperlink ref="F2" r:id="rId2" display="=IFERROR(__xludf.DUMMYFUNCTION(&quot;&quot;&quot;COMPUTED_VALUE&quot;&quot;&quot;),&quot;https://api.github.com/repos/openai/baselines/forks&quot;)"/>
    <hyperlink ref="G2" r:id="rId3" display="=IFERROR(__xludf.DUMMYFUNCTION(&quot;&quot;&quot;COMPUTED_VALUE&quot;&quot;&quot;),&quot;https://api.github.com/repos/openai/baselines/languages&quot;)"/>
    <hyperlink ref="A3" r:id="rId4" display="https://github.com/hill-a/stable-baselines"/>
    <hyperlink ref="F3" r:id="rId5" display="=IFERROR(__xludf.DUMMYFUNCTION(&quot;&quot;&quot;COMPUTED_VALUE&quot;&quot;&quot;),&quot;https://api.github.com/repos/hill-a/stable-baselines/forks&quot;)"/>
    <hyperlink ref="G3" r:id="rId6" display="=IFERROR(__xludf.DUMMYFUNCTION(&quot;&quot;&quot;COMPUTED_VALUE&quot;&quot;&quot;),&quot;https://api.github.com/repos/hill-a/stable-baselines/languages&quot;)"/>
    <hyperlink ref="A4" r:id="rId7" display="https://github.com/openai/spinningup"/>
    <hyperlink ref="F4" r:id="rId8" display="=IFERROR(__xludf.DUMMYFUNCTION(&quot;&quot;&quot;COMPUTED_VALUE&quot;&quot;&quot;),&quot;https://api.github.com/repos/openai/spinningup/forks&quot;)"/>
    <hyperlink ref="G4" r:id="rId9" display="=IFERROR(__xludf.DUMMYFUNCTION(&quot;&quot;&quot;COMPUTED_VALUE&quot;&quot;&quot;),&quot;https://api.github.com/repos/openai/spinningup/languages&quot;)"/>
    <hyperlink ref="A5" r:id="rId10" display="https://github.com/google/dopamine"/>
    <hyperlink ref="F5" r:id="rId11" display="=IFERROR(__xludf.DUMMYFUNCTION(&quot;&quot;&quot;COMPUTED_VALUE&quot;&quot;&quot;),&quot;https://api.github.com/repos/google/dopamine/forks&quot;)"/>
    <hyperlink ref="G5" r:id="rId12" display="=IFERROR(__xludf.DUMMYFUNCTION(&quot;&quot;&quot;COMPUTED_VALUE&quot;&quot;&quot;),&quot;https://api.github.com/repos/google/dopamine/languages&quot;)"/>
    <hyperlink ref="A6" r:id="rId13" display="https://github.com/tensorflow/agents"/>
    <hyperlink ref="F6" r:id="rId14" display="=IFERROR(__xludf.DUMMYFUNCTION(&quot;&quot;&quot;COMPUTED_VALUE&quot;&quot;&quot;),&quot;https://api.github.com/repos/tensorflow/agents/forks&quot;)"/>
    <hyperlink ref="G6" r:id="rId15" display="=IFERROR(__xludf.DUMMYFUNCTION(&quot;&quot;&quot;COMPUTED_VALUE&quot;&quot;&quot;),&quot;https://api.github.com/repos/tensorflow/agents/languages&quot;)"/>
    <hyperlink ref="A7" r:id="rId16" display="https://github.com/deepmind/trfl"/>
    <hyperlink ref="F7" r:id="rId17" display="=IFERROR(__xludf.DUMMYFUNCTION(&quot;&quot;&quot;COMPUTED_VALUE&quot;&quot;&quot;),&quot;https://api.github.com/repos/deepmind/trfl/forks&quot;)"/>
    <hyperlink ref="G7" r:id="rId18" display="=IFERROR(__xludf.DUMMYFUNCTION(&quot;&quot;&quot;COMPUTED_VALUE&quot;&quot;&quot;),&quot;https://api.github.com/repos/deepmind/trfl/languages&quot;)"/>
    <hyperlink ref="A8" r:id="rId19" display="https://github.com/facebookresearch/Horizon"/>
    <hyperlink ref="F8" r:id="rId20" display="=IFERROR(__xludf.DUMMYFUNCTION(&quot;&quot;&quot;COMPUTED_VALUE&quot;&quot;&quot;),&quot;https://api.github.com/repos/facebookresearch/Horizon/forks&quot;)"/>
    <hyperlink ref="G8" r:id="rId21" display="=IFERROR(__xludf.DUMMYFUNCTION(&quot;&quot;&quot;COMPUTED_VALUE&quot;&quot;&quot;),&quot;https://api.github.com/repos/facebookresearch/Horizon/languages&quot;)"/>
    <hyperlink ref="A9" r:id="rId22" display="https://github.com/facebookresearch/ELF"/>
    <hyperlink ref="F9" r:id="rId23" display="=IFERROR(__xludf.DUMMYFUNCTION(&quot;&quot;&quot;COMPUTED_VALUE&quot;&quot;&quot;),&quot;https://api.github.com/repos/facebookresearch/ELF/forks&quot;)"/>
    <hyperlink ref="G9" r:id="rId24" display="=IFERROR(__xludf.DUMMYFUNCTION(&quot;&quot;&quot;COMPUTED_VALUE&quot;&quot;&quot;),&quot;https://api.github.com/repos/facebookresearch/ELF/languages&quot;)"/>
    <hyperlink ref="A10" r:id="rId25" display="https://github.com/NervanaSystems/coach"/>
    <hyperlink ref="F10" r:id="rId26" display="=IFERROR(__xludf.DUMMYFUNCTION(&quot;&quot;&quot;COMPUTED_VALUE&quot;&quot;&quot;),&quot;https://api.github.com/repos/NervanaSystems/coach/forks&quot;)"/>
    <hyperlink ref="G10" r:id="rId27" display="=IFERROR(__xludf.DUMMYFUNCTION(&quot;&quot;&quot;COMPUTED_VALUE&quot;&quot;&quot;),&quot;https://api.github.com/repos/NervanaSystems/coach/languages&quot;)"/>
    <hyperlink ref="A11" r:id="rId28" display="https://github.com/ray-project/ray/tree/master/python/ray/rllib"/>
    <hyperlink ref="F11" r:id="rId29" display="=IFERROR(__xludf.DUMMYFUNCTION(&quot;&quot;&quot;COMPUTED_VALUE&quot;&quot;&quot;),&quot;https://api.github.com/repos/ray-project/ray/forks&quot;)"/>
    <hyperlink ref="G11" r:id="rId30" display="=IFERROR(__xludf.DUMMYFUNCTION(&quot;&quot;&quot;COMPUTED_VALUE&quot;&quot;&quot;),&quot;https://api.github.com/repos/ray-project/ray/languages&quot;)"/>
    <hyperlink ref="A12" r:id="rId31" display="https://github.com/keras-rl/keras-rl"/>
    <hyperlink ref="F12" r:id="rId32" display="=IFERROR(__xludf.DUMMYFUNCTION(&quot;&quot;&quot;COMPUTED_VALUE&quot;&quot;&quot;),&quot;https://api.github.com/repos/keras-rl/keras-rl/forks&quot;)"/>
    <hyperlink ref="G12" r:id="rId33" display="=IFERROR(__xludf.DUMMYFUNCTION(&quot;&quot;&quot;COMPUTED_VALUE&quot;&quot;&quot;),&quot;https://api.github.com/repos/keras-rl/keras-rl/languages&quot;)"/>
    <hyperlink ref="A13" r:id="rId34" display="https://github.com/ikostrikov/pytorch-a2c-ppo-acktr-gail"/>
    <hyperlink ref="F13" r:id="rId35" display="=IFERROR(__xludf.DUMMYFUNCTION(&quot;&quot;&quot;COMPUTED_VALUE&quot;&quot;&quot;),&quot;https://api.github.com/repos/ikostrikov/pytorch-a2c-ppo-acktr-gail/forks&quot;)"/>
    <hyperlink ref="G13" r:id="rId36" display="=IFERROR(__xludf.DUMMYFUNCTION(&quot;&quot;&quot;COMPUTED_VALUE&quot;&quot;&quot;),&quot;https://api.github.com/repos/ikostrikov/pytorch-a2c-ppo-acktr-gail/languages&quot;)"/>
    <hyperlink ref="A14" r:id="rId37" display="https://github.com/Kaixhin/Rainbow"/>
    <hyperlink ref="F14" r:id="rId38" display="=IFERROR(__xludf.DUMMYFUNCTION(&quot;&quot;&quot;COMPUTED_VALUE&quot;&quot;&quot;),&quot;https://api.github.com/repos/Kaixhin/Rainbow/forks&quot;)"/>
    <hyperlink ref="G14" r:id="rId39" display="=IFERROR(__xludf.DUMMYFUNCTION(&quot;&quot;&quot;COMPUTED_VALUE&quot;&quot;&quot;),&quot;https://api.github.com/repos/Kaixhin/Rainbow/languages&quot;)"/>
    <hyperlink ref="A15" r:id="rId40" display="https://github.com/MillionIntegrals/vel"/>
    <hyperlink ref="F15" r:id="rId41" display="=IFERROR(__xludf.DUMMYFUNCTION(&quot;&quot;&quot;COMPUTED_VALUE&quot;&quot;&quot;),&quot;https://api.github.com/repos/MillionIntegrals/vel/forks&quot;)"/>
    <hyperlink ref="G15" r:id="rId42" display="=IFERROR(__xludf.DUMMYFUNCTION(&quot;&quot;&quot;COMPUTED_VALUE&quot;&quot;&quot;),&quot;https://api.github.com/repos/MillionIntegrals/vel/languages&quot;)"/>
    <hyperlink ref="A16" r:id="rId43" display="https://github.com/tensorforce/tensorforce"/>
    <hyperlink ref="F16" r:id="rId44" display="=IFERROR(__xludf.DUMMYFUNCTION(&quot;&quot;&quot;COMPUTED_VALUE&quot;&quot;&quot;),&quot;https://api.github.com/repos/tensorforce/tensorforce/forks&quot;)"/>
    <hyperlink ref="G16" r:id="rId45" display="=IFERROR(__xludf.DUMMYFUNCTION(&quot;&quot;&quot;COMPUTED_VALUE&quot;&quot;&quot;),&quot;https://api.github.com/repos/tensorforce/tensorforce/languages&quot;)"/>
    <hyperlink ref="A17" r:id="rId46" display="https://github.com/kengz/SLM-Lab"/>
    <hyperlink ref="F17" r:id="rId47" display="=IFERROR(__xludf.DUMMYFUNCTION(&quot;&quot;&quot;COMPUTED_VALUE&quot;&quot;&quot;),&quot;https://api.github.com/repos/kengz/SLM-Lab/forks&quot;)"/>
    <hyperlink ref="G17" r:id="rId48" display="=IFERROR(__xludf.DUMMYFUNCTION(&quot;&quot;&quot;COMPUTED_VALUE&quot;&quot;&quot;),&quot;https://api.github.com/repos/kengz/SLM-Lab/languages&quot;)"/>
    <hyperlink ref="A18" r:id="rId49" display="https://github.com/rlworkgroup/garage"/>
    <hyperlink ref="F18" r:id="rId50" display="=IFERROR(__xludf.DUMMYFUNCTION(&quot;&quot;&quot;COMPUTED_VALUE&quot;&quot;&quot;),&quot;https://api.github.com/repos/rlworkgroup/garage/forks&quot;)"/>
    <hyperlink ref="G18" r:id="rId51" display="=IFERROR(__xludf.DUMMYFUNCTION(&quot;&quot;&quot;COMPUTED_VALUE&quot;&quot;&quot;),&quot;https://api.github.com/repos/rlworkgroup/garage/languages&quot;)"/>
    <hyperlink ref="A19" r:id="rId52" display="https://github.com/catalyst-team/catalyst"/>
    <hyperlink ref="F19" r:id="rId53" display="=IFERROR(__xludf.DUMMYFUNCTION(&quot;&quot;&quot;COMPUTED_VALUE&quot;&quot;&quot;),&quot;https://api.github.com/repos/catalyst-team/catalyst/forks&quot;)"/>
    <hyperlink ref="G19" r:id="rId54" display="=IFERROR(__xludf.DUMMYFUNCTION(&quot;&quot;&quot;COMPUTED_VALUE&quot;&quot;&quot;),&quot;https://api.github.com/repos/catalyst-team/catalyst/languages&quot;)"/>
    <hyperlink ref="A20" r:id="rId55" display="https://github.com/higgsfield/RL-Adventure"/>
    <hyperlink ref="F20" r:id="rId56" display="=IFERROR(__xludf.DUMMYFUNCTION(&quot;&quot;&quot;COMPUTED_VALUE&quot;&quot;&quot;),&quot;https://api.github.com/repos/higgsfield/RL-Adventure/forks&quot;)"/>
    <hyperlink ref="G20" r:id="rId57" display="=IFERROR(__xludf.DUMMYFUNCTION(&quot;&quot;&quot;COMPUTED_VALUE&quot;&quot;&quot;),&quot;https://api.github.com/repos/higgsfield/RL-Adventure/languages&quot;)"/>
    <hyperlink ref="A21" r:id="rId58" display="https://github.com/qfettes/DeepRL-Tutorials"/>
    <hyperlink ref="F21" r:id="rId59" display="=IFERROR(__xludf.DUMMYFUNCTION(&quot;&quot;&quot;COMPUTED_VALUE&quot;&quot;&quot;),&quot;https://api.github.com/repos/qfettes/DeepRL-Tutorials/forks&quot;)"/>
    <hyperlink ref="G21" r:id="rId60" display="=IFERROR(__xludf.DUMMYFUNCTION(&quot;&quot;&quot;COMPUTED_VALUE&quot;&quot;&quot;),&quot;https://api.github.com/repos/qfettes/DeepRL-Tutorials/languages&quot;)"/>
    <hyperlink ref="A23" r:id="rId61" display="https://github.com/openai/gym"/>
    <hyperlink ref="F23" r:id="rId62" display="=IFERROR(__xludf.DUMMYFUNCTION(&quot;&quot;&quot;COMPUTED_VALUE&quot;&quot;&quot;),&quot;https://api.github.com/repos/openai/gym/forks&quot;)"/>
    <hyperlink ref="G23" r:id="rId63" display="=IFERROR(__xludf.DUMMYFUNCTION(&quot;&quot;&quot;COMPUTED_VALUE&quot;&quot;&quot;),&quot;https://api.github.com/repos/openai/gym/languages&quot;)"/>
    <hyperlink ref="A24" r:id="rId64" display="https://github.com/deepmind/lab"/>
    <hyperlink ref="F24" r:id="rId65" display="=IFERROR(__xludf.DUMMYFUNCTION(&quot;&quot;&quot;COMPUTED_VALUE&quot;&quot;&quot;),&quot;https://api.github.com/repos/deepmind/lab/forks&quot;)"/>
    <hyperlink ref="G24" r:id="rId66" display="=IFERROR(__xludf.DUMMYFUNCTION(&quot;&quot;&quot;COMPUTED_VALUE&quot;&quot;&quot;),&quot;https://api.github.com/repos/deepmind/lab/languages&quot;)"/>
    <hyperlink ref="A25" r:id="rId67" display="https://github.com/Microsoft/malmo"/>
    <hyperlink ref="F25" r:id="rId68" display="=IFERROR(__xludf.DUMMYFUNCTION(&quot;&quot;&quot;COMPUTED_VALUE&quot;&quot;&quot;),&quot;https://api.github.com/repos/microsoft/malmo/forks&quot;)"/>
    <hyperlink ref="G25" r:id="rId69" display="=IFERROR(__xludf.DUMMYFUNCTION(&quot;&quot;&quot;COMPUTED_VALUE&quot;&quot;&quot;),&quot;https://api.github.com/repos/microsoft/malmo/languages&quot;)"/>
    <hyperlink ref="A26" r:id="rId70" display="https://github.com/openai/retro"/>
    <hyperlink ref="F26" r:id="rId71" display="=IFERROR(__xludf.DUMMYFUNCTION(&quot;&quot;&quot;COMPUTED_VALUE&quot;&quot;&quot;),&quot;https://api.github.com/repos/openai/retro/forks&quot;)"/>
    <hyperlink ref="G26" r:id="rId72" display="=IFERROR(__xludf.DUMMYFUNCTION(&quot;&quot;&quot;COMPUTED_VALUE&quot;&quot;&quot;),&quot;https://api.github.com/repos/openai/retro/languages&quot;)"/>
    <hyperlink ref="A27" r:id="rId73" display="https://github.com/deepmind/dm_control"/>
    <hyperlink ref="F27" r:id="rId74" display="=IFERROR(__xludf.DUMMYFUNCTION(&quot;&quot;&quot;COMPUTED_VALUE&quot;&quot;&quot;),&quot;https://api.github.com/repos/deepmind/dm_control/forks&quot;)"/>
    <hyperlink ref="G27" r:id="rId75" display="=IFERROR(__xludf.DUMMYFUNCTION(&quot;&quot;&quot;COMPUTED_VALUE&quot;&quot;&quot;),&quot;https://api.github.com/repos/deepmind/dm_control/languages&quot;)"/>
    <hyperlink ref="A28" r:id="rId76" display="https://github.com/openai/neural-mmo"/>
    <hyperlink ref="F28" r:id="rId77" display="=IFERROR(__xludf.DUMMYFUNCTION(&quot;&quot;&quot;COMPUTED_VALUE&quot;&quot;&quot;),&quot;https://api.github.com/repos/openai/neural-mmo/forks&quot;)"/>
    <hyperlink ref="G28" r:id="rId78" display="=IFERROR(__xludf.DUMMYFUNCTION(&quot;&quot;&quot;COMPUTED_VALUE&quot;&quot;&quot;),&quot;https://api.github.com/repos/openai/neural-mmo/languages&quot;)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Frameworks</vt:lpstr>
      <vt:lpstr>Environments</vt:lpstr>
      <vt:lpstr>Raw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黄含驰</cp:lastModifiedBy>
  <dcterms:created xsi:type="dcterms:W3CDTF">2020-09-02T05:40:08Z</dcterms:created>
  <dcterms:modified xsi:type="dcterms:W3CDTF">2020-09-02T05:40:13Z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