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thmac/DDMPortal/"/>
    </mc:Choice>
  </mc:AlternateContent>
  <xr:revisionPtr revIDLastSave="0" documentId="13_ncr:1_{C9602D7B-6F13-DB4B-875C-326864BB7E9B}" xr6:coauthVersionLast="47" xr6:coauthVersionMax="47" xr10:uidLastSave="{00000000-0000-0000-0000-000000000000}"/>
  <bookViews>
    <workbookView xWindow="0" yWindow="500" windowWidth="28800" windowHeight="16180" tabRatio="808" activeTab="1" xr2:uid="{B6364F5F-C159-49E4-94C8-BFDE4E8E5EAC}"/>
  </bookViews>
  <sheets>
    <sheet name="Optimalon_1d_settings" sheetId="11" state="veryHidden" r:id="rId1"/>
    <sheet name="Order Form" sheetId="1" r:id="rId2"/>
    <sheet name="Size Parameters" sheetId="10" r:id="rId3"/>
    <sheet name="Finishes" sheetId="4" r:id="rId4"/>
    <sheet name="DATA" sheetId="2" r:id="rId5"/>
  </sheets>
  <definedNames>
    <definedName name="Manufacturers">Finishes!$A$3:$A$6</definedName>
    <definedName name="Other">Finishes!$C$3:$C$50</definedName>
    <definedName name="_xlnm.Print_Area" localSheetId="1">'Order Form'!$A$1:$L$59</definedName>
    <definedName name="Stevenswood">Finishes!$C$46:$C$51</definedName>
    <definedName name="Tafisa">Finishes!$C$3:$C$45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11" i="1"/>
  <c r="AF12" i="1"/>
  <c r="AF13" i="1"/>
  <c r="AF14" i="1"/>
  <c r="AF15" i="1"/>
  <c r="AF16" i="1"/>
  <c r="AF17" i="1"/>
  <c r="AF18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10" i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6" i="4"/>
  <c r="F47" i="4"/>
  <c r="F48" i="4"/>
  <c r="F49" i="4"/>
  <c r="F50" i="4"/>
  <c r="F3" i="4"/>
  <c r="J2" i="1" l="1"/>
  <c r="AB11" i="1" l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10" i="1"/>
  <c r="N2" i="2"/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10" i="1"/>
  <c r="AC10" i="1"/>
  <c r="AA5" i="1" l="1"/>
  <c r="AA6" i="1" s="1"/>
  <c r="C3" i="2"/>
  <c r="C2" i="2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10" i="1"/>
  <c r="M11" i="1" l="1"/>
  <c r="M12" i="1"/>
  <c r="N12" i="1"/>
  <c r="P12" i="1"/>
  <c r="M13" i="1"/>
  <c r="N13" i="1"/>
  <c r="P13" i="1"/>
  <c r="M14" i="1"/>
  <c r="N14" i="1"/>
  <c r="P14" i="1"/>
  <c r="M15" i="1"/>
  <c r="N15" i="1"/>
  <c r="P15" i="1"/>
  <c r="M16" i="1"/>
  <c r="N16" i="1"/>
  <c r="P16" i="1"/>
  <c r="M17" i="1"/>
  <c r="N17" i="1"/>
  <c r="P17" i="1"/>
  <c r="M18" i="1"/>
  <c r="N18" i="1"/>
  <c r="P18" i="1"/>
  <c r="M19" i="1"/>
  <c r="N19" i="1"/>
  <c r="P19" i="1"/>
  <c r="M20" i="1"/>
  <c r="N20" i="1"/>
  <c r="P20" i="1"/>
  <c r="M21" i="1"/>
  <c r="N21" i="1"/>
  <c r="P21" i="1"/>
  <c r="M22" i="1"/>
  <c r="N22" i="1"/>
  <c r="P22" i="1"/>
  <c r="M23" i="1"/>
  <c r="N23" i="1"/>
  <c r="P23" i="1"/>
  <c r="M24" i="1"/>
  <c r="N24" i="1"/>
  <c r="P24" i="1"/>
  <c r="M25" i="1"/>
  <c r="N25" i="1"/>
  <c r="P25" i="1"/>
  <c r="M26" i="1"/>
  <c r="N26" i="1"/>
  <c r="P26" i="1"/>
  <c r="M27" i="1"/>
  <c r="N27" i="1"/>
  <c r="P27" i="1"/>
  <c r="M28" i="1"/>
  <c r="N28" i="1"/>
  <c r="P28" i="1"/>
  <c r="M29" i="1"/>
  <c r="N29" i="1"/>
  <c r="P29" i="1"/>
  <c r="M30" i="1"/>
  <c r="N30" i="1"/>
  <c r="P30" i="1"/>
  <c r="M31" i="1"/>
  <c r="N31" i="1"/>
  <c r="P31" i="1"/>
  <c r="M32" i="1"/>
  <c r="N32" i="1"/>
  <c r="P32" i="1"/>
  <c r="M33" i="1"/>
  <c r="N33" i="1"/>
  <c r="P33" i="1"/>
  <c r="M34" i="1"/>
  <c r="N34" i="1"/>
  <c r="P34" i="1"/>
  <c r="M35" i="1"/>
  <c r="N35" i="1"/>
  <c r="P35" i="1"/>
  <c r="M36" i="1"/>
  <c r="N36" i="1"/>
  <c r="P36" i="1"/>
  <c r="M37" i="1"/>
  <c r="N37" i="1"/>
  <c r="P37" i="1"/>
  <c r="M38" i="1"/>
  <c r="N38" i="1"/>
  <c r="P38" i="1"/>
  <c r="M39" i="1"/>
  <c r="N39" i="1"/>
  <c r="P39" i="1"/>
  <c r="M40" i="1"/>
  <c r="N40" i="1"/>
  <c r="P40" i="1"/>
  <c r="M41" i="1"/>
  <c r="N41" i="1"/>
  <c r="P41" i="1"/>
  <c r="M42" i="1"/>
  <c r="N42" i="1"/>
  <c r="P42" i="1"/>
  <c r="M43" i="1"/>
  <c r="N43" i="1"/>
  <c r="P43" i="1"/>
  <c r="M44" i="1"/>
  <c r="N44" i="1"/>
  <c r="P44" i="1"/>
  <c r="M45" i="1"/>
  <c r="N45" i="1"/>
  <c r="P45" i="1"/>
  <c r="M46" i="1"/>
  <c r="N46" i="1"/>
  <c r="P46" i="1"/>
  <c r="M47" i="1"/>
  <c r="N47" i="1"/>
  <c r="P47" i="1"/>
  <c r="M48" i="1"/>
  <c r="N48" i="1"/>
  <c r="P48" i="1"/>
  <c r="M49" i="1"/>
  <c r="N49" i="1"/>
  <c r="P49" i="1"/>
  <c r="M50" i="1"/>
  <c r="N50" i="1"/>
  <c r="P50" i="1"/>
  <c r="M51" i="1"/>
  <c r="N51" i="1"/>
  <c r="P51" i="1"/>
  <c r="M52" i="1"/>
  <c r="N52" i="1"/>
  <c r="P52" i="1"/>
  <c r="M53" i="1"/>
  <c r="N53" i="1"/>
  <c r="P53" i="1"/>
  <c r="M54" i="1"/>
  <c r="N54" i="1"/>
  <c r="P54" i="1"/>
  <c r="M55" i="1"/>
  <c r="N55" i="1"/>
  <c r="P55" i="1"/>
  <c r="M56" i="1"/>
  <c r="N56" i="1"/>
  <c r="P56" i="1"/>
  <c r="N10" i="1"/>
  <c r="M10" i="1"/>
  <c r="G4" i="10"/>
  <c r="N11" i="1" s="1"/>
  <c r="H4" i="10"/>
  <c r="I4" i="10"/>
  <c r="P10" i="1" s="1"/>
  <c r="J4" i="10"/>
  <c r="G5" i="10"/>
  <c r="H5" i="10"/>
  <c r="I5" i="10"/>
  <c r="J5" i="10"/>
  <c r="H3" i="10"/>
  <c r="G3" i="10"/>
  <c r="I3" i="10"/>
  <c r="J3" i="10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10" i="1"/>
  <c r="AE15" i="1"/>
  <c r="AE16" i="1"/>
  <c r="AE17" i="1"/>
  <c r="AE18" i="1"/>
  <c r="AE19" i="1"/>
  <c r="AE20" i="1"/>
  <c r="AE21" i="1"/>
  <c r="AE22" i="1"/>
  <c r="AE23" i="1"/>
  <c r="AE24" i="1"/>
  <c r="AE25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F5" i="1"/>
  <c r="AH5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U11" i="1"/>
  <c r="U12" i="1"/>
  <c r="U13" i="1"/>
  <c r="U14" i="1"/>
  <c r="Y14" i="1" s="1"/>
  <c r="U15" i="1"/>
  <c r="Y15" i="1" s="1"/>
  <c r="U16" i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X43" i="1" s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10" i="1"/>
  <c r="AK10" i="1" s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10" i="1"/>
  <c r="Y54" i="1" l="1"/>
  <c r="AA54" i="1"/>
  <c r="AN54" i="1" s="1"/>
  <c r="Y46" i="1"/>
  <c r="AA46" i="1"/>
  <c r="AN46" i="1" s="1"/>
  <c r="Y38" i="1"/>
  <c r="AA38" i="1"/>
  <c r="AN38" i="1" s="1"/>
  <c r="Y53" i="1"/>
  <c r="AA53" i="1"/>
  <c r="AN53" i="1" s="1"/>
  <c r="Y45" i="1"/>
  <c r="AA45" i="1"/>
  <c r="AN45" i="1" s="1"/>
  <c r="Y37" i="1"/>
  <c r="AA37" i="1"/>
  <c r="AN37" i="1" s="1"/>
  <c r="AA13" i="1"/>
  <c r="AN13" i="1" s="1"/>
  <c r="Y13" i="1"/>
  <c r="X38" i="1"/>
  <c r="Y52" i="1"/>
  <c r="AA52" i="1"/>
  <c r="AN52" i="1" s="1"/>
  <c r="Y44" i="1"/>
  <c r="AA44" i="1"/>
  <c r="AN44" i="1" s="1"/>
  <c r="Y36" i="1"/>
  <c r="AA36" i="1"/>
  <c r="AN36" i="1" s="1"/>
  <c r="AA12" i="1"/>
  <c r="AN12" i="1" s="1"/>
  <c r="Y12" i="1"/>
  <c r="X35" i="1"/>
  <c r="Y35" i="1"/>
  <c r="AA35" i="1"/>
  <c r="AN35" i="1" s="1"/>
  <c r="Y50" i="1"/>
  <c r="AA50" i="1"/>
  <c r="AN50" i="1" s="1"/>
  <c r="Y42" i="1"/>
  <c r="AA42" i="1"/>
  <c r="AN42" i="1" s="1"/>
  <c r="Y34" i="1"/>
  <c r="AA34" i="1"/>
  <c r="AN34" i="1" s="1"/>
  <c r="Y49" i="1"/>
  <c r="AA49" i="1"/>
  <c r="AN49" i="1" s="1"/>
  <c r="Y51" i="1"/>
  <c r="AA51" i="1"/>
  <c r="AN51" i="1" s="1"/>
  <c r="Y56" i="1"/>
  <c r="AA56" i="1"/>
  <c r="AN56" i="1" s="1"/>
  <c r="Y48" i="1"/>
  <c r="AA48" i="1"/>
  <c r="AN48" i="1" s="1"/>
  <c r="Y40" i="1"/>
  <c r="AA40" i="1"/>
  <c r="AN40" i="1" s="1"/>
  <c r="Y32" i="1"/>
  <c r="AA32" i="1"/>
  <c r="AN32" i="1" s="1"/>
  <c r="AA16" i="1"/>
  <c r="AN16" i="1" s="1"/>
  <c r="Y16" i="1"/>
  <c r="Y43" i="1"/>
  <c r="AA43" i="1"/>
  <c r="AN43" i="1" s="1"/>
  <c r="Y41" i="1"/>
  <c r="AA41" i="1"/>
  <c r="AN41" i="1" s="1"/>
  <c r="Y33" i="1"/>
  <c r="AA33" i="1"/>
  <c r="AN33" i="1" s="1"/>
  <c r="Y55" i="1"/>
  <c r="AA55" i="1"/>
  <c r="AN55" i="1" s="1"/>
  <c r="Y47" i="1"/>
  <c r="AA47" i="1"/>
  <c r="AN47" i="1" s="1"/>
  <c r="Y39" i="1"/>
  <c r="AA39" i="1"/>
  <c r="AN39" i="1" s="1"/>
  <c r="Y31" i="1"/>
  <c r="AA31" i="1"/>
  <c r="AN31" i="1" s="1"/>
  <c r="X46" i="1"/>
  <c r="Y10" i="1"/>
  <c r="AF10" i="1"/>
  <c r="Y11" i="1"/>
  <c r="X10" i="1"/>
  <c r="AA30" i="1"/>
  <c r="AE10" i="1"/>
  <c r="AA10" i="1"/>
  <c r="AA19" i="1"/>
  <c r="AA18" i="1"/>
  <c r="AA17" i="1"/>
  <c r="AA14" i="1"/>
  <c r="AA29" i="1"/>
  <c r="AA15" i="1"/>
  <c r="AA11" i="1"/>
  <c r="AA28" i="1"/>
  <c r="AA27" i="1"/>
  <c r="AA26" i="1"/>
  <c r="AA25" i="1"/>
  <c r="AA24" i="1"/>
  <c r="AA23" i="1"/>
  <c r="AA22" i="1"/>
  <c r="AA21" i="1"/>
  <c r="AA20" i="1"/>
  <c r="X27" i="1"/>
  <c r="X20" i="1"/>
  <c r="X19" i="1"/>
  <c r="X16" i="1"/>
  <c r="P11" i="1"/>
  <c r="V41" i="1"/>
  <c r="V24" i="1"/>
  <c r="V55" i="1"/>
  <c r="V31" i="1"/>
  <c r="V15" i="1"/>
  <c r="V54" i="1"/>
  <c r="V30" i="1"/>
  <c r="V22" i="1"/>
  <c r="W10" i="1"/>
  <c r="V17" i="1"/>
  <c r="V48" i="1"/>
  <c r="V47" i="1"/>
  <c r="V39" i="1"/>
  <c r="V23" i="1"/>
  <c r="V53" i="1"/>
  <c r="V45" i="1"/>
  <c r="V37" i="1"/>
  <c r="V29" i="1"/>
  <c r="V21" i="1"/>
  <c r="V13" i="1"/>
  <c r="X30" i="1"/>
  <c r="V49" i="1"/>
  <c r="V56" i="1"/>
  <c r="V32" i="1"/>
  <c r="V12" i="1"/>
  <c r="V33" i="1"/>
  <c r="V40" i="1"/>
  <c r="V44" i="1"/>
  <c r="V28" i="1"/>
  <c r="V51" i="1"/>
  <c r="V43" i="1"/>
  <c r="V35" i="1"/>
  <c r="V27" i="1"/>
  <c r="V19" i="1"/>
  <c r="AE11" i="1"/>
  <c r="X54" i="1"/>
  <c r="V25" i="1"/>
  <c r="V16" i="1"/>
  <c r="V52" i="1"/>
  <c r="V36" i="1"/>
  <c r="V20" i="1"/>
  <c r="V50" i="1"/>
  <c r="V42" i="1"/>
  <c r="V34" i="1"/>
  <c r="V26" i="1"/>
  <c r="V18" i="1"/>
  <c r="X51" i="1"/>
  <c r="X24" i="1"/>
  <c r="AE12" i="1"/>
  <c r="AE14" i="1"/>
  <c r="AE13" i="1"/>
  <c r="X12" i="1"/>
  <c r="X11" i="1"/>
  <c r="X55" i="1"/>
  <c r="X39" i="1"/>
  <c r="X31" i="1"/>
  <c r="X52" i="1"/>
  <c r="X44" i="1"/>
  <c r="X36" i="1"/>
  <c r="X28" i="1"/>
  <c r="X25" i="1"/>
  <c r="X17" i="1"/>
  <c r="X47" i="1"/>
  <c r="X49" i="1"/>
  <c r="X41" i="1"/>
  <c r="X33" i="1"/>
  <c r="X22" i="1"/>
  <c r="X14" i="1"/>
  <c r="AE26" i="1"/>
  <c r="X56" i="1"/>
  <c r="X48" i="1"/>
  <c r="X40" i="1"/>
  <c r="X32" i="1"/>
  <c r="X21" i="1"/>
  <c r="X13" i="1"/>
  <c r="X53" i="1"/>
  <c r="X45" i="1"/>
  <c r="X37" i="1"/>
  <c r="X29" i="1"/>
  <c r="X18" i="1"/>
  <c r="X50" i="1"/>
  <c r="X42" i="1"/>
  <c r="X34" i="1"/>
  <c r="X23" i="1"/>
  <c r="X15" i="1"/>
  <c r="X26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V46" i="1"/>
  <c r="V38" i="1"/>
  <c r="V14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V11" i="1"/>
  <c r="V10" i="1"/>
  <c r="AJ10" i="1"/>
  <c r="AN30" i="1" l="1"/>
  <c r="AN11" i="1"/>
  <c r="AN15" i="1"/>
  <c r="AN22" i="1"/>
  <c r="AN14" i="1"/>
  <c r="AN17" i="1"/>
  <c r="AN28" i="1"/>
  <c r="AN21" i="1"/>
  <c r="AN29" i="1"/>
  <c r="AN23" i="1"/>
  <c r="AN24" i="1"/>
  <c r="AN25" i="1"/>
  <c r="AN18" i="1"/>
  <c r="AN26" i="1"/>
  <c r="AN19" i="1"/>
  <c r="AN20" i="1"/>
  <c r="AN27" i="1"/>
  <c r="AN10" i="1"/>
  <c r="J14" i="1"/>
  <c r="J11" i="1"/>
  <c r="J12" i="1"/>
  <c r="J13" i="1"/>
  <c r="J15" i="1"/>
  <c r="J16" i="1"/>
  <c r="J17" i="1"/>
  <c r="J18" i="1"/>
  <c r="J19" i="1"/>
  <c r="J20" i="1"/>
  <c r="D9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10" i="1"/>
  <c r="E9" i="1"/>
  <c r="K10" i="1" l="1"/>
  <c r="L25" i="1"/>
  <c r="L22" i="1"/>
  <c r="AH30" i="1"/>
  <c r="AH10" i="1"/>
  <c r="AH12" i="1"/>
  <c r="AH49" i="1"/>
  <c r="AH56" i="1"/>
  <c r="L48" i="1"/>
  <c r="AH48" i="1"/>
  <c r="AH40" i="1"/>
  <c r="AH32" i="1"/>
  <c r="AH24" i="1"/>
  <c r="L24" i="1" s="1"/>
  <c r="AH19" i="1"/>
  <c r="L19" i="1" s="1"/>
  <c r="AH14" i="1"/>
  <c r="AH50" i="1"/>
  <c r="AH55" i="1"/>
  <c r="L47" i="1"/>
  <c r="AH47" i="1"/>
  <c r="AH39" i="1"/>
  <c r="AH31" i="1"/>
  <c r="AH23" i="1"/>
  <c r="AH18" i="1"/>
  <c r="L18" i="1" s="1"/>
  <c r="AH34" i="1"/>
  <c r="AH41" i="1"/>
  <c r="AH22" i="1"/>
  <c r="AH17" i="1"/>
  <c r="L17" i="1" s="1"/>
  <c r="AH26" i="1"/>
  <c r="AH20" i="1"/>
  <c r="AH54" i="1"/>
  <c r="L38" i="1"/>
  <c r="AH38" i="1"/>
  <c r="AH53" i="1"/>
  <c r="AH45" i="1"/>
  <c r="AH37" i="1"/>
  <c r="AH29" i="1"/>
  <c r="L29" i="1" s="1"/>
  <c r="AH21" i="1"/>
  <c r="L21" i="1" s="1"/>
  <c r="AH16" i="1"/>
  <c r="L16" i="1" s="1"/>
  <c r="AH33" i="1"/>
  <c r="AH52" i="1"/>
  <c r="AH44" i="1"/>
  <c r="AH36" i="1"/>
  <c r="AH28" i="1"/>
  <c r="L28" i="1" s="1"/>
  <c r="AH15" i="1"/>
  <c r="L15" i="1" s="1"/>
  <c r="AH42" i="1"/>
  <c r="AH25" i="1"/>
  <c r="AH46" i="1"/>
  <c r="L51" i="1"/>
  <c r="AH51" i="1"/>
  <c r="AH43" i="1"/>
  <c r="AH35" i="1"/>
  <c r="AH27" i="1"/>
  <c r="AH13" i="1"/>
  <c r="AH11" i="1"/>
  <c r="L30" i="1"/>
  <c r="L37" i="1"/>
  <c r="L55" i="1"/>
  <c r="L31" i="1"/>
  <c r="L27" i="1"/>
  <c r="L44" i="1"/>
  <c r="L36" i="1"/>
  <c r="L34" i="1"/>
  <c r="L42" i="1"/>
  <c r="L50" i="1"/>
  <c r="L41" i="1"/>
  <c r="L40" i="1"/>
  <c r="L56" i="1"/>
  <c r="L49" i="1"/>
  <c r="L33" i="1"/>
  <c r="L39" i="1"/>
  <c r="L53" i="1"/>
  <c r="L52" i="1"/>
  <c r="L46" i="1"/>
  <c r="L45" i="1"/>
  <c r="L54" i="1"/>
  <c r="L32" i="1"/>
  <c r="L20" i="1"/>
  <c r="L35" i="1"/>
  <c r="L43" i="1"/>
  <c r="L10" i="1" l="1"/>
  <c r="L26" i="1"/>
  <c r="L14" i="1"/>
  <c r="L12" i="1"/>
  <c r="L13" i="1"/>
  <c r="L11" i="1"/>
  <c r="L23" i="1"/>
  <c r="L57" i="1" l="1"/>
  <c r="L58" i="1" l="1"/>
  <c r="L59" i="1" s="1"/>
</calcChain>
</file>

<file path=xl/sharedStrings.xml><?xml version="1.0" encoding="utf-8"?>
<sst xmlns="http://schemas.openxmlformats.org/spreadsheetml/2006/main" count="398" uniqueCount="243">
  <si>
    <t>684</t>
  </si>
  <si>
    <t/>
  </si>
  <si>
    <t>Cut List!$C$10:$C$395</t>
  </si>
  <si>
    <t>268</t>
  </si>
  <si>
    <t>Finishes!$B$3</t>
  </si>
  <si>
    <t>Cut List!$B$10:$B$395</t>
  </si>
  <si>
    <t>664</t>
  </si>
  <si>
    <t>Finishes!$C$3</t>
  </si>
  <si>
    <t>Cut List!$A$10:$A$395</t>
  </si>
  <si>
    <t>YES</t>
  </si>
  <si>
    <t>812</t>
  </si>
  <si>
    <t>5</t>
  </si>
  <si>
    <t>NO</t>
  </si>
  <si>
    <t>1</t>
  </si>
  <si>
    <t>Company:</t>
  </si>
  <si>
    <t>PO#:</t>
  </si>
  <si>
    <t>Contact:</t>
  </si>
  <si>
    <t>Door Style:</t>
  </si>
  <si>
    <t>Shaker 45</t>
  </si>
  <si>
    <t>Address:</t>
  </si>
  <si>
    <t>Manufacturer:</t>
  </si>
  <si>
    <t>Tafisa</t>
  </si>
  <si>
    <t>Amount to deduct for glass panel</t>
  </si>
  <si>
    <t>Center Rail Deduct</t>
  </si>
  <si>
    <t>Inches</t>
  </si>
  <si>
    <t>MM</t>
  </si>
  <si>
    <t>Glass Multiplier</t>
  </si>
  <si>
    <t>Phone:</t>
  </si>
  <si>
    <t>Inch or MM:</t>
  </si>
  <si>
    <t>Email:</t>
  </si>
  <si>
    <t>Quote/Order:</t>
  </si>
  <si>
    <t>Center Panel Deduction</t>
  </si>
  <si>
    <t>Glass</t>
  </si>
  <si>
    <t>Glass Type</t>
  </si>
  <si>
    <t>Glass SqFt $</t>
  </si>
  <si>
    <t>3/4 Slab Panel</t>
  </si>
  <si>
    <t>Line #</t>
  </si>
  <si>
    <t>Item</t>
  </si>
  <si>
    <t>Qty</t>
  </si>
  <si>
    <t>Width</t>
  </si>
  <si>
    <t>Height</t>
  </si>
  <si>
    <t>Glass?</t>
  </si>
  <si>
    <t>Number of Lites              (If more than 1)</t>
  </si>
  <si>
    <t>Customer Note</t>
  </si>
  <si>
    <t>Sq Ft Each</t>
  </si>
  <si>
    <t>Price Each</t>
  </si>
  <si>
    <t>Subtotal</t>
  </si>
  <si>
    <t>Rails</t>
  </si>
  <si>
    <t>Stiles</t>
  </si>
  <si>
    <t>Center Panel Width</t>
  </si>
  <si>
    <t>Center Panel Height</t>
  </si>
  <si>
    <t>Qty of Center Panels</t>
  </si>
  <si>
    <t>Qty of Center Rails</t>
  </si>
  <si>
    <t>Center Rail Size</t>
  </si>
  <si>
    <t>Slab Qty</t>
  </si>
  <si>
    <t>Slab Panel Width</t>
  </si>
  <si>
    <t>Slab Panel Height</t>
  </si>
  <si>
    <t>min width</t>
  </si>
  <si>
    <t>max width</t>
  </si>
  <si>
    <t>min height</t>
  </si>
  <si>
    <t>max height</t>
  </si>
  <si>
    <t>WORKS for Inches</t>
  </si>
  <si>
    <t>IF(B10=Item!A$8,(AND(D10&gt;=3,D10&lt;=48)),(AND(D10&gt;=6,D10&lt;=48)))</t>
  </si>
  <si>
    <t>IF(AND(I$5="MM",B10=Item!A$8),(AND(D10&gt;=76.2,D10&lt;=1219.2)),IF(I$5="MM",(AND(D10&gt;=152.4,D10&lt;=1219.2)),IF(AND(I$5="INCHES",B10=Item!A$8),(AND(D10&gt;=3,D10&lt;=48)),(AND(D10&gt;=6,D10&lt;=48))))</t>
  </si>
  <si>
    <t>IF(AND(I$5="MM",B10=Item!A$8),(AND(D10&gt;=76.2,D10&lt;=1219.2)),(AND(D10&gt;=152.4,D10&lt;=1219.2))</t>
  </si>
  <si>
    <t>Sub-Total</t>
  </si>
  <si>
    <t>Taxable</t>
  </si>
  <si>
    <t>Tax</t>
  </si>
  <si>
    <t>Total</t>
  </si>
  <si>
    <t>Seamed</t>
  </si>
  <si>
    <t>The Chameleon</t>
  </si>
  <si>
    <t>Free Spirit</t>
  </si>
  <si>
    <t>First Class</t>
  </si>
  <si>
    <t>Rhapsody</t>
  </si>
  <si>
    <t>Takase Teak</t>
  </si>
  <si>
    <t>Grey Echo</t>
  </si>
  <si>
    <t>Morning Fog</t>
  </si>
  <si>
    <t>Door Style</t>
  </si>
  <si>
    <t>Size Parameters</t>
  </si>
  <si>
    <t>Width Max</t>
  </si>
  <si>
    <t>Width Min</t>
  </si>
  <si>
    <t>Height Max</t>
  </si>
  <si>
    <t>Height Min</t>
  </si>
  <si>
    <t>Drawer Front</t>
  </si>
  <si>
    <t>Shaker</t>
  </si>
  <si>
    <t>Slab</t>
  </si>
  <si>
    <t>Center Panel Deduct Inches</t>
  </si>
  <si>
    <t>Center Panel Deduct MM</t>
  </si>
  <si>
    <t>Molding Length</t>
  </si>
  <si>
    <t>Door Style Available</t>
  </si>
  <si>
    <t>Manufacturer</t>
  </si>
  <si>
    <t>Other</t>
  </si>
  <si>
    <t>Latitude East</t>
  </si>
  <si>
    <t>Latitued North</t>
  </si>
  <si>
    <t>Latitude West</t>
  </si>
  <si>
    <t>Southwester</t>
  </si>
  <si>
    <t>River Rock</t>
  </si>
  <si>
    <t>Summer Breeze</t>
  </si>
  <si>
    <t>Spring Blossom</t>
  </si>
  <si>
    <t>Cherry Blossom</t>
  </si>
  <si>
    <t>White Chocolate</t>
  </si>
  <si>
    <t>Black</t>
  </si>
  <si>
    <t>White</t>
  </si>
  <si>
    <t>Casting at First Light</t>
  </si>
  <si>
    <t>Weekend Getaway</t>
  </si>
  <si>
    <t>Summertime Blues</t>
  </si>
  <si>
    <t>Sunset Cruise</t>
  </si>
  <si>
    <t>After Hours</t>
  </si>
  <si>
    <t>Shaker 45E</t>
  </si>
  <si>
    <t>Finish</t>
  </si>
  <si>
    <t>Door sq ft price</t>
  </si>
  <si>
    <t>Measurements</t>
  </si>
  <si>
    <t>Product</t>
  </si>
  <si>
    <t>Drawer Front Per Piece add</t>
  </si>
  <si>
    <t>Hinge Bore $ per hole</t>
  </si>
  <si>
    <t>sqft price</t>
  </si>
  <si>
    <t>sqft minimum</t>
  </si>
  <si>
    <t>Rugby SQ FT Price</t>
  </si>
  <si>
    <t>Std SQFT Price</t>
  </si>
  <si>
    <t>Clear</t>
  </si>
  <si>
    <t>Frosted</t>
  </si>
  <si>
    <t>Mirror</t>
  </si>
  <si>
    <t>Drawer Front Slab</t>
  </si>
  <si>
    <t>Door Glass Types</t>
  </si>
  <si>
    <t>Loose Glass Types</t>
  </si>
  <si>
    <t>Glass Thickness</t>
  </si>
  <si>
    <t>1/8"</t>
  </si>
  <si>
    <t>3/16"</t>
  </si>
  <si>
    <t>1/4"</t>
  </si>
  <si>
    <t>3/8"</t>
  </si>
  <si>
    <t>1/2"</t>
  </si>
  <si>
    <t xml:space="preserve">Price per Lite </t>
  </si>
  <si>
    <t>cost per lite</t>
  </si>
  <si>
    <t>Sq Ft Price</t>
  </si>
  <si>
    <t>Annealed</t>
  </si>
  <si>
    <t>Tempered</t>
  </si>
  <si>
    <t>Glass Edge treatment</t>
  </si>
  <si>
    <t>S</t>
  </si>
  <si>
    <t>P</t>
  </si>
  <si>
    <t>Polish</t>
  </si>
  <si>
    <t>B3/8</t>
  </si>
  <si>
    <t>3/8" Bevel</t>
  </si>
  <si>
    <t>B1/2</t>
  </si>
  <si>
    <t>1/2" Bevel</t>
  </si>
  <si>
    <t>B3/4</t>
  </si>
  <si>
    <t>3/4" Bevel</t>
  </si>
  <si>
    <t>B1</t>
  </si>
  <si>
    <t>1" Bevel</t>
  </si>
  <si>
    <t>B1 1/4</t>
  </si>
  <si>
    <t>1 1/4" Bevel</t>
  </si>
  <si>
    <t>B1 1/2</t>
  </si>
  <si>
    <t>1 1/2" Bevel</t>
  </si>
  <si>
    <t>Clear 1/8"</t>
  </si>
  <si>
    <t>Clear 3/16"</t>
  </si>
  <si>
    <t>Clear 1/4"</t>
  </si>
  <si>
    <t>Clear 3/8"</t>
  </si>
  <si>
    <t>Clear 1/2"</t>
  </si>
  <si>
    <t>Clear 5/8"</t>
  </si>
  <si>
    <t>5/8"</t>
  </si>
  <si>
    <t>Clear 3/4"</t>
  </si>
  <si>
    <t>3/4"</t>
  </si>
  <si>
    <t>Frosted 1/8"</t>
  </si>
  <si>
    <t>Frosted 1/4"</t>
  </si>
  <si>
    <t>Frosted 3/8"</t>
  </si>
  <si>
    <t>Frosted 1/2"</t>
  </si>
  <si>
    <t>Mirror 1/8"</t>
  </si>
  <si>
    <t>Mirror 3/16"</t>
  </si>
  <si>
    <t>Mirror 1/4"</t>
  </si>
  <si>
    <t>Bronze 1/8"</t>
  </si>
  <si>
    <t>Bronze 3/16"</t>
  </si>
  <si>
    <t>Bronze 1/4"</t>
  </si>
  <si>
    <t>Gray 1/8"</t>
  </si>
  <si>
    <t>Gray 3/16"</t>
  </si>
  <si>
    <t>Gray 1/4"</t>
  </si>
  <si>
    <t>Starfire 3/16"</t>
  </si>
  <si>
    <t>Starfire 1/4"</t>
  </si>
  <si>
    <t>Starfire 3/8"</t>
  </si>
  <si>
    <t>Starfire 1/2"</t>
  </si>
  <si>
    <t>Starfire 5/8"</t>
  </si>
  <si>
    <t>Starfire 3/4"</t>
  </si>
  <si>
    <t>Glass Size Parameters</t>
  </si>
  <si>
    <t>Job name</t>
  </si>
  <si>
    <t>COLOR:</t>
  </si>
  <si>
    <t>Olon</t>
  </si>
  <si>
    <t>Stevenswood</t>
  </si>
  <si>
    <t>Quote</t>
  </si>
  <si>
    <t>N</t>
  </si>
  <si>
    <t>Acacia Honey(T)</t>
  </si>
  <si>
    <t>After Hours(O)</t>
  </si>
  <si>
    <t>Black(O)</t>
  </si>
  <si>
    <t>Black Brava(O)</t>
  </si>
  <si>
    <t>Carte Blanche(T)</t>
  </si>
  <si>
    <t>Casting at First Light(O)</t>
  </si>
  <si>
    <t>Cherry Blossom(O)</t>
  </si>
  <si>
    <t>Chocolate Pear Tree(O)</t>
  </si>
  <si>
    <t>Dark Chocolate(O)</t>
  </si>
  <si>
    <t>Fashionista(T)</t>
  </si>
  <si>
    <t>First Class(T)</t>
  </si>
  <si>
    <t>Free Spirit(T)</t>
  </si>
  <si>
    <t>Kiss Curl(T)</t>
  </si>
  <si>
    <t>Latitude East(O)</t>
  </si>
  <si>
    <t>Latitude West(O)</t>
  </si>
  <si>
    <t>Latitued North(O)</t>
  </si>
  <si>
    <t>Natural Affinity(T)</t>
  </si>
  <si>
    <t>Mastermind(T)</t>
  </si>
  <si>
    <t>Love at First Sight(T)</t>
  </si>
  <si>
    <t>Rhapsody(T)</t>
  </si>
  <si>
    <t>River Rock(O)</t>
  </si>
  <si>
    <t>Salt of the Earth(T)</t>
  </si>
  <si>
    <t>Sheer Beauty(T)</t>
  </si>
  <si>
    <t>Southwester(O)</t>
  </si>
  <si>
    <t>Spring Blossom(O)</t>
  </si>
  <si>
    <t>Stargazer(O)</t>
  </si>
  <si>
    <t>Sugar on Ice(O)</t>
  </si>
  <si>
    <t>Sugar Rush(T)</t>
  </si>
  <si>
    <t>Summer Breeze(O)</t>
  </si>
  <si>
    <t>Summer Drops(O)</t>
  </si>
  <si>
    <t>Summertime Blues(O)</t>
  </si>
  <si>
    <t>Sunday Brunch(O)</t>
  </si>
  <si>
    <t>Sunset Cruise(O)</t>
  </si>
  <si>
    <t>Sweet &amp; Savor(T)</t>
  </si>
  <si>
    <t>Tete A Tete(O)</t>
  </si>
  <si>
    <t>The Chameleon(T)</t>
  </si>
  <si>
    <t>Weekend Getaway(O)</t>
  </si>
  <si>
    <t>White(O)</t>
  </si>
  <si>
    <t>White Brava(O)</t>
  </si>
  <si>
    <t>White Chocolate(O)</t>
  </si>
  <si>
    <t>Takase Teak(O)</t>
  </si>
  <si>
    <t>Morning Fog(O)</t>
  </si>
  <si>
    <t>Grey Echo(O)</t>
  </si>
  <si>
    <t>1/4" $</t>
  </si>
  <si>
    <t>Molding $</t>
  </si>
  <si>
    <t>Door</t>
  </si>
  <si>
    <t>mm</t>
  </si>
  <si>
    <t>inch</t>
  </si>
  <si>
    <t>Center Rail length Size Deductions:</t>
  </si>
  <si>
    <t>center rail deduct</t>
  </si>
  <si>
    <t>Center Panel Deduct</t>
  </si>
  <si>
    <t>In</t>
  </si>
  <si>
    <t>center rail deduct for panels</t>
  </si>
  <si>
    <t>Qty of center rail per door</t>
  </si>
  <si>
    <t>Qty of Lites per door</t>
  </si>
  <si>
    <t>Sq Ft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</si>
</sst>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;\-0;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3" xfId="0" applyBorder="1" applyAlignment="1" applyProtection="1">
      <alignment horizontal="center" vertical="center"/>
      <protection hidden="1"/>
    </xf>
    <xf numFmtId="44" fontId="0" fillId="0" borderId="0" xfId="1" applyFont="1"/>
    <xf numFmtId="49" fontId="0" fillId="0" borderId="0" xfId="0" applyNumberFormat="1"/>
    <xf numFmtId="2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right"/>
    </xf>
    <xf numFmtId="12" fontId="1" fillId="0" borderId="7" xfId="0" applyNumberFormat="1" applyFont="1" applyBorder="1" applyAlignment="1" applyProtection="1">
      <alignment horizontal="center" vertical="center"/>
      <protection hidden="1"/>
    </xf>
    <xf numFmtId="12" fontId="1" fillId="0" borderId="8" xfId="0" applyNumberFormat="1" applyFont="1" applyBorder="1" applyAlignment="1" applyProtection="1">
      <alignment horizontal="center" vertical="center"/>
      <protection hidden="1"/>
    </xf>
    <xf numFmtId="0" fontId="0" fillId="2" borderId="0" xfId="0" applyFill="1"/>
    <xf numFmtId="0" fontId="0" fillId="0" borderId="0" xfId="0" applyProtection="1">
      <protection hidden="1"/>
    </xf>
    <xf numFmtId="0" fontId="0" fillId="0" borderId="0" xfId="0" applyAlignment="1" applyProtection="1">
      <alignment horizontal="right"/>
      <protection hidden="1"/>
    </xf>
    <xf numFmtId="0" fontId="0" fillId="0" borderId="15" xfId="0" applyBorder="1" applyAlignment="1" applyProtection="1">
      <alignment horizontal="left"/>
      <protection hidden="1"/>
    </xf>
    <xf numFmtId="0" fontId="5" fillId="4" borderId="9" xfId="0" applyFont="1" applyFill="1" applyBorder="1" applyProtection="1">
      <protection hidden="1"/>
    </xf>
    <xf numFmtId="44" fontId="0" fillId="0" borderId="0" xfId="1" applyFont="1" applyProtection="1">
      <protection hidden="1"/>
    </xf>
    <xf numFmtId="0" fontId="0" fillId="0" borderId="17" xfId="0" applyBorder="1" applyAlignment="1" applyProtection="1">
      <alignment horizontal="left"/>
      <protection hidden="1"/>
    </xf>
    <xf numFmtId="0" fontId="0" fillId="0" borderId="21" xfId="0" applyBorder="1" applyProtection="1">
      <protection hidden="1"/>
    </xf>
    <xf numFmtId="0" fontId="5" fillId="0" borderId="0" xfId="0" applyFont="1" applyProtection="1">
      <protection hidden="1"/>
    </xf>
    <xf numFmtId="0" fontId="0" fillId="0" borderId="16" xfId="0" applyBorder="1" applyAlignment="1" applyProtection="1">
      <alignment horizontal="left"/>
      <protection hidden="1"/>
    </xf>
    <xf numFmtId="0" fontId="0" fillId="0" borderId="27" xfId="0" applyBorder="1" applyProtection="1">
      <protection hidden="1"/>
    </xf>
    <xf numFmtId="0" fontId="0" fillId="0" borderId="28" xfId="0" applyBorder="1" applyProtection="1">
      <protection hidden="1"/>
    </xf>
    <xf numFmtId="0" fontId="0" fillId="3" borderId="0" xfId="0" applyFill="1" applyProtection="1">
      <protection hidden="1"/>
    </xf>
    <xf numFmtId="12" fontId="0" fillId="3" borderId="0" xfId="0" applyNumberFormat="1" applyFill="1" applyProtection="1">
      <protection hidden="1"/>
    </xf>
    <xf numFmtId="44" fontId="0" fillId="3" borderId="0" xfId="1" applyFont="1" applyFill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44" fontId="2" fillId="0" borderId="12" xfId="1" applyFont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13" fontId="0" fillId="0" borderId="0" xfId="0" applyNumberFormat="1" applyAlignment="1" applyProtection="1">
      <alignment horizontal="right"/>
      <protection hidden="1"/>
    </xf>
    <xf numFmtId="12" fontId="0" fillId="0" borderId="0" xfId="0" applyNumberFormat="1" applyProtection="1">
      <protection hidden="1"/>
    </xf>
    <xf numFmtId="44" fontId="0" fillId="0" borderId="9" xfId="1" applyFont="1" applyBorder="1" applyProtection="1">
      <protection hidden="1"/>
    </xf>
    <xf numFmtId="44" fontId="0" fillId="0" borderId="9" xfId="1" applyFont="1" applyFill="1" applyBorder="1" applyProtection="1">
      <protection hidden="1"/>
    </xf>
    <xf numFmtId="0" fontId="0" fillId="0" borderId="14" xfId="0" applyBorder="1" applyAlignment="1" applyProtection="1">
      <alignment horizontal="center" vertical="center"/>
      <protection locked="0" hidden="1"/>
    </xf>
    <xf numFmtId="0" fontId="0" fillId="0" borderId="6" xfId="0" applyBorder="1" applyAlignment="1" applyProtection="1">
      <alignment horizontal="center" vertical="center"/>
      <protection locked="0" hidden="1"/>
    </xf>
    <xf numFmtId="13" fontId="2" fillId="0" borderId="9" xfId="0" applyNumberFormat="1" applyFont="1" applyBorder="1" applyAlignment="1" applyProtection="1">
      <alignment horizontal="center" vertical="center"/>
      <protection locked="0" hidden="1"/>
    </xf>
    <xf numFmtId="13" fontId="2" fillId="0" borderId="13" xfId="0" applyNumberFormat="1" applyFont="1" applyBorder="1" applyAlignment="1" applyProtection="1">
      <alignment horizontal="center" vertical="center"/>
      <protection locked="0" hidden="1"/>
    </xf>
    <xf numFmtId="0" fontId="0" fillId="0" borderId="0" xfId="0" applyProtection="1">
      <protection locked="0" hidden="1"/>
    </xf>
    <xf numFmtId="0" fontId="5" fillId="4" borderId="9" xfId="0" applyFont="1" applyFill="1" applyBorder="1" applyProtection="1">
      <protection locked="0" hidden="1"/>
    </xf>
    <xf numFmtId="0" fontId="0" fillId="4" borderId="0" xfId="0" applyFill="1"/>
    <xf numFmtId="44" fontId="0" fillId="0" borderId="0" xfId="1" applyFont="1" applyAlignment="1" applyProtection="1">
      <alignment horizontal="right"/>
      <protection hidden="1"/>
    </xf>
    <xf numFmtId="44" fontId="0" fillId="0" borderId="0" xfId="1" applyFont="1" applyAlignment="1" applyProtection="1">
      <alignment horizontal="center"/>
      <protection hidden="1"/>
    </xf>
    <xf numFmtId="0" fontId="0" fillId="0" borderId="0" xfId="1" applyNumberFormat="1" applyFont="1" applyAlignment="1" applyProtection="1">
      <alignment horizontal="right"/>
      <protection hidden="1"/>
    </xf>
    <xf numFmtId="0" fontId="5" fillId="0" borderId="9" xfId="0" applyFont="1" applyBorder="1" applyProtection="1">
      <protection locked="0" hidden="1"/>
    </xf>
    <xf numFmtId="0" fontId="0" fillId="2" borderId="31" xfId="0" applyFill="1" applyBorder="1" applyProtection="1">
      <protection hidden="1"/>
    </xf>
    <xf numFmtId="0" fontId="0" fillId="0" borderId="0" xfId="0" applyAlignment="1" applyProtection="1">
      <alignment wrapText="1"/>
      <protection hidden="1"/>
    </xf>
    <xf numFmtId="13" fontId="0" fillId="0" borderId="0" xfId="0" applyNumberFormat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" fillId="0" borderId="0" xfId="0" applyFont="1" applyProtection="1">
      <protection hidden="1"/>
    </xf>
    <xf numFmtId="16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4" borderId="0" xfId="0" applyFill="1" applyAlignment="1">
      <alignment horizontal="right"/>
    </xf>
    <xf numFmtId="0" fontId="0" fillId="0" borderId="1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5" xfId="0" applyBorder="1" applyProtection="1">
      <protection hidden="1"/>
    </xf>
    <xf numFmtId="0" fontId="9" fillId="0" borderId="0" xfId="0" applyFont="1" applyAlignment="1" applyProtection="1">
      <alignment horizontal="center" wrapText="1"/>
      <protection hidden="1"/>
    </xf>
    <xf numFmtId="0" fontId="5" fillId="0" borderId="9" xfId="0" applyFont="1" applyBorder="1" applyAlignment="1" applyProtection="1">
      <alignment horizontal="left"/>
      <protection locked="0" hidden="1"/>
    </xf>
    <xf numFmtId="0" fontId="5" fillId="4" borderId="9" xfId="0" applyFont="1" applyFill="1" applyBorder="1" applyAlignment="1" applyProtection="1">
      <alignment horizontal="right"/>
      <protection hidden="1"/>
    </xf>
    <xf numFmtId="0" fontId="5" fillId="0" borderId="13" xfId="0" applyFont="1" applyBorder="1" applyAlignment="1" applyProtection="1">
      <alignment horizontal="left"/>
      <protection locked="0" hidden="1"/>
    </xf>
    <xf numFmtId="0" fontId="5" fillId="0" borderId="26" xfId="0" applyFont="1" applyBorder="1" applyAlignment="1" applyProtection="1">
      <alignment horizontal="left"/>
      <protection locked="0" hidden="1"/>
    </xf>
    <xf numFmtId="0" fontId="5" fillId="0" borderId="18" xfId="0" applyFont="1" applyBorder="1" applyAlignment="1" applyProtection="1">
      <alignment horizontal="left"/>
      <protection locked="0"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1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44" fontId="1" fillId="0" borderId="10" xfId="1" applyFont="1" applyBorder="1" applyAlignment="1" applyProtection="1">
      <alignment horizontal="center" vertical="center"/>
      <protection hidden="1"/>
    </xf>
    <xf numFmtId="44" fontId="1" fillId="0" borderId="11" xfId="1" applyFont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5" xfId="0" applyFont="1" applyBorder="1" applyAlignment="1" applyProtection="1">
      <alignment horizontal="center" vertical="center"/>
      <protection hidden="1"/>
    </xf>
    <xf numFmtId="0" fontId="1" fillId="0" borderId="16" xfId="0" applyFont="1" applyBorder="1" applyAlignment="1" applyProtection="1">
      <alignment horizontal="center" vertical="center"/>
      <protection hidden="1"/>
    </xf>
    <xf numFmtId="0" fontId="5" fillId="4" borderId="22" xfId="0" applyFont="1" applyFill="1" applyBorder="1" applyAlignment="1" applyProtection="1">
      <alignment horizontal="left"/>
      <protection hidden="1"/>
    </xf>
    <xf numFmtId="0" fontId="5" fillId="4" borderId="23" xfId="0" applyFont="1" applyFill="1" applyBorder="1" applyAlignment="1" applyProtection="1">
      <alignment horizontal="left"/>
      <protection hidden="1"/>
    </xf>
    <xf numFmtId="0" fontId="5" fillId="4" borderId="19" xfId="0" applyFont="1" applyFill="1" applyBorder="1" applyAlignment="1" applyProtection="1">
      <alignment horizontal="left"/>
      <protection hidden="1"/>
    </xf>
    <xf numFmtId="0" fontId="5" fillId="4" borderId="20" xfId="0" applyFont="1" applyFill="1" applyBorder="1" applyAlignment="1" applyProtection="1">
      <alignment horizontal="left"/>
      <protection hidden="1"/>
    </xf>
    <xf numFmtId="0" fontId="5" fillId="4" borderId="14" xfId="0" applyFont="1" applyFill="1" applyBorder="1" applyAlignment="1" applyProtection="1">
      <alignment horizontal="left"/>
      <protection hidden="1"/>
    </xf>
    <xf numFmtId="0" fontId="5" fillId="4" borderId="18" xfId="0" applyFont="1" applyFill="1" applyBorder="1" applyAlignment="1" applyProtection="1">
      <alignment horizontal="left"/>
      <protection hidden="1"/>
    </xf>
    <xf numFmtId="0" fontId="5" fillId="4" borderId="6" xfId="0" applyFont="1" applyFill="1" applyBorder="1" applyAlignment="1" applyProtection="1">
      <alignment horizontal="left"/>
      <protection hidden="1"/>
    </xf>
    <xf numFmtId="0" fontId="5" fillId="4" borderId="9" xfId="0" applyFont="1" applyFill="1" applyBorder="1" applyAlignment="1" applyProtection="1">
      <alignment horizontal="left"/>
      <protection hidden="1"/>
    </xf>
    <xf numFmtId="0" fontId="5" fillId="0" borderId="31" xfId="0" applyFont="1" applyBorder="1" applyAlignment="1" applyProtection="1">
      <alignment horizontal="center"/>
      <protection locked="0" hidden="1"/>
    </xf>
    <xf numFmtId="0" fontId="5" fillId="0" borderId="37" xfId="0" applyFont="1" applyBorder="1" applyAlignment="1" applyProtection="1">
      <alignment horizontal="center"/>
      <protection locked="0" hidden="1"/>
    </xf>
    <xf numFmtId="0" fontId="5" fillId="0" borderId="32" xfId="0" applyFont="1" applyBorder="1" applyAlignment="1" applyProtection="1">
      <alignment horizontal="center"/>
      <protection locked="0" hidden="1"/>
    </xf>
    <xf numFmtId="0" fontId="5" fillId="0" borderId="13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locked="0" hidden="1"/>
    </xf>
    <xf numFmtId="0" fontId="5" fillId="0" borderId="18" xfId="0" applyFont="1" applyBorder="1" applyAlignment="1" applyProtection="1">
      <alignment horizontal="center"/>
      <protection locked="0" hidden="1"/>
    </xf>
    <xf numFmtId="0" fontId="6" fillId="0" borderId="27" xfId="2" applyBorder="1" applyAlignment="1" applyProtection="1">
      <alignment horizontal="center"/>
      <protection locked="0" hidden="1"/>
    </xf>
    <xf numFmtId="0" fontId="6" fillId="0" borderId="33" xfId="2" applyBorder="1" applyAlignment="1" applyProtection="1">
      <alignment horizontal="center"/>
      <protection locked="0" hidden="1"/>
    </xf>
    <xf numFmtId="0" fontId="6" fillId="0" borderId="28" xfId="2" applyBorder="1" applyAlignment="1" applyProtection="1">
      <alignment horizontal="center"/>
      <protection locked="0" hidden="1"/>
    </xf>
    <xf numFmtId="0" fontId="5" fillId="0" borderId="9" xfId="0" applyFont="1" applyBorder="1" applyAlignment="1" applyProtection="1">
      <alignment horizontal="left"/>
      <protection hidden="1"/>
    </xf>
  </cellXfs>
  <cellStyles count="3">
    <cellStyle name="Currency" xfId="1" builtinId="4"/>
    <cellStyle name="Hyperlink" xfId="2" builtinId="8"/>
    <cellStyle name="Normal" xfId="0" builtinId="0"/>
  </cellStyles>
  <dxfs count="2">
    <dxf>
      <fill>
        <patternFill>
          <bgColor rgb="FFFF0000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824BB-52FB-44CD-98D0-8F455F114964}">
  <sheetPr codeName="Sheet1"/>
  <dimension ref="A1:D33"/>
  <sheetViews>
    <sheetView workbookViewId="0"/>
  </sheetViews>
  <sheetFormatPr baseColWidth="10" defaultColWidth="8.83203125" defaultRowHeight="15" x14ac:dyDescent="0.2"/>
  <sheetData>
    <row r="1" spans="1:4" x14ac:dyDescent="0.2">
      <c r="D1" s="3" t="s">
        <v>0</v>
      </c>
    </row>
    <row r="2" spans="1:4" x14ac:dyDescent="0.2">
      <c r="A2" s="3" t="s">
        <v>1</v>
      </c>
      <c r="B2" s="3" t="s">
        <v>2</v>
      </c>
      <c r="C2" s="3" t="s">
        <v>1</v>
      </c>
      <c r="D2" s="3" t="s">
        <v>3</v>
      </c>
    </row>
    <row r="3" spans="1:4" x14ac:dyDescent="0.2">
      <c r="A3" s="3" t="s">
        <v>4</v>
      </c>
      <c r="B3" s="3" t="s">
        <v>5</v>
      </c>
      <c r="C3" s="3" t="s">
        <v>1</v>
      </c>
      <c r="D3" s="3" t="s">
        <v>6</v>
      </c>
    </row>
    <row r="4" spans="1:4" x14ac:dyDescent="0.2">
      <c r="A4" s="3" t="s">
        <v>7</v>
      </c>
      <c r="B4" s="3" t="s">
        <v>8</v>
      </c>
      <c r="C4" s="3" t="s">
        <v>9</v>
      </c>
      <c r="D4" s="3" t="s">
        <v>10</v>
      </c>
    </row>
    <row r="5" spans="1:4" x14ac:dyDescent="0.2">
      <c r="A5" s="3" t="s">
        <v>1</v>
      </c>
      <c r="B5" s="3" t="s">
        <v>1</v>
      </c>
      <c r="C5" s="3" t="s">
        <v>9</v>
      </c>
    </row>
    <row r="6" spans="1:4" x14ac:dyDescent="0.2">
      <c r="A6" s="3" t="s">
        <v>1</v>
      </c>
      <c r="B6" s="3" t="s">
        <v>1</v>
      </c>
      <c r="C6" s="3" t="s">
        <v>1</v>
      </c>
    </row>
    <row r="7" spans="1:4" x14ac:dyDescent="0.2">
      <c r="A7" s="3" t="s">
        <v>1</v>
      </c>
      <c r="B7" s="3" t="s">
        <v>1</v>
      </c>
      <c r="C7" s="3" t="s">
        <v>1</v>
      </c>
    </row>
    <row r="8" spans="1:4" x14ac:dyDescent="0.2">
      <c r="A8" s="3" t="s">
        <v>1</v>
      </c>
      <c r="B8" s="3" t="s">
        <v>1</v>
      </c>
      <c r="C8" s="3" t="s">
        <v>9</v>
      </c>
    </row>
    <row r="9" spans="1:4" x14ac:dyDescent="0.2">
      <c r="A9" s="3" t="s">
        <v>1</v>
      </c>
      <c r="C9" s="3" t="s">
        <v>9</v>
      </c>
    </row>
    <row r="10" spans="1:4" x14ac:dyDescent="0.2">
      <c r="A10" s="3" t="s">
        <v>1</v>
      </c>
      <c r="C10" s="3" t="s">
        <v>9</v>
      </c>
    </row>
    <row r="11" spans="1:4" x14ac:dyDescent="0.2">
      <c r="C11" s="3" t="s">
        <v>11</v>
      </c>
    </row>
    <row r="12" spans="1:4" x14ac:dyDescent="0.2">
      <c r="A12" s="3" t="s">
        <v>1</v>
      </c>
      <c r="C12" s="3" t="s">
        <v>9</v>
      </c>
    </row>
    <row r="13" spans="1:4" x14ac:dyDescent="0.2">
      <c r="A13" s="3" t="s">
        <v>1</v>
      </c>
      <c r="C13" s="3" t="s">
        <v>9</v>
      </c>
    </row>
    <row r="14" spans="1:4" x14ac:dyDescent="0.2">
      <c r="C14" s="3" t="s">
        <v>9</v>
      </c>
    </row>
    <row r="15" spans="1:4" x14ac:dyDescent="0.2">
      <c r="C15" s="3" t="s">
        <v>9</v>
      </c>
    </row>
    <row r="16" spans="1:4" x14ac:dyDescent="0.2">
      <c r="C16" s="3" t="s">
        <v>12</v>
      </c>
    </row>
    <row r="17" spans="3:3" x14ac:dyDescent="0.2">
      <c r="C17" s="3" t="s">
        <v>1</v>
      </c>
    </row>
    <row r="18" spans="3:3" x14ac:dyDescent="0.2">
      <c r="C18" s="3" t="s">
        <v>12</v>
      </c>
    </row>
    <row r="19" spans="3:3" x14ac:dyDescent="0.2">
      <c r="C19" s="3" t="s">
        <v>12</v>
      </c>
    </row>
    <row r="20" spans="3:3" x14ac:dyDescent="0.2">
      <c r="C20" s="3" t="s">
        <v>12</v>
      </c>
    </row>
    <row r="21" spans="3:3" x14ac:dyDescent="0.2">
      <c r="C21" s="3" t="s">
        <v>9</v>
      </c>
    </row>
    <row r="22" spans="3:3" x14ac:dyDescent="0.2">
      <c r="C22" s="3" t="s">
        <v>1</v>
      </c>
    </row>
    <row r="23" spans="3:3" x14ac:dyDescent="0.2">
      <c r="C23" s="3" t="s">
        <v>12</v>
      </c>
    </row>
    <row r="24" spans="3:3" x14ac:dyDescent="0.2">
      <c r="C24" s="3" t="s">
        <v>12</v>
      </c>
    </row>
    <row r="25" spans="3:3" x14ac:dyDescent="0.2">
      <c r="C25" s="3" t="s">
        <v>12</v>
      </c>
    </row>
    <row r="26" spans="3:3" x14ac:dyDescent="0.2">
      <c r="C26" s="3" t="s">
        <v>9</v>
      </c>
    </row>
    <row r="27" spans="3:3" x14ac:dyDescent="0.2">
      <c r="C27" s="3" t="s">
        <v>12</v>
      </c>
    </row>
    <row r="28" spans="3:3" x14ac:dyDescent="0.2">
      <c r="C28" s="3" t="s">
        <v>12</v>
      </c>
    </row>
    <row r="29" spans="3:3" x14ac:dyDescent="0.2">
      <c r="C29" s="3" t="s">
        <v>12</v>
      </c>
    </row>
    <row r="30" spans="3:3" x14ac:dyDescent="0.2">
      <c r="C30" s="3" t="s">
        <v>1</v>
      </c>
    </row>
    <row r="31" spans="3:3" x14ac:dyDescent="0.2">
      <c r="C31" s="3" t="s">
        <v>13</v>
      </c>
    </row>
    <row r="32" spans="3:3" x14ac:dyDescent="0.2">
      <c r="C32" s="3" t="s">
        <v>12</v>
      </c>
    </row>
    <row r="33" spans="3:3" x14ac:dyDescent="0.2">
      <c r="C33" s="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279B-24E0-43C8-8373-D5BD3D2E2B16}">
  <sheetPr codeName="Sheet2">
    <tabColor rgb="FF00B050"/>
    <pageSetUpPr fitToPage="1"/>
  </sheetPr>
  <dimension ref="A1:AS59"/>
  <sheetViews>
    <sheetView tabSelected="1" showWhiteSpace="0" view="pageLayout" zoomScaleNormal="100" workbookViewId="0">
      <selection activeCell="D18" sqref="D18"/>
    </sheetView>
  </sheetViews>
  <sheetFormatPr baseColWidth="10" defaultColWidth="9.1640625" defaultRowHeight="15" x14ac:dyDescent="0.2"/>
  <cols>
    <col min="1" max="1" width="6.33203125" style="10" customWidth="1"/>
    <col min="2" max="2" width="18" style="10" bestFit="1" customWidth="1"/>
    <col min="3" max="3" width="6.6640625" style="10" customWidth="1"/>
    <col min="4" max="4" width="9.1640625" style="32"/>
    <col min="5" max="5" width="10.33203125" style="32" bestFit="1" customWidth="1"/>
    <col min="6" max="6" width="9.1640625" style="10"/>
    <col min="7" max="7" width="7.1640625" style="10" customWidth="1"/>
    <col min="8" max="8" width="13.5" style="10" customWidth="1"/>
    <col min="9" max="9" width="23.5" style="10" customWidth="1"/>
    <col min="10" max="10" width="8.83203125" style="10" customWidth="1"/>
    <col min="11" max="11" width="18.83203125" style="14" customWidth="1"/>
    <col min="12" max="12" width="11.6640625" style="14" customWidth="1"/>
    <col min="13" max="13" width="9.1640625" style="10" customWidth="1"/>
    <col min="14" max="14" width="11.5" style="10" customWidth="1"/>
    <col min="15" max="15" width="14.5" style="10" customWidth="1"/>
    <col min="16" max="21" width="9.1640625" style="10" customWidth="1"/>
    <col min="22" max="22" width="17.6640625" style="10" customWidth="1"/>
    <col min="23" max="23" width="10.33203125" style="10" customWidth="1"/>
    <col min="24" max="24" width="18.5" style="10" customWidth="1"/>
    <col min="25" max="26" width="19" style="10" customWidth="1"/>
    <col min="27" max="28" width="23.33203125" style="10" customWidth="1"/>
    <col min="29" max="29" width="12" style="10" customWidth="1"/>
    <col min="30" max="30" width="10.1640625" style="10" customWidth="1"/>
    <col min="31" max="31" width="18.5" style="10" customWidth="1"/>
    <col min="32" max="32" width="19" style="10" customWidth="1"/>
    <col min="33" max="33" width="18.83203125" style="11" customWidth="1"/>
    <col min="34" max="34" width="18.83203125" style="42" customWidth="1"/>
    <col min="35" max="35" width="18.83203125" style="11" customWidth="1"/>
    <col min="36" max="36" width="26.5" style="10" customWidth="1"/>
    <col min="37" max="37" width="16.5" style="10" customWidth="1"/>
    <col min="38" max="38" width="23.1640625" style="10" customWidth="1"/>
    <col min="39" max="39" width="10.5" style="10" customWidth="1"/>
    <col min="40" max="40" width="9.1640625" style="10" customWidth="1"/>
    <col min="41" max="41" width="16.83203125" style="10" customWidth="1"/>
    <col min="42" max="43" width="9.1640625" style="10" customWidth="1"/>
    <col min="44" max="44" width="12.83203125" style="10" customWidth="1"/>
    <col min="45" max="45" width="3.6640625" style="10" customWidth="1"/>
    <col min="46" max="16384" width="9.1640625" style="10"/>
  </cols>
  <sheetData>
    <row r="1" spans="1:45" ht="18.75" customHeight="1" x14ac:dyDescent="0.25">
      <c r="A1" s="87" t="s">
        <v>14</v>
      </c>
      <c r="B1" s="88"/>
      <c r="C1" s="93"/>
      <c r="D1" s="94"/>
      <c r="E1" s="94"/>
      <c r="F1" s="94"/>
      <c r="G1" s="95"/>
      <c r="H1" s="13" t="s">
        <v>181</v>
      </c>
      <c r="I1" s="45"/>
      <c r="J1" s="40" t="s">
        <v>15</v>
      </c>
      <c r="K1" s="64"/>
      <c r="L1" s="64"/>
      <c r="O1" s="11"/>
      <c r="P1" s="12"/>
      <c r="AB1" s="58" t="s">
        <v>235</v>
      </c>
      <c r="AC1" s="59"/>
    </row>
    <row r="2" spans="1:45" ht="18.75" customHeight="1" x14ac:dyDescent="0.25">
      <c r="A2" s="89" t="s">
        <v>16</v>
      </c>
      <c r="B2" s="90"/>
      <c r="C2" s="96"/>
      <c r="D2" s="97"/>
      <c r="E2" s="97"/>
      <c r="F2" s="97"/>
      <c r="G2" s="98"/>
      <c r="H2" s="65" t="s">
        <v>17</v>
      </c>
      <c r="I2" s="65"/>
      <c r="J2" s="102" t="str">
        <f>IF(J3="Other","Other","Shaker 45")</f>
        <v>Shaker 45</v>
      </c>
      <c r="K2" s="102"/>
      <c r="L2" s="102"/>
      <c r="O2" s="11"/>
      <c r="P2" s="15"/>
      <c r="AB2" s="16">
        <v>100</v>
      </c>
      <c r="AC2" s="60" t="s">
        <v>233</v>
      </c>
    </row>
    <row r="3" spans="1:45" ht="18.75" customHeight="1" thickBot="1" x14ac:dyDescent="0.3">
      <c r="A3" s="89" t="s">
        <v>19</v>
      </c>
      <c r="B3" s="90"/>
      <c r="C3" s="96"/>
      <c r="D3" s="97"/>
      <c r="E3" s="97"/>
      <c r="F3" s="97"/>
      <c r="G3" s="98"/>
      <c r="H3" s="65" t="s">
        <v>20</v>
      </c>
      <c r="I3" s="65"/>
      <c r="J3" s="66" t="s">
        <v>21</v>
      </c>
      <c r="K3" s="67"/>
      <c r="L3" s="68"/>
      <c r="O3" s="11"/>
      <c r="P3" s="15"/>
      <c r="AB3" s="61">
        <v>3.9375</v>
      </c>
      <c r="AC3" s="62" t="s">
        <v>234</v>
      </c>
      <c r="AE3" s="19" t="s">
        <v>22</v>
      </c>
      <c r="AF3" s="20"/>
    </row>
    <row r="4" spans="1:45" ht="18.75" customHeight="1" x14ac:dyDescent="0.25">
      <c r="A4" s="16"/>
      <c r="B4" s="17"/>
      <c r="C4" s="96"/>
      <c r="D4" s="97"/>
      <c r="E4" s="97"/>
      <c r="F4" s="97"/>
      <c r="G4" s="98"/>
      <c r="H4" s="65" t="s">
        <v>182</v>
      </c>
      <c r="I4" s="65"/>
      <c r="J4" s="64" t="s">
        <v>215</v>
      </c>
      <c r="K4" s="64"/>
      <c r="L4" s="64"/>
      <c r="O4" s="11"/>
      <c r="P4" s="15"/>
      <c r="AA4" s="50" t="s">
        <v>23</v>
      </c>
      <c r="AE4" s="24" t="s">
        <v>24</v>
      </c>
      <c r="AF4" s="25" t="s">
        <v>25</v>
      </c>
      <c r="AH4" s="42" t="s">
        <v>26</v>
      </c>
      <c r="AS4" s="53" t="b">
        <v>1</v>
      </c>
    </row>
    <row r="5" spans="1:45" ht="18.75" customHeight="1" x14ac:dyDescent="0.25">
      <c r="A5" s="91" t="s">
        <v>27</v>
      </c>
      <c r="B5" s="92"/>
      <c r="C5" s="96"/>
      <c r="D5" s="97"/>
      <c r="E5" s="97"/>
      <c r="F5" s="97"/>
      <c r="G5" s="98"/>
      <c r="H5" s="65" t="s">
        <v>28</v>
      </c>
      <c r="I5" s="65"/>
      <c r="J5" s="64" t="s">
        <v>24</v>
      </c>
      <c r="K5" s="64"/>
      <c r="L5" s="64"/>
      <c r="O5" s="11"/>
      <c r="P5" s="15"/>
      <c r="AA5" s="51">
        <f>IF(AC10=Finishes!N4,Finishes!P4,Finishes!P5)</f>
        <v>1.3125</v>
      </c>
      <c r="AB5" s="10">
        <v>1.38</v>
      </c>
      <c r="AE5" s="46"/>
      <c r="AF5" s="27">
        <f>AE5*25.4</f>
        <v>0</v>
      </c>
      <c r="AH5" s="44" t="e">
        <f>DATA!N2</f>
        <v>#REF!</v>
      </c>
      <c r="AQ5" s="63"/>
      <c r="AR5" s="63"/>
      <c r="AS5" s="63"/>
    </row>
    <row r="6" spans="1:45" ht="18.75" customHeight="1" thickBot="1" x14ac:dyDescent="0.3">
      <c r="A6" s="85" t="s">
        <v>29</v>
      </c>
      <c r="B6" s="86"/>
      <c r="C6" s="99"/>
      <c r="D6" s="100"/>
      <c r="E6" s="100"/>
      <c r="F6" s="100"/>
      <c r="G6" s="101"/>
      <c r="H6" s="65" t="s">
        <v>30</v>
      </c>
      <c r="I6" s="65"/>
      <c r="J6" s="64" t="s">
        <v>185</v>
      </c>
      <c r="K6" s="64"/>
      <c r="L6" s="64"/>
      <c r="O6" s="11"/>
      <c r="P6" s="18"/>
      <c r="AA6" s="52">
        <f>AA5*25.4</f>
        <v>33.337499999999999</v>
      </c>
      <c r="AB6" s="10">
        <v>35.15</v>
      </c>
      <c r="AC6" s="49" t="s">
        <v>31</v>
      </c>
      <c r="AD6" s="20"/>
      <c r="AE6" s="10" t="s">
        <v>32</v>
      </c>
      <c r="AF6" s="10" t="s">
        <v>32</v>
      </c>
      <c r="AG6" s="11" t="s">
        <v>33</v>
      </c>
      <c r="AH6" s="43" t="s">
        <v>34</v>
      </c>
      <c r="AI6" s="10" t="s">
        <v>35</v>
      </c>
      <c r="AQ6" s="63"/>
      <c r="AR6" s="63"/>
      <c r="AS6" s="63"/>
    </row>
    <row r="7" spans="1:45" ht="24" customHeight="1" thickBot="1" x14ac:dyDescent="0.25">
      <c r="A7" s="21"/>
      <c r="B7" s="21"/>
      <c r="C7" s="21"/>
      <c r="D7" s="22"/>
      <c r="E7" s="22"/>
      <c r="F7" s="21"/>
      <c r="G7" s="21"/>
      <c r="H7" s="21"/>
      <c r="I7" s="21"/>
      <c r="J7" s="21"/>
      <c r="K7" s="23"/>
      <c r="L7" s="23"/>
      <c r="AC7" s="24"/>
      <c r="AD7" s="25"/>
    </row>
    <row r="8" spans="1:45" ht="30" customHeight="1" x14ac:dyDescent="0.2">
      <c r="A8" s="71" t="s">
        <v>36</v>
      </c>
      <c r="B8" s="83" t="s">
        <v>37</v>
      </c>
      <c r="C8" s="73" t="s">
        <v>38</v>
      </c>
      <c r="D8" s="7" t="s">
        <v>39</v>
      </c>
      <c r="E8" s="7" t="s">
        <v>40</v>
      </c>
      <c r="F8" s="77" t="s">
        <v>41</v>
      </c>
      <c r="G8" s="79" t="s">
        <v>42</v>
      </c>
      <c r="H8" s="79"/>
      <c r="I8" s="81" t="s">
        <v>43</v>
      </c>
      <c r="J8" s="69" t="s">
        <v>44</v>
      </c>
      <c r="K8" s="75" t="s">
        <v>45</v>
      </c>
      <c r="L8" s="75" t="s">
        <v>46</v>
      </c>
      <c r="O8" s="10">
        <v>3.5</v>
      </c>
      <c r="P8" s="10">
        <v>3.5</v>
      </c>
      <c r="Q8" s="10">
        <v>18</v>
      </c>
      <c r="U8" s="10" t="s">
        <v>38</v>
      </c>
      <c r="V8" s="10" t="s">
        <v>47</v>
      </c>
      <c r="W8" s="10" t="s">
        <v>48</v>
      </c>
      <c r="X8" s="10" t="s">
        <v>49</v>
      </c>
      <c r="Y8" s="10" t="s">
        <v>50</v>
      </c>
      <c r="Z8" s="10" t="s">
        <v>51</v>
      </c>
      <c r="AA8" s="47" t="s">
        <v>52</v>
      </c>
      <c r="AB8" s="47" t="s">
        <v>53</v>
      </c>
      <c r="AC8" s="26" t="s">
        <v>24</v>
      </c>
      <c r="AD8" s="27" t="s">
        <v>25</v>
      </c>
      <c r="AE8" s="10" t="s">
        <v>49</v>
      </c>
      <c r="AF8" s="10" t="s">
        <v>50</v>
      </c>
      <c r="AI8" s="11" t="s">
        <v>54</v>
      </c>
      <c r="AJ8" s="10" t="s">
        <v>55</v>
      </c>
      <c r="AK8" s="10" t="s">
        <v>56</v>
      </c>
      <c r="AL8" s="10" t="s">
        <v>240</v>
      </c>
      <c r="AM8" s="10" t="s">
        <v>241</v>
      </c>
      <c r="AN8" s="10" t="s">
        <v>132</v>
      </c>
    </row>
    <row r="9" spans="1:45" ht="21" customHeight="1" thickBot="1" x14ac:dyDescent="0.25">
      <c r="A9" s="72"/>
      <c r="B9" s="84"/>
      <c r="C9" s="74"/>
      <c r="D9" s="8" t="str">
        <f>J5</f>
        <v>Inches</v>
      </c>
      <c r="E9" s="8" t="str">
        <f>J5</f>
        <v>Inches</v>
      </c>
      <c r="F9" s="78"/>
      <c r="G9" s="80"/>
      <c r="H9" s="80"/>
      <c r="I9" s="82"/>
      <c r="J9" s="70"/>
      <c r="K9" s="76"/>
      <c r="L9" s="76"/>
      <c r="M9" s="10" t="s">
        <v>57</v>
      </c>
      <c r="N9" s="10" t="s">
        <v>58</v>
      </c>
      <c r="O9" s="10" t="s">
        <v>59</v>
      </c>
      <c r="P9" s="10" t="s">
        <v>60</v>
      </c>
    </row>
    <row r="10" spans="1:45" x14ac:dyDescent="0.2">
      <c r="A10" s="1">
        <v>1</v>
      </c>
      <c r="B10" s="35"/>
      <c r="C10" s="36"/>
      <c r="D10" s="37"/>
      <c r="E10" s="37"/>
      <c r="F10" s="38"/>
      <c r="G10" s="38"/>
      <c r="H10" s="38"/>
      <c r="I10" s="38"/>
      <c r="J10" s="28" t="str">
        <f t="shared" ref="J10:J41" si="0">(IF(AND(D10&lt;&gt;"",E10&lt;&gt;""),ROUNDUP(D10*E10*(IF(J$5="Inches",0.00694444,0.000010763910417)),2),""))</f>
        <v/>
      </c>
      <c r="K10" s="29" t="str">
        <f>IF(J10="","",J10*(_xlfn.XLOOKUP(J$4,Finishes!C$3:C$50,Finishes!I$3:I$50))+(IF(OR(B10="Drawer Front",B10="Slab Drawer Front"),DATA!F$2,0)+AH10+AN10))</f>
        <v/>
      </c>
      <c r="L10" s="29" t="str">
        <f>IF(J10="","",C10*K10)</f>
        <v/>
      </c>
      <c r="M10" s="10">
        <f>IF(J$5="Inches",IF(B10="Slab Drawer Front",'Size Parameters'!C$5,'Size Parameters'!C$4),(IF(B10="Slab Drawer Front",'Size Parameters'!H$5,'Size Parameters'!H$4)))</f>
        <v>5.5</v>
      </c>
      <c r="N10" s="10">
        <f>IF(J$5="Inches",IF(COUNTIF(B10,"*Door*"),'Size Parameters'!B$4,'Size Parameters'!B$3),IF(COUNTIF(B10,"*Door*"),'Size Parameters'!G$4,'Size Parameters'!G$3))</f>
        <v>48</v>
      </c>
      <c r="O10" s="10">
        <f>IF(J$5="Inches",IF(B10="Slab Drawer Front",'Size Parameters'!E$5,'Size Parameters'!E$3),(IF(B10="Slab Drawer Front",'Size Parameters'!J$5,'Size Parameters'!J$3)))</f>
        <v>5.5</v>
      </c>
      <c r="P10" s="10">
        <f>IF(J$5="Inches",IF(COUNTIF(B10,"*Door*"),'Size Parameters'!D$4,IF(B10="Slab Drawer Front",'Size Parameters'!D$5,'Size Parameters'!D$3)),IF(COUNTIF(B10,"*Door*"),'Size Parameters'!I$4,IF(B10="Slab Drawer Front",'Size Parameters'!I$5,'Size Parameters'!J$3)))</f>
        <v>30</v>
      </c>
      <c r="U10" s="30">
        <f>IF(B10="Slab Drawer Front",0,C10)</f>
        <v>0</v>
      </c>
      <c r="V10" s="10">
        <f>IF(B10="Slab Drawer Front",0,(MROUND(IF(U10&gt;0,(IF($J$5="Inches",D10+#REF!,(D10+#REF!)/25.4)),0),1/16)))</f>
        <v>0</v>
      </c>
      <c r="W10" s="10">
        <f>IF(B10="Slab Drawer Front",0,(MROUND(IF(U10&gt;0,(IF($J$5="Inches",E10+#REF!,(E10+#REF!)/25.4)),0),1/16)))</f>
        <v>0</v>
      </c>
      <c r="X10" s="10">
        <f>IF(B10="Slab Drawer Front",0,(MROUND(IF(F10&lt;&gt;"",0,IF(U10&gt;0,IF($J$5="Inches",D10-AC10,(D10-AD10)/25.4),0)),1/16)))</f>
        <v>0</v>
      </c>
      <c r="Y10" s="10">
        <f>MROUND(IF(B10="Slab Drawer Front",0,IF(F10&lt;&gt;"",0,IF(U10&gt;0,IF($J$5="Inches",((E10-AC10)-(AL10*AA$5))/AM10,(((E10-AD10)-((AL10)*AA$6))/25.4)/AM10),0))),1/16)</f>
        <v>0</v>
      </c>
      <c r="Z10" s="10">
        <f>(IF(G10="",1,G10))*C10</f>
        <v>0</v>
      </c>
      <c r="AA10" s="48">
        <f>U10*(AM10-1)</f>
        <v>0</v>
      </c>
      <c r="AB10" s="48" t="e">
        <f>MROUND(IF(J$5="Inches",D10-$AB$3,(D10/25.4)-$AB$3),1/16)</f>
        <v>#NUM!</v>
      </c>
      <c r="AC10" s="10">
        <f>IF(ISNA(VLOOKUP($J$4,Finishes!$C$3:$D$107,2,FALSE)),3.625,VLOOKUP($J$4,Finishes!$C$3:$D$107,2,FALSE))</f>
        <v>3.5625</v>
      </c>
      <c r="AD10" s="10">
        <f>IF(ISNA(VLOOKUP($J$4,Finishes!$C$3:$E$107,3,FALSE)),92.08,VLOOKUP($J$4,Finishes!$C$3:$E$107,3,FALSE))</f>
        <v>90.49</v>
      </c>
      <c r="AE10" s="10">
        <f>MROUND(IF(F10="",0,IF(U10&gt;0,IF($J$5="Inches",D10-AC10-AE$5,(D10-AD10-AF$5)/25.4),0)),1/16)</f>
        <v>0</v>
      </c>
      <c r="AF10" s="10">
        <f>MROUND(IF(B10="Slab Drawer Front",0,IF(F10&lt;&gt;"",IF(U10&gt;0,IF($J$5="Inches",(((E10-AC10)-((AM10-1)*AA$5))/AM10)-AE$5,(((E10-AD10-AF$5)-((AM10-1)*AA$6))/25.4)/AM10),0),0)),1/16)</f>
        <v>0</v>
      </c>
      <c r="AG10" s="31">
        <f>F10</f>
        <v>0</v>
      </c>
      <c r="AH10" s="42">
        <f>IFERROR((_xlfn.XLOOKUP(AG10,DATA!$J$3:$J$8,DATA!$K$3:$K$8)*J10*AH$5),0)</f>
        <v>0</v>
      </c>
      <c r="AI10" s="31">
        <f>IF(B10="Slab Drawer Front",C10,0)</f>
        <v>0</v>
      </c>
      <c r="AJ10" s="10">
        <f>IF(B10="Slab Drawer Front",(MROUND(IF(AI10&gt;0,IF($J$5="Inches",D10,D10/25.4),0),1/16)),0)</f>
        <v>0</v>
      </c>
      <c r="AK10" s="10">
        <f>IF(B10="Slab Drawer Front",(MROUND(IF(AI10&gt;0,IF($J$5="Inches",E10,E10/25.4),0),1/16)),0)</f>
        <v>0</v>
      </c>
      <c r="AL10" s="10">
        <f>IF(G10="",0,G10-1)</f>
        <v>0</v>
      </c>
      <c r="AM10" s="10">
        <f>IF(G10="",1,G10)</f>
        <v>1</v>
      </c>
      <c r="AN10" s="48">
        <f>AA10*DATA!N$8</f>
        <v>0</v>
      </c>
      <c r="AR10" s="48"/>
    </row>
    <row r="11" spans="1:45" x14ac:dyDescent="0.2">
      <c r="A11" s="1">
        <v>2</v>
      </c>
      <c r="B11" s="35"/>
      <c r="C11" s="36"/>
      <c r="D11" s="37"/>
      <c r="E11" s="37"/>
      <c r="F11" s="38"/>
      <c r="G11" s="38"/>
      <c r="H11" s="38"/>
      <c r="I11" s="38"/>
      <c r="J11" s="28" t="str">
        <f t="shared" si="0"/>
        <v/>
      </c>
      <c r="K11" s="29" t="str">
        <f>IF(J11="","",J11*(_xlfn.XLOOKUP(J$4,Finishes!C$3:C$50,Finishes!I$3:I$50))+(IF(OR(B11="Drawer Front",B11="Slab Drawer Front"),DATA!F$2,0)+AH11+AN11))</f>
        <v/>
      </c>
      <c r="L11" s="29" t="str">
        <f t="shared" ref="L11:L20" si="1">IF(J11="","",C11*K11)</f>
        <v/>
      </c>
      <c r="M11" s="10">
        <f>IF(J$5="Inches",IF(B11="Slab Drawer Front",'Size Parameters'!C$5,'Size Parameters'!C$4),(IF(B11="Slab Drawer Front",'Size Parameters'!H$5,'Size Parameters'!H$4)))</f>
        <v>5.5</v>
      </c>
      <c r="N11" s="10">
        <f>IF(J$5="Inches",IF(COUNTIF(B11,"*Door*"),'Size Parameters'!B$4,'Size Parameters'!B$3),IF(COUNTIF(B11,"*Door*"),'Size Parameters'!G$4,'Size Parameters'!G$3))</f>
        <v>48</v>
      </c>
      <c r="O11" s="10">
        <f>IF(J$5="Inches",IF(B11="Slab Drawer Front",'Size Parameters'!E$5,'Size Parameters'!E$3),(IF(B11="Slab Drawer Front",'Size Parameters'!J$5,'Size Parameters'!J$3)))</f>
        <v>5.5</v>
      </c>
      <c r="P11" s="10">
        <f>IF(J$5="Inches",IF(COUNTIF(B11,"*Door*"),'Size Parameters'!D$4,IF(B11="Slab Drawer Front",'Size Parameters'!D$5,'Size Parameters'!D$3)),IF(COUNTIF(B11,"*Door*"),'Size Parameters'!I$4,IF(B11="Slab Drawer Front",'Size Parameters'!I$5,'Size Parameters'!J$3)))</f>
        <v>30</v>
      </c>
      <c r="U11" s="30">
        <f>IF(B11="Slab Drawer Front",0,C11)</f>
        <v>0</v>
      </c>
      <c r="V11" s="10">
        <f>IF(B11="Slab Drawer Front",0,(MROUND(IF(U11&gt;0,(IF($J$5="Inches",D11+#REF!,(D11+#REF!)/25.4)),0),1/16)))</f>
        <v>0</v>
      </c>
      <c r="W11" s="10">
        <f>IF(B11="Slab Drawer Front",0,(MROUND(IF(U11&gt;0,(IF($J$5="Inches",E11+#REF!,(E11+#REF!)/25.4)),0),1/16)))</f>
        <v>0</v>
      </c>
      <c r="X11" s="10">
        <f>IF(B11="Slab Drawer Front",0,(MROUND(IF(F11&lt;&gt;"",0,IF(U11&gt;0,IF($J$5="Inches",D11-AC11,(D11-AD11)/25.4),0)),1/16)))</f>
        <v>0</v>
      </c>
      <c r="Y11" s="10">
        <f>MROUND(IF(B11="Slab Drawer Front",0,IF(F11&lt;&gt;"",0,IF(U11&gt;0,IF($J$5="Inches",((E11-AC11)-(AL11*AA$5))/AM11,(((E11-AD11)-((AL11)*AA$6))/25.4)/AM11),0))),1/16)</f>
        <v>0</v>
      </c>
      <c r="Z11" s="10">
        <f>(IF(G11="",1,G11))*C11</f>
        <v>0</v>
      </c>
      <c r="AA11" s="48">
        <f t="shared" ref="AA11:AA56" si="2">U11*(AM11-1)</f>
        <v>0</v>
      </c>
      <c r="AB11" s="48" t="e">
        <f>MROUND(IF(J$5="Inches",D11-$AB$3,(D11/25.4)-$AB$3),1/16)</f>
        <v>#NUM!</v>
      </c>
      <c r="AC11" s="10">
        <f>IF(ISNA(VLOOKUP($J$4,Finishes!$C$3:$D$107,2,FALSE)),3.625,VLOOKUP($J$4,Finishes!$C$3:$D$107,2,FALSE))</f>
        <v>3.5625</v>
      </c>
      <c r="AD11" s="10">
        <f>IF(ISNA(VLOOKUP($J$4,Finishes!$C$3:$E$107,3,FALSE)),92.08,VLOOKUP($J$4,Finishes!$C$3:$E$107,3,FALSE))</f>
        <v>90.49</v>
      </c>
      <c r="AE11" s="10">
        <f>MROUND(IF(F11="",0,IF(U11&gt;0,IF($J$5="Inches",D11-AC11-AE$5,(D11-AD11-AF$5)/25.4),0)),1/16)</f>
        <v>0</v>
      </c>
      <c r="AF11" s="10">
        <f>MROUND(IF(B11="Slab Drawer Front",0,IF(F11&lt;&gt;"",IF(U11&gt;0,IF($J$5="Inches",(((E11-AC11)-((AM11-1)*AA$5))/AM11)-AE$5,(((E11-AD11-AF$5)-((AM11-1)*AA$6))/25.4)/AM11),0),0)),1/16)</f>
        <v>0</v>
      </c>
      <c r="AG11" s="31">
        <f>F11</f>
        <v>0</v>
      </c>
      <c r="AH11" s="42">
        <f>IFERROR((_xlfn.XLOOKUP(AG11,DATA!$J$3:$J$6,DATA!$K$3:$K$6)*J11*AH$5),0)</f>
        <v>0</v>
      </c>
      <c r="AI11" s="31">
        <f>IF(B11="Slab Drawer Front",C11,0)</f>
        <v>0</v>
      </c>
      <c r="AJ11" s="10">
        <f>IF(B11="Slab Drawer Front",(MROUND(IF(AI11&gt;0,IF($J$5="Inches",D11,D11/25.4),0),1/16)),0)</f>
        <v>0</v>
      </c>
      <c r="AK11" s="10">
        <f>IF(B11="Slab Drawer Front",(MROUND(IF(AI11&gt;0,IF($J$5="Inches",E11,E11/25.4),0),1/16)),0)</f>
        <v>0</v>
      </c>
      <c r="AL11" s="10">
        <f>IF(G11="",0,G11-1)</f>
        <v>0</v>
      </c>
      <c r="AM11" s="10">
        <f>IF(G11="",1,G11)</f>
        <v>1</v>
      </c>
      <c r="AN11" s="48">
        <f>AA11*DATA!N$8</f>
        <v>0</v>
      </c>
    </row>
    <row r="12" spans="1:45" x14ac:dyDescent="0.2">
      <c r="A12" s="1">
        <v>3</v>
      </c>
      <c r="B12" s="35"/>
      <c r="C12" s="36"/>
      <c r="D12" s="37"/>
      <c r="E12" s="37"/>
      <c r="F12" s="38"/>
      <c r="G12" s="38"/>
      <c r="H12" s="38"/>
      <c r="I12" s="38"/>
      <c r="J12" s="28" t="str">
        <f t="shared" si="0"/>
        <v/>
      </c>
      <c r="K12" s="29" t="str">
        <f>IF(J12="","",J12*(_xlfn.XLOOKUP(J$4,Finishes!C$3:C$50,Finishes!I$3:I$50))+(IF(OR(B12="Drawer Front",B12="Slab Drawer Front"),DATA!F$2,0)+AH12+AN12))</f>
        <v/>
      </c>
      <c r="L12" s="29" t="str">
        <f t="shared" si="1"/>
        <v/>
      </c>
      <c r="M12" s="10">
        <f>IF(J$5="Inches",IF(B12="Slab Drawer Front",'Size Parameters'!C$5,'Size Parameters'!C$4),(IF(B12="Slab Drawer Front",'Size Parameters'!H$5,'Size Parameters'!H$4)))</f>
        <v>5.5</v>
      </c>
      <c r="N12" s="10">
        <f>IF(J$5="Inches",IF(COUNTIF(B12,"*Door*"),'Size Parameters'!B$4,'Size Parameters'!B$3),IF(COUNTIF(B12,"*Door*"),'Size Parameters'!G$4,'Size Parameters'!G$3))</f>
        <v>48</v>
      </c>
      <c r="O12" s="10">
        <f>IF(J$5="Inches",IF(B12="Slab Drawer Front",'Size Parameters'!E$5,'Size Parameters'!E$3),(IF(B12="Slab Drawer Front",'Size Parameters'!J$5,'Size Parameters'!J$3)))</f>
        <v>5.5</v>
      </c>
      <c r="P12" s="10">
        <f>IF(J$5="Inches",IF(COUNTIF(B12,"*Door*"),'Size Parameters'!D$4,IF(B12="Slab Drawer Front",'Size Parameters'!D$5,'Size Parameters'!D$3)),IF(COUNTIF(B12,"*Door*"),'Size Parameters'!I$4,IF(B12="Slab Drawer Front",'Size Parameters'!I$5,'Size Parameters'!J$3)))</f>
        <v>30</v>
      </c>
      <c r="U12" s="30">
        <f>IF(B12="Slab Drawer Front",0,C12)</f>
        <v>0</v>
      </c>
      <c r="V12" s="10">
        <f>IF(B12="Slab Drawer Front",0,(MROUND(IF(U12&gt;0,(IF($J$5="Inches",D12+#REF!,(D12+#REF!)/25.4)),0),1/16)))</f>
        <v>0</v>
      </c>
      <c r="W12" s="10">
        <f>IF(B12="Slab Drawer Front",0,(MROUND(IF(U12&gt;0,(IF($J$5="Inches",E12+#REF!,(E12+#REF!)/25.4)),0),1/16)))</f>
        <v>0</v>
      </c>
      <c r="X12" s="10">
        <f>IF(B12="Slab Drawer Front",0,(MROUND(IF(F12&lt;&gt;"",0,IF(U12&gt;0,IF($J$5="Inches",D12-AC12,(D12-AD12)/25.4),0)),1/16)))</f>
        <v>0</v>
      </c>
      <c r="Y12" s="10">
        <f>MROUND(IF(B12="Slab Drawer Front",0,IF(F12&lt;&gt;"",0,IF(U12&gt;0,IF($J$5="Inches",((E12-AC12)-(AL12*AA$5))/AM12,(((E12-AD12)-((AL12)*AA$6))/25.4)/AM12),0))),1/16)</f>
        <v>0</v>
      </c>
      <c r="Z12" s="10">
        <f>(IF(G12="",1,G12))*C12</f>
        <v>0</v>
      </c>
      <c r="AA12" s="48">
        <f t="shared" si="2"/>
        <v>0</v>
      </c>
      <c r="AB12" s="48" t="e">
        <f>MROUND(IF(J$5="Inches",D12-$AB$3,(D12/25.4)-$AB$3),1/16)</f>
        <v>#NUM!</v>
      </c>
      <c r="AC12" s="10">
        <f>IF(ISNA(VLOOKUP($J$4,Finishes!$C$3:$D$107,2,FALSE)),3.625,VLOOKUP($J$4,Finishes!$C$3:$D$107,2,FALSE))</f>
        <v>3.5625</v>
      </c>
      <c r="AD12" s="10">
        <f>IF(ISNA(VLOOKUP($J$4,Finishes!$C$3:$E$107,3,FALSE)),92.08,VLOOKUP($J$4,Finishes!$C$3:$E$107,3,FALSE))</f>
        <v>90.49</v>
      </c>
      <c r="AE12" s="10">
        <f>MROUND(IF(F12="",0,IF(U12&gt;0,IF($J$5="Inches",D12-AC12-AE$5,(D12-AD12-AF$5)/25.4),0)),1/16)</f>
        <v>0</v>
      </c>
      <c r="AF12" s="10">
        <f>MROUND(IF(B12="Slab Drawer Front",0,IF(F12&lt;&gt;"",IF(U12&gt;0,IF($J$5="Inches",(((E12-AC12)-((AM12-1)*AA$5))/AM12)-AE$5,(((E12-AD12-AF$5)-((AM12-1)*AA$6))/25.4)/AM12),0),0)),1/16)</f>
        <v>0</v>
      </c>
      <c r="AG12" s="31">
        <f>F12</f>
        <v>0</v>
      </c>
      <c r="AH12" s="42">
        <f>IFERROR((_xlfn.XLOOKUP(AG12,DATA!$J$3:$J$6,DATA!$K$3:$K$6)*J12*AH$5),0)</f>
        <v>0</v>
      </c>
      <c r="AI12" s="31">
        <f>IF(B12="Slab Drawer Front",C12,0)</f>
        <v>0</v>
      </c>
      <c r="AJ12" s="10">
        <f>IF(B12="Slab Drawer Front",(MROUND(IF(AI12&gt;0,IF($J$5="Inches",D12,D12/25.4),0),1/16)),0)</f>
        <v>0</v>
      </c>
      <c r="AK12" s="10">
        <f>IF(B12="Slab Drawer Front",(MROUND(IF(AI12&gt;0,IF($J$5="Inches",E12,E12/25.4),0),1/16)),0)</f>
        <v>0</v>
      </c>
      <c r="AL12" s="10">
        <f>IF(G12="",0,G12-1)</f>
        <v>0</v>
      </c>
      <c r="AM12" s="10">
        <f>IF(G12="",1,G12)</f>
        <v>1</v>
      </c>
      <c r="AN12" s="48">
        <f>AA12*DATA!N$8</f>
        <v>0</v>
      </c>
    </row>
    <row r="13" spans="1:45" x14ac:dyDescent="0.2">
      <c r="A13" s="1">
        <v>4</v>
      </c>
      <c r="B13" s="35"/>
      <c r="C13" s="36"/>
      <c r="D13" s="37"/>
      <c r="E13" s="37"/>
      <c r="F13" s="38"/>
      <c r="G13" s="38"/>
      <c r="H13" s="38"/>
      <c r="I13" s="38"/>
      <c r="J13" s="28" t="str">
        <f t="shared" si="0"/>
        <v/>
      </c>
      <c r="K13" s="29" t="str">
        <f>IF(J13="","",J13*(_xlfn.XLOOKUP(J$4,Finishes!C$3:C$50,Finishes!I$3:I$50))+(IF(OR(B13="Drawer Front",B13="Slab Drawer Front"),DATA!F$2,0)+AH13+AN13))</f>
        <v/>
      </c>
      <c r="L13" s="29" t="str">
        <f t="shared" si="1"/>
        <v/>
      </c>
      <c r="M13" s="10">
        <f>IF(J$5="Inches",IF(B13="Slab Drawer Front",'Size Parameters'!C$5,'Size Parameters'!C$4),(IF(B13="Slab Drawer Front",'Size Parameters'!H$5,'Size Parameters'!H$4)))</f>
        <v>5.5</v>
      </c>
      <c r="N13" s="10">
        <f>IF(J$5="Inches",IF(COUNTIF(B13,"*Door*"),'Size Parameters'!B$4,'Size Parameters'!B$3),IF(COUNTIF(B13,"*Door*"),'Size Parameters'!G$4,'Size Parameters'!G$3))</f>
        <v>48</v>
      </c>
      <c r="O13" s="10">
        <f>IF(J$5="Inches",IF(B13="Slab Drawer Front",'Size Parameters'!E$5,'Size Parameters'!E$3),(IF(B13="Slab Drawer Front",'Size Parameters'!J$5,'Size Parameters'!J$3)))</f>
        <v>5.5</v>
      </c>
      <c r="P13" s="10">
        <f>IF(J$5="Inches",IF(COUNTIF(B13,"*Door*"),'Size Parameters'!D$4,IF(B13="Slab Drawer Front",'Size Parameters'!D$5,'Size Parameters'!D$3)),IF(COUNTIF(B13,"*Door*"),'Size Parameters'!I$4,IF(B13="Slab Drawer Front",'Size Parameters'!I$5,'Size Parameters'!J$3)))</f>
        <v>30</v>
      </c>
      <c r="U13" s="30">
        <f>IF(B13="Slab Drawer Front",0,C13)</f>
        <v>0</v>
      </c>
      <c r="V13" s="10">
        <f>IF(B13="Slab Drawer Front",0,(MROUND(IF(U13&gt;0,(IF($J$5="Inches",D13+#REF!,(D13+#REF!)/25.4)),0),1/16)))</f>
        <v>0</v>
      </c>
      <c r="W13" s="10">
        <f>IF(B13="Slab Drawer Front",0,(MROUND(IF(U13&gt;0,(IF($J$5="Inches",E13+#REF!,(E13+#REF!)/25.4)),0),1/16)))</f>
        <v>0</v>
      </c>
      <c r="X13" s="10">
        <f>IF(B13="Slab Drawer Front",0,(MROUND(IF(F13&lt;&gt;"",0,IF(U13&gt;0,IF($J$5="Inches",D13-AC13,(D13-AD13)/25.4),0)),1/16)))</f>
        <v>0</v>
      </c>
      <c r="Y13" s="10">
        <f>MROUND(IF(B13="Slab Drawer Front",0,IF(F13&lt;&gt;"",0,IF(U13&gt;0,IF($J$5="Inches",((E13-AC13)-(AL13*AA$5))/AM13,(((E13-AD13)-((AL13)*AA$6))/25.4)/AM13),0))),1/16)</f>
        <v>0</v>
      </c>
      <c r="Z13" s="10">
        <f>(IF(G13="",1,G13))*C13</f>
        <v>0</v>
      </c>
      <c r="AA13" s="48">
        <f t="shared" si="2"/>
        <v>0</v>
      </c>
      <c r="AB13" s="48" t="e">
        <f>MROUND(IF(J$5="Inches",D13-$AB$3,(D13/25.4)-$AB$3),1/16)</f>
        <v>#NUM!</v>
      </c>
      <c r="AC13" s="10">
        <f>IF(ISNA(VLOOKUP($J$4,Finishes!$C$3:$D$107,2,FALSE)),3.625,VLOOKUP($J$4,Finishes!$C$3:$D$107,2,FALSE))</f>
        <v>3.5625</v>
      </c>
      <c r="AD13" s="10">
        <f>IF(ISNA(VLOOKUP($J$4,Finishes!$C$3:$E$107,3,FALSE)),92.08,VLOOKUP($J$4,Finishes!$C$3:$E$107,3,FALSE))</f>
        <v>90.49</v>
      </c>
      <c r="AE13" s="10">
        <f>MROUND(IF(F13="",0,IF(U13&gt;0,IF($J$5="Inches",D13-AC13-AE$5,(D13-AD13-AF$5)/25.4),0)),1/16)</f>
        <v>0</v>
      </c>
      <c r="AF13" s="10">
        <f>MROUND(IF(B13="Slab Drawer Front",0,IF(F13&lt;&gt;"",IF(U13&gt;0,IF($J$5="Inches",(((E13-AC13)-((AM13-1)*AA$5))/AM13)-AE$5,(((E13-AD13-AF$5)-((AM13-1)*AA$6))/25.4)/AM13),0),0)),1/16)</f>
        <v>0</v>
      </c>
      <c r="AG13" s="31">
        <f>F13</f>
        <v>0</v>
      </c>
      <c r="AH13" s="42">
        <f>IFERROR((_xlfn.XLOOKUP(AG13,DATA!$J$3:$J$6,DATA!$K$3:$K$6)*J13*AH$5),0)</f>
        <v>0</v>
      </c>
      <c r="AI13" s="31">
        <f>IF(B13="Slab Drawer Front",C13,0)</f>
        <v>0</v>
      </c>
      <c r="AJ13" s="10">
        <f>IF(B13="Slab Drawer Front",(MROUND(IF(AI13&gt;0,IF($J$5="Inches",D13,D13/25.4),0),1/16)),0)</f>
        <v>0</v>
      </c>
      <c r="AK13" s="10">
        <f>IF(B13="Slab Drawer Front",(MROUND(IF(AI13&gt;0,IF($J$5="Inches",E13,E13/25.4),0),1/16)),0)</f>
        <v>0</v>
      </c>
      <c r="AL13" s="10">
        <f>IF(G13="",0,G13-1)</f>
        <v>0</v>
      </c>
      <c r="AM13" s="10">
        <f>IF(G13="",1,G13)</f>
        <v>1</v>
      </c>
      <c r="AN13" s="48">
        <f>AA13*DATA!N$8</f>
        <v>0</v>
      </c>
      <c r="AO13" s="10" t="s">
        <v>61</v>
      </c>
      <c r="AP13" s="10" t="s">
        <v>62</v>
      </c>
    </row>
    <row r="14" spans="1:45" x14ac:dyDescent="0.2">
      <c r="A14" s="1">
        <v>5</v>
      </c>
      <c r="B14" s="35"/>
      <c r="C14" s="36"/>
      <c r="D14" s="37"/>
      <c r="E14" s="37"/>
      <c r="F14" s="38"/>
      <c r="G14" s="38"/>
      <c r="H14" s="38"/>
      <c r="I14" s="38"/>
      <c r="J14" s="28" t="str">
        <f t="shared" si="0"/>
        <v/>
      </c>
      <c r="K14" s="29" t="str">
        <f>IF(J14="","",J14*(_xlfn.XLOOKUP(J$4,Finishes!C$3:C$50,Finishes!I$3:I$50))+(IF(OR(B14="Drawer Front",B14="Slab Drawer Front"),DATA!F$2,0)+AH14+AN14))</f>
        <v/>
      </c>
      <c r="L14" s="29" t="str">
        <f t="shared" si="1"/>
        <v/>
      </c>
      <c r="M14" s="10">
        <f>IF(J$5="Inches",IF(B14="Slab Drawer Front",'Size Parameters'!C$5,'Size Parameters'!C$4),(IF(B14="Slab Drawer Front",'Size Parameters'!H$5,'Size Parameters'!H$4)))</f>
        <v>5.5</v>
      </c>
      <c r="N14" s="10">
        <f>IF(J$5="Inches",IF(COUNTIF(B14,"*Door*"),'Size Parameters'!B$4,'Size Parameters'!B$3),IF(COUNTIF(B14,"*Door*"),'Size Parameters'!G$4,'Size Parameters'!G$3))</f>
        <v>48</v>
      </c>
      <c r="O14" s="10">
        <f>IF(J$5="Inches",IF(B14="Slab Drawer Front",'Size Parameters'!E$5,'Size Parameters'!E$3),(IF(B14="Slab Drawer Front",'Size Parameters'!J$5,'Size Parameters'!J$3)))</f>
        <v>5.5</v>
      </c>
      <c r="P14" s="10">
        <f>IF(J$5="Inches",IF(COUNTIF(B14,"*Door*"),'Size Parameters'!D$4,IF(B14="Slab Drawer Front",'Size Parameters'!D$5,'Size Parameters'!D$3)),IF(COUNTIF(B14,"*Door*"),'Size Parameters'!I$4,IF(B14="Slab Drawer Front",'Size Parameters'!I$5,'Size Parameters'!J$3)))</f>
        <v>30</v>
      </c>
      <c r="U14" s="30">
        <f>IF(B14="Slab Drawer Front",0,C14)</f>
        <v>0</v>
      </c>
      <c r="V14" s="10">
        <f>IF(B14="Slab Drawer Front",0,(MROUND(IF(U14&gt;0,(IF($J$5="Inches",D14+#REF!,(D14+#REF!)/25.4)),0),1/16)))</f>
        <v>0</v>
      </c>
      <c r="W14" s="10">
        <f>IF(B14="Slab Drawer Front",0,(MROUND(IF(U14&gt;0,(IF($J$5="Inches",E14+#REF!,(E14+#REF!)/25.4)),0),1/16)))</f>
        <v>0</v>
      </c>
      <c r="X14" s="10">
        <f>IF(B14="Slab Drawer Front",0,(MROUND(IF(F14&lt;&gt;"",0,IF(U14&gt;0,IF($J$5="Inches",D14-AC14,(D14-AD14)/25.4),0)),1/16)))</f>
        <v>0</v>
      </c>
      <c r="Y14" s="10">
        <f>MROUND(IF(B14="Slab Drawer Front",0,IF(F14&lt;&gt;"",0,IF(U14&gt;0,IF($J$5="Inches",((E14-AC14)-(AL14*AA$5))/AM14,(((E14-AD14)-((AL14)*AA$6))/25.4)/AM14),0))),1/16)</f>
        <v>0</v>
      </c>
      <c r="Z14" s="10">
        <f>(IF(G14="",1,G14))*C14</f>
        <v>0</v>
      </c>
      <c r="AA14" s="48">
        <f t="shared" si="2"/>
        <v>0</v>
      </c>
      <c r="AB14" s="48" t="e">
        <f>MROUND(IF(J$5="Inches",D14-$AB$3,(D14/25.4)-$AB$3),1/16)</f>
        <v>#NUM!</v>
      </c>
      <c r="AC14" s="10">
        <f>IF(ISNA(VLOOKUP($J$4,Finishes!$C$3:$D$107,2,FALSE)),3.625,VLOOKUP($J$4,Finishes!$C$3:$D$107,2,FALSE))</f>
        <v>3.5625</v>
      </c>
      <c r="AD14" s="10">
        <f>IF(ISNA(VLOOKUP($J$4,Finishes!$C$3:$E$107,3,FALSE)),92.08,VLOOKUP($J$4,Finishes!$C$3:$E$107,3,FALSE))</f>
        <v>90.49</v>
      </c>
      <c r="AE14" s="10">
        <f>MROUND(IF(F14="",0,IF(U14&gt;0,IF($J$5="Inches",D14-AC14-AE$5,(D14-AD14-AF$5)/25.4),0)),1/16)</f>
        <v>0</v>
      </c>
      <c r="AF14" s="10">
        <f>MROUND(IF(B14="Slab Drawer Front",0,IF(F14&lt;&gt;"",IF(U14&gt;0,IF($J$5="Inches",(((E14-AC14)-((AM14-1)*AA$5))/AM14)-AE$5,(((E14-AD14-AF$5)-((AM14-1)*AA$6))/25.4)/AM14),0),0)),1/16)</f>
        <v>0</v>
      </c>
      <c r="AG14" s="31">
        <f>F14</f>
        <v>0</v>
      </c>
      <c r="AH14" s="42">
        <f>IFERROR((_xlfn.XLOOKUP(AG14,DATA!$J$3:$J$6,DATA!$K$3:$K$6)*J14*AH$5),0)</f>
        <v>0</v>
      </c>
      <c r="AI14" s="31">
        <f>IF(B14="Slab Drawer Front",C14,0)</f>
        <v>0</v>
      </c>
      <c r="AJ14" s="10">
        <f>IF(B14="Slab Drawer Front",(MROUND(IF(AI14&gt;0,IF($J$5="Inches",D14,D14/25.4),0),1/16)),0)</f>
        <v>0</v>
      </c>
      <c r="AK14" s="10">
        <f>IF(B14="Slab Drawer Front",(MROUND(IF(AI14&gt;0,IF($J$5="Inches",E14,E14/25.4),0),1/16)),0)</f>
        <v>0</v>
      </c>
      <c r="AL14" s="10">
        <f>IF(G14="",0,G14-1)</f>
        <v>0</v>
      </c>
      <c r="AM14" s="10">
        <f>IF(G14="",1,G14)</f>
        <v>1</v>
      </c>
      <c r="AN14" s="48">
        <f>AA14*DATA!N$8</f>
        <v>0</v>
      </c>
    </row>
    <row r="15" spans="1:45" x14ac:dyDescent="0.2">
      <c r="A15" s="1">
        <v>6</v>
      </c>
      <c r="B15" s="35"/>
      <c r="C15" s="36"/>
      <c r="D15" s="37"/>
      <c r="E15" s="37"/>
      <c r="F15" s="38"/>
      <c r="G15" s="38"/>
      <c r="H15" s="38"/>
      <c r="I15" s="38"/>
      <c r="J15" s="28" t="str">
        <f t="shared" si="0"/>
        <v/>
      </c>
      <c r="K15" s="29" t="str">
        <f>IF(J15="","",J15*(_xlfn.XLOOKUP(J$4,Finishes!C$3:C$50,Finishes!I$3:I$50))+(IF(OR(B15="Drawer Front",B15="Slab Drawer Front"),DATA!F$2,0)+AH15+AN15))</f>
        <v/>
      </c>
      <c r="L15" s="29" t="str">
        <f t="shared" si="1"/>
        <v/>
      </c>
      <c r="M15" s="10">
        <f>IF(J$5="Inches",IF(B15="Slab Drawer Front",'Size Parameters'!C$5,'Size Parameters'!C$4),(IF(B15="Slab Drawer Front",'Size Parameters'!H$5,'Size Parameters'!H$4)))</f>
        <v>5.5</v>
      </c>
      <c r="N15" s="10">
        <f>IF(J$5="Inches",IF(COUNTIF(B15,"*Door*"),'Size Parameters'!B$4,'Size Parameters'!B$3),IF(COUNTIF(B15,"*Door*"),'Size Parameters'!G$4,'Size Parameters'!G$3))</f>
        <v>48</v>
      </c>
      <c r="O15" s="10">
        <f>IF(J$5="Inches",IF(B15="Slab Drawer Front",'Size Parameters'!E$5,'Size Parameters'!E$3),(IF(B15="Slab Drawer Front",'Size Parameters'!J$5,'Size Parameters'!J$3)))</f>
        <v>5.5</v>
      </c>
      <c r="P15" s="10">
        <f>IF(J$5="Inches",IF(COUNTIF(B15,"*Door*"),'Size Parameters'!D$4,IF(B15="Slab Drawer Front",'Size Parameters'!D$5,'Size Parameters'!D$3)),IF(COUNTIF(B15,"*Door*"),'Size Parameters'!I$4,IF(B15="Slab Drawer Front",'Size Parameters'!I$5,'Size Parameters'!J$3)))</f>
        <v>30</v>
      </c>
      <c r="U15" s="30">
        <f>IF(B15="Slab Drawer Front",0,C15)</f>
        <v>0</v>
      </c>
      <c r="V15" s="10">
        <f>IF(B15="Slab Drawer Front",0,(MROUND(IF(U15&gt;0,(IF($J$5="Inches",D15+#REF!,(D15+#REF!)/25.4)),0),1/16)))</f>
        <v>0</v>
      </c>
      <c r="W15" s="10">
        <f>IF(B15="Slab Drawer Front",0,(MROUND(IF(U15&gt;0,(IF($J$5="Inches",E15+#REF!,(E15+#REF!)/25.4)),0),1/16)))</f>
        <v>0</v>
      </c>
      <c r="X15" s="10">
        <f>IF(B15="Slab Drawer Front",0,(MROUND(IF(F15&lt;&gt;"",0,IF(U15&gt;0,IF($J$5="Inches",D15-AC15,(D15-AD15)/25.4),0)),1/16)))</f>
        <v>0</v>
      </c>
      <c r="Y15" s="10">
        <f>MROUND(IF(B15="Slab Drawer Front",0,IF(F15&lt;&gt;"",0,IF(U15&gt;0,IF($J$5="Inches",((E15-AC15)-(AL15*AA$5))/AM15,(((E15-AD15)-((AL15)*AA$6))/25.4)/AM15),0))),1/16)</f>
        <v>0</v>
      </c>
      <c r="Z15" s="10">
        <f>(IF(G15="",1,G15))*C15</f>
        <v>0</v>
      </c>
      <c r="AA15" s="48">
        <f t="shared" si="2"/>
        <v>0</v>
      </c>
      <c r="AB15" s="48" t="e">
        <f>MROUND(IF(J$5="Inches",D15-$AB$3,(D15/25.4)-$AB$3),1/16)</f>
        <v>#NUM!</v>
      </c>
      <c r="AC15" s="10">
        <f>IF(ISNA(VLOOKUP($J$4,Finishes!$C$3:$D$107,2,FALSE)),3.625,VLOOKUP($J$4,Finishes!$C$3:$D$107,2,FALSE))</f>
        <v>3.5625</v>
      </c>
      <c r="AD15" s="10">
        <f>IF(ISNA(VLOOKUP($J$4,Finishes!$C$3:$E$107,3,FALSE)),92.08,VLOOKUP($J$4,Finishes!$C$3:$E$107,3,FALSE))</f>
        <v>90.49</v>
      </c>
      <c r="AE15" s="10">
        <f>MROUND(IF(F15="",0,IF(U15&gt;0,IF($J$5="Inches",D15-AC15-AE$5,(D15-AD15-AF$5)/25.4),0)),1/16)</f>
        <v>0</v>
      </c>
      <c r="AF15" s="10">
        <f>MROUND(IF(B15="Slab Drawer Front",0,IF(F15&lt;&gt;"",IF(U15&gt;0,IF($J$5="Inches",(((E15-AC15)-((AM15-1)*AA$5))/AM15)-AE$5,(((E15-AD15-AF$5)-((AM15-1)*AA$6))/25.4)/AM15),0),0)),1/16)</f>
        <v>0</v>
      </c>
      <c r="AG15" s="31">
        <f>F15</f>
        <v>0</v>
      </c>
      <c r="AH15" s="42">
        <f>IFERROR((_xlfn.XLOOKUP(AG15,DATA!$J$3:$J$6,DATA!$K$3:$K$6)*J15*AH$5),0)</f>
        <v>0</v>
      </c>
      <c r="AI15" s="31">
        <f>IF(B15="Slab Drawer Front",C15,0)</f>
        <v>0</v>
      </c>
      <c r="AJ15" s="10">
        <f>IF(B15="Slab Drawer Front",(MROUND(IF(AI15&gt;0,IF($J$5="Inches",D15,D15/25.4),0),1/16)),0)</f>
        <v>0</v>
      </c>
      <c r="AK15" s="10">
        <f>IF(B15="Slab Drawer Front",(MROUND(IF(AI15&gt;0,IF($J$5="Inches",E15,E15/25.4),0),1/16)),0)</f>
        <v>0</v>
      </c>
      <c r="AL15" s="10">
        <f>IF(G15="",0,G15-1)</f>
        <v>0</v>
      </c>
      <c r="AM15" s="10">
        <f>IF(G15="",1,G15)</f>
        <v>1</v>
      </c>
      <c r="AN15" s="48">
        <f>AA15*DATA!N$8</f>
        <v>0</v>
      </c>
      <c r="AP15" s="10" t="s">
        <v>63</v>
      </c>
    </row>
    <row r="16" spans="1:45" x14ac:dyDescent="0.2">
      <c r="A16" s="1">
        <v>7</v>
      </c>
      <c r="B16" s="35"/>
      <c r="C16" s="36"/>
      <c r="D16" s="37"/>
      <c r="E16" s="37"/>
      <c r="F16" s="38"/>
      <c r="G16" s="38"/>
      <c r="H16" s="38"/>
      <c r="I16" s="38"/>
      <c r="J16" s="28" t="str">
        <f t="shared" si="0"/>
        <v/>
      </c>
      <c r="K16" s="29" t="str">
        <f>IF(J16="","",J16*(_xlfn.XLOOKUP(J$4,Finishes!C$3:C$50,Finishes!I$3:I$50))+(IF(OR(B16="Drawer Front",B16="Slab Drawer Front"),DATA!F$2,0)+AH16+AN16))</f>
        <v/>
      </c>
      <c r="L16" s="29" t="str">
        <f t="shared" si="1"/>
        <v/>
      </c>
      <c r="M16" s="10">
        <f>IF(J$5="Inches",IF(B16="Slab Drawer Front",'Size Parameters'!C$5,'Size Parameters'!C$4),(IF(B16="Slab Drawer Front",'Size Parameters'!H$5,'Size Parameters'!H$4)))</f>
        <v>5.5</v>
      </c>
      <c r="N16" s="10">
        <f>IF(J$5="Inches",IF(COUNTIF(B16,"*Door*"),'Size Parameters'!B$4,'Size Parameters'!B$3),IF(COUNTIF(B16,"*Door*"),'Size Parameters'!G$4,'Size Parameters'!G$3))</f>
        <v>48</v>
      </c>
      <c r="O16" s="10">
        <f>IF(J$5="Inches",IF(B16="Slab Drawer Front",'Size Parameters'!E$5,'Size Parameters'!E$3),(IF(B16="Slab Drawer Front",'Size Parameters'!J$5,'Size Parameters'!J$3)))</f>
        <v>5.5</v>
      </c>
      <c r="P16" s="10">
        <f>IF(J$5="Inches",IF(COUNTIF(B16,"*Door*"),'Size Parameters'!D$4,IF(B16="Slab Drawer Front",'Size Parameters'!D$5,'Size Parameters'!D$3)),IF(COUNTIF(B16,"*Door*"),'Size Parameters'!I$4,IF(B16="Slab Drawer Front",'Size Parameters'!I$5,'Size Parameters'!J$3)))</f>
        <v>30</v>
      </c>
      <c r="U16" s="30">
        <f>IF(B16="Slab Drawer Front",0,C16)</f>
        <v>0</v>
      </c>
      <c r="V16" s="10">
        <f>IF(B16="Slab Drawer Front",0,(MROUND(IF(U16&gt;0,(IF($J$5="Inches",D16+#REF!,(D16+#REF!)/25.4)),0),1/16)))</f>
        <v>0</v>
      </c>
      <c r="W16" s="10">
        <f>IF(B16="Slab Drawer Front",0,(MROUND(IF(U16&gt;0,(IF($J$5="Inches",E16+#REF!,(E16+#REF!)/25.4)),0),1/16)))</f>
        <v>0</v>
      </c>
      <c r="X16" s="10">
        <f>IF(B16="Slab Drawer Front",0,(MROUND(IF(F16&lt;&gt;"",0,IF(U16&gt;0,IF($J$5="Inches",D16-AC16,(D16-AD16)/25.4),0)),1/16)))</f>
        <v>0</v>
      </c>
      <c r="Y16" s="10">
        <f>MROUND(IF(B16="Slab Drawer Front",0,IF(F16&lt;&gt;"",0,IF(U16&gt;0,IF($J$5="Inches",((E16-AC16)-(AL16*AA$5))/AM16,(((E16-AD16)-((AL16)*AA$6))/25.4)/AM16),0))),1/16)</f>
        <v>0</v>
      </c>
      <c r="Z16" s="10">
        <f>(IF(G16="",1,G16))*C16</f>
        <v>0</v>
      </c>
      <c r="AA16" s="48">
        <f t="shared" si="2"/>
        <v>0</v>
      </c>
      <c r="AB16" s="48" t="e">
        <f>MROUND(IF(J$5="Inches",D16-$AB$3,(D16/25.4)-$AB$3),1/16)</f>
        <v>#NUM!</v>
      </c>
      <c r="AC16" s="10">
        <f>IF(ISNA(VLOOKUP($J$4,Finishes!$C$3:$D$107,2,FALSE)),3.625,VLOOKUP($J$4,Finishes!$C$3:$D$107,2,FALSE))</f>
        <v>3.5625</v>
      </c>
      <c r="AD16" s="10">
        <f>IF(ISNA(VLOOKUP($J$4,Finishes!$C$3:$E$107,3,FALSE)),92.08,VLOOKUP($J$4,Finishes!$C$3:$E$107,3,FALSE))</f>
        <v>90.49</v>
      </c>
      <c r="AE16" s="10">
        <f>MROUND(IF(F16="",0,IF(U16&gt;0,IF($J$5="Inches",D16-AC16-AE$5,(D16-AD16-AF$5)/25.4),0)),1/16)</f>
        <v>0</v>
      </c>
      <c r="AF16" s="10">
        <f>MROUND(IF(B16="Slab Drawer Front",0,IF(F16&lt;&gt;"",IF(U16&gt;0,IF($J$5="Inches",(((E16-AC16)-((AM16-1)*AA$5))/AM16)-AE$5,(((E16-AD16-AF$5)-((AM16-1)*AA$6))/25.4)/AM16),0),0)),1/16)</f>
        <v>0</v>
      </c>
      <c r="AG16" s="31">
        <f>F16</f>
        <v>0</v>
      </c>
      <c r="AH16" s="42">
        <f>IFERROR((_xlfn.XLOOKUP(AG16,DATA!$J$3:$J$6,DATA!$K$3:$K$6)*J16*AH$5),0)</f>
        <v>0</v>
      </c>
      <c r="AI16" s="31">
        <f>IF(B16="Slab Drawer Front",C16,0)</f>
        <v>0</v>
      </c>
      <c r="AJ16" s="10">
        <f>IF(B16="Slab Drawer Front",(MROUND(IF(AI16&gt;0,IF($J$5="Inches",D16,D16/25.4),0),1/16)),0)</f>
        <v>0</v>
      </c>
      <c r="AK16" s="10">
        <f>IF(B16="Slab Drawer Front",(MROUND(IF(AI16&gt;0,IF($J$5="Inches",E16,E16/25.4),0),1/16)),0)</f>
        <v>0</v>
      </c>
      <c r="AL16" s="10">
        <f>IF(G16="",0,G16-1)</f>
        <v>0</v>
      </c>
      <c r="AM16" s="10">
        <f>IF(G16="",1,G16)</f>
        <v>1</v>
      </c>
      <c r="AN16" s="48">
        <f>AA16*DATA!N$8</f>
        <v>0</v>
      </c>
    </row>
    <row r="17" spans="1:42" x14ac:dyDescent="0.2">
      <c r="A17" s="1">
        <v>8</v>
      </c>
      <c r="B17" s="35"/>
      <c r="C17" s="36"/>
      <c r="D17" s="37"/>
      <c r="E17" s="37"/>
      <c r="F17" s="38"/>
      <c r="G17" s="38"/>
      <c r="H17" s="38"/>
      <c r="I17" s="38"/>
      <c r="J17" s="28" t="str">
        <f t="shared" si="0"/>
        <v/>
      </c>
      <c r="K17" s="29" t="str">
        <f>IF(J17="","",J17*(_xlfn.XLOOKUP(J$4,Finishes!C$3:C$50,Finishes!I$3:I$50))+(IF(OR(B17="Drawer Front",B17="Slab Drawer Front"),DATA!F$2,0)+AH17+AN17))</f>
        <v/>
      </c>
      <c r="L17" s="29" t="str">
        <f t="shared" si="1"/>
        <v/>
      </c>
      <c r="M17" s="10">
        <f>IF(J$5="Inches",IF(B17="Slab Drawer Front",'Size Parameters'!C$5,'Size Parameters'!C$4),(IF(B17="Slab Drawer Front",'Size Parameters'!H$5,'Size Parameters'!H$4)))</f>
        <v>5.5</v>
      </c>
      <c r="N17" s="10">
        <f>IF(J$5="Inches",IF(COUNTIF(B17,"*Door*"),'Size Parameters'!B$4,'Size Parameters'!B$3),IF(COUNTIF(B17,"*Door*"),'Size Parameters'!G$4,'Size Parameters'!G$3))</f>
        <v>48</v>
      </c>
      <c r="O17" s="10">
        <f>IF(J$5="Inches",IF(B17="Slab Drawer Front",'Size Parameters'!E$5,'Size Parameters'!E$3),(IF(B17="Slab Drawer Front",'Size Parameters'!J$5,'Size Parameters'!J$3)))</f>
        <v>5.5</v>
      </c>
      <c r="P17" s="10">
        <f>IF(J$5="Inches",IF(COUNTIF(B17,"*Door*"),'Size Parameters'!D$4,IF(B17="Slab Drawer Front",'Size Parameters'!D$5,'Size Parameters'!D$3)),IF(COUNTIF(B17,"*Door*"),'Size Parameters'!I$4,IF(B17="Slab Drawer Front",'Size Parameters'!I$5,'Size Parameters'!J$3)))</f>
        <v>30</v>
      </c>
      <c r="U17" s="30">
        <f>IF(B17="Slab Drawer Front",0,C17)</f>
        <v>0</v>
      </c>
      <c r="V17" s="10">
        <f>IF(B17="Slab Drawer Front",0,(MROUND(IF(U17&gt;0,(IF($J$5="Inches",D17+#REF!,(D17+#REF!)/25.4)),0),1/16)))</f>
        <v>0</v>
      </c>
      <c r="W17" s="10">
        <f>IF(B17="Slab Drawer Front",0,(MROUND(IF(U17&gt;0,(IF($J$5="Inches",E17+#REF!,(E17+#REF!)/25.4)),0),1/16)))</f>
        <v>0</v>
      </c>
      <c r="X17" s="10">
        <f>IF(B17="Slab Drawer Front",0,(MROUND(IF(F17&lt;&gt;"",0,IF(U17&gt;0,IF($J$5="Inches",D17-AC17,(D17-AD17)/25.4),0)),1/16)))</f>
        <v>0</v>
      </c>
      <c r="Y17" s="10">
        <f>MROUND(IF(B17="Slab Drawer Front",0,IF(F17&lt;&gt;"",0,IF(U17&gt;0,IF($J$5="Inches",((E17-AC17)-(AL17*AA$5))/AM17,(((E17-AD17)-((AL17)*AA$6))/25.4)/AM17),0))),1/16)</f>
        <v>0</v>
      </c>
      <c r="Z17" s="10">
        <f>(IF(G17="",1,G17))*C17</f>
        <v>0</v>
      </c>
      <c r="AA17" s="48">
        <f t="shared" si="2"/>
        <v>0</v>
      </c>
      <c r="AB17" s="48" t="e">
        <f>MROUND(IF(J$5="Inches",D17-$AB$3,(D17/25.4)-$AB$3),1/16)</f>
        <v>#NUM!</v>
      </c>
      <c r="AC17" s="10">
        <f>IF(ISNA(VLOOKUP($J$4,Finishes!$C$3:$D$107,2,FALSE)),3.625,VLOOKUP($J$4,Finishes!$C$3:$D$107,2,FALSE))</f>
        <v>3.5625</v>
      </c>
      <c r="AD17" s="10">
        <f>IF(ISNA(VLOOKUP($J$4,Finishes!$C$3:$E$107,3,FALSE)),92.08,VLOOKUP($J$4,Finishes!$C$3:$E$107,3,FALSE))</f>
        <v>90.49</v>
      </c>
      <c r="AE17" s="10">
        <f>MROUND(IF(F17="",0,IF(U17&gt;0,IF($J$5="Inches",D17-AC17-AE$5,(D17-AD17-AF$5)/25.4),0)),1/16)</f>
        <v>0</v>
      </c>
      <c r="AF17" s="10">
        <f>MROUND(IF(B17="Slab Drawer Front",0,IF(F17&lt;&gt;"",IF(U17&gt;0,IF($J$5="Inches",(((E17-AC17)-((AM17-1)*AA$5))/AM17)-AE$5,(((E17-AD17-AF$5)-((AM17-1)*AA$6))/25.4)/AM17),0),0)),1/16)</f>
        <v>0</v>
      </c>
      <c r="AG17" s="31">
        <f>F17</f>
        <v>0</v>
      </c>
      <c r="AH17" s="42">
        <f>IFERROR((_xlfn.XLOOKUP(AG17,DATA!$J$3:$J$6,DATA!$K$3:$K$6)*J17*AH$5),0)</f>
        <v>0</v>
      </c>
      <c r="AI17" s="31">
        <f>IF(B17="Slab Drawer Front",C17,0)</f>
        <v>0</v>
      </c>
      <c r="AJ17" s="10">
        <f>IF(B17="Slab Drawer Front",(MROUND(IF(AI17&gt;0,IF($J$5="Inches",D17,D17/25.4),0),1/16)),0)</f>
        <v>0</v>
      </c>
      <c r="AK17" s="10">
        <f>IF(B17="Slab Drawer Front",(MROUND(IF(AI17&gt;0,IF($J$5="Inches",E17,E17/25.4),0),1/16)),0)</f>
        <v>0</v>
      </c>
      <c r="AL17" s="10">
        <f>IF(G17="",0,G17-1)</f>
        <v>0</v>
      </c>
      <c r="AM17" s="10">
        <f>IF(G17="",1,G17)</f>
        <v>1</v>
      </c>
      <c r="AN17" s="48">
        <f>AA17*DATA!N$8</f>
        <v>0</v>
      </c>
      <c r="AP17" s="10" t="s">
        <v>64</v>
      </c>
    </row>
    <row r="18" spans="1:42" x14ac:dyDescent="0.2">
      <c r="A18" s="1">
        <v>9</v>
      </c>
      <c r="B18" s="35"/>
      <c r="C18" s="36"/>
      <c r="D18" s="37"/>
      <c r="E18" s="37"/>
      <c r="F18" s="38"/>
      <c r="G18" s="38"/>
      <c r="H18" s="38"/>
      <c r="I18" s="38"/>
      <c r="J18" s="28" t="str">
        <f t="shared" si="0"/>
        <v/>
      </c>
      <c r="K18" s="29" t="str">
        <f>IF(J18="","",J18*(_xlfn.XLOOKUP(J$4,Finishes!C$3:C$50,Finishes!I$3:I$50))+(IF(OR(B18="Drawer Front",B18="Slab Drawer Front"),DATA!F$2,0)+AH18+AN18))</f>
        <v/>
      </c>
      <c r="L18" s="29" t="str">
        <f t="shared" si="1"/>
        <v/>
      </c>
      <c r="M18" s="10">
        <f>IF(J$5="Inches",IF(B18="Slab Drawer Front",'Size Parameters'!C$5,'Size Parameters'!C$4),(IF(B18="Slab Drawer Front",'Size Parameters'!H$5,'Size Parameters'!H$4)))</f>
        <v>5.5</v>
      </c>
      <c r="N18" s="10">
        <f>IF(J$5="Inches",IF(COUNTIF(B18,"*Door*"),'Size Parameters'!B$4,'Size Parameters'!B$3),IF(COUNTIF(B18,"*Door*"),'Size Parameters'!G$4,'Size Parameters'!G$3))</f>
        <v>48</v>
      </c>
      <c r="O18" s="10">
        <f>IF(J$5="Inches",IF(B18="Slab Drawer Front",'Size Parameters'!E$5,'Size Parameters'!E$3),(IF(B18="Slab Drawer Front",'Size Parameters'!J$5,'Size Parameters'!J$3)))</f>
        <v>5.5</v>
      </c>
      <c r="P18" s="10">
        <f>IF(J$5="Inches",IF(COUNTIF(B18,"*Door*"),'Size Parameters'!D$4,IF(B18="Slab Drawer Front",'Size Parameters'!D$5,'Size Parameters'!D$3)),IF(COUNTIF(B18,"*Door*"),'Size Parameters'!I$4,IF(B18="Slab Drawer Front",'Size Parameters'!I$5,'Size Parameters'!J$3)))</f>
        <v>30</v>
      </c>
      <c r="U18" s="30">
        <f>IF(B18="Slab Drawer Front",0,C18)</f>
        <v>0</v>
      </c>
      <c r="V18" s="10">
        <f>IF(B18="Slab Drawer Front",0,(MROUND(IF(U18&gt;0,(IF($J$5="Inches",D18+#REF!,(D18+#REF!)/25.4)),0),1/16)))</f>
        <v>0</v>
      </c>
      <c r="W18" s="10">
        <f>IF(B18="Slab Drawer Front",0,(MROUND(IF(U18&gt;0,(IF($J$5="Inches",E18+#REF!,(E18+#REF!)/25.4)),0),1/16)))</f>
        <v>0</v>
      </c>
      <c r="X18" s="10">
        <f>IF(B18="Slab Drawer Front",0,(MROUND(IF(F18&lt;&gt;"",0,IF(U18&gt;0,IF($J$5="Inches",D18-AC18,(D18-AD18)/25.4),0)),1/16)))</f>
        <v>0</v>
      </c>
      <c r="Y18" s="10">
        <f>MROUND(IF(B18="Slab Drawer Front",0,IF(F18&lt;&gt;"",0,IF(U18&gt;0,IF($J$5="Inches",((E18-AC18)-(AL18*AA$5))/AM18,(((E18-AD18)-((AL18)*AA$6))/25.4)/AM18),0))),1/16)</f>
        <v>0</v>
      </c>
      <c r="Z18" s="10">
        <f>(IF(G18="",1,G18))*C18</f>
        <v>0</v>
      </c>
      <c r="AA18" s="48">
        <f t="shared" si="2"/>
        <v>0</v>
      </c>
      <c r="AB18" s="48" t="e">
        <f>MROUND(IF(J$5="Inches",D18-$AB$3,(D18/25.4)-$AB$3),1/16)</f>
        <v>#NUM!</v>
      </c>
      <c r="AC18" s="10">
        <f>IF(ISNA(VLOOKUP($J$4,Finishes!$C$3:$D$107,2,FALSE)),3.625,VLOOKUP($J$4,Finishes!$C$3:$D$107,2,FALSE))</f>
        <v>3.5625</v>
      </c>
      <c r="AD18" s="10">
        <f>IF(ISNA(VLOOKUP($J$4,Finishes!$C$3:$E$107,3,FALSE)),92.08,VLOOKUP($J$4,Finishes!$C$3:$E$107,3,FALSE))</f>
        <v>90.49</v>
      </c>
      <c r="AE18" s="10">
        <f>MROUND(IF(F18="",0,IF(U18&gt;0,IF($J$5="Inches",D18-AC18-AE$5,(D18-AD18-AF$5)/25.4),0)),1/16)</f>
        <v>0</v>
      </c>
      <c r="AF18" s="10">
        <f>MROUND(IF(B18="Slab Drawer Front",0,IF(F18&lt;&gt;"",IF(U18&gt;0,IF($J$5="Inches",(((E18-AC18)-((AM18-1)*AA$5))/AM18)-AE$5,(((E18-AD18-AF$5)-((AM18-1)*AA$6))/25.4)/AM18),0),0)),1/16)</f>
        <v>0</v>
      </c>
      <c r="AG18" s="31">
        <f>F18</f>
        <v>0</v>
      </c>
      <c r="AH18" s="42">
        <f>IFERROR((_xlfn.XLOOKUP(AG18,DATA!$J$3:$J$6,DATA!$K$3:$K$6)*J18*AH$5),0)</f>
        <v>0</v>
      </c>
      <c r="AI18" s="31">
        <f>IF(B18="Slab Drawer Front",C18,0)</f>
        <v>0</v>
      </c>
      <c r="AJ18" s="10">
        <f>IF(B18="Slab Drawer Front",(MROUND(IF(AI18&gt;0,IF($J$5="Inches",D18,D18/25.4),0),1/16)),0)</f>
        <v>0</v>
      </c>
      <c r="AK18" s="10">
        <f>IF(B18="Slab Drawer Front",(MROUND(IF(AI18&gt;0,IF($J$5="Inches",E18,E18/25.4),0),1/16)),0)</f>
        <v>0</v>
      </c>
      <c r="AL18" s="10">
        <f>IF(G18="",0,G18-1)</f>
        <v>0</v>
      </c>
      <c r="AM18" s="10">
        <f>IF(G18="",1,G18)</f>
        <v>1</v>
      </c>
      <c r="AN18" s="48">
        <f>AA18*DATA!N$8</f>
        <v>0</v>
      </c>
    </row>
    <row r="19" spans="1:42" x14ac:dyDescent="0.2">
      <c r="A19" s="1">
        <v>10</v>
      </c>
      <c r="B19" s="35"/>
      <c r="C19" s="36"/>
      <c r="D19" s="37"/>
      <c r="E19" s="37"/>
      <c r="F19" s="38"/>
      <c r="G19" s="38"/>
      <c r="H19" s="38"/>
      <c r="I19" s="38"/>
      <c r="J19" s="28" t="str">
        <f t="shared" si="0"/>
        <v/>
      </c>
      <c r="K19" s="29" t="str">
        <f>IF(J19="","",J19*(_xlfn.XLOOKUP(J$4,Finishes!C$3:C$50,Finishes!I$3:I$50))+(IF(OR(B19="Drawer Front",B19="Slab Drawer Front"),DATA!F$2,0)+AH19+AN19))</f>
        <v/>
      </c>
      <c r="L19" s="29" t="str">
        <f t="shared" si="1"/>
        <v/>
      </c>
      <c r="M19" s="10">
        <f>IF(J$5="Inches",IF(B19="Slab Drawer Front",'Size Parameters'!C$5,'Size Parameters'!C$4),(IF(B19="Slab Drawer Front",'Size Parameters'!H$5,'Size Parameters'!H$4)))</f>
        <v>5.5</v>
      </c>
      <c r="N19" s="10">
        <f>IF(J$5="Inches",IF(COUNTIF(B19,"*Door*"),'Size Parameters'!B$4,'Size Parameters'!B$3),IF(COUNTIF(B19,"*Door*"),'Size Parameters'!G$4,'Size Parameters'!G$3))</f>
        <v>48</v>
      </c>
      <c r="O19" s="10">
        <f>IF(J$5="Inches",IF(B19="Slab Drawer Front",'Size Parameters'!E$5,'Size Parameters'!E$3),(IF(B19="Slab Drawer Front",'Size Parameters'!J$5,'Size Parameters'!J$3)))</f>
        <v>5.5</v>
      </c>
      <c r="P19" s="10">
        <f>IF(J$5="Inches",IF(COUNTIF(B19,"*Door*"),'Size Parameters'!D$4,IF(B19="Slab Drawer Front",'Size Parameters'!D$5,'Size Parameters'!D$3)),IF(COUNTIF(B19,"*Door*"),'Size Parameters'!I$4,IF(B19="Slab Drawer Front",'Size Parameters'!I$5,'Size Parameters'!J$3)))</f>
        <v>30</v>
      </c>
      <c r="U19" s="30">
        <f>IF(B19="Slab Drawer Front",0,C19)</f>
        <v>0</v>
      </c>
      <c r="V19" s="10">
        <f>IF(B19="Slab Drawer Front",0,(MROUND(IF(U19&gt;0,(IF($J$5="Inches",D19+#REF!,(D19+#REF!)/25.4)),0),1/16)))</f>
        <v>0</v>
      </c>
      <c r="W19" s="10">
        <f>IF(B19="Slab Drawer Front",0,(MROUND(IF(U19&gt;0,(IF($J$5="Inches",E19+#REF!,(E19+#REF!)/25.4)),0),1/16)))</f>
        <v>0</v>
      </c>
      <c r="X19" s="10">
        <f>IF(B19="Slab Drawer Front",0,(MROUND(IF(F19&lt;&gt;"",0,IF(U19&gt;0,IF($J$5="Inches",D19-AC19,(D19-AD19)/25.4),0)),1/16)))</f>
        <v>0</v>
      </c>
      <c r="Y19" s="10">
        <f>MROUND(IF(B19="Slab Drawer Front",0,IF(F19&lt;&gt;"",0,IF(U19&gt;0,IF($J$5="Inches",((E19-AC19)-(AL19*AA$5))/AM19,(((E19-AD19)-((AL19)*AA$6))/25.4)/AM19),0))),1/16)</f>
        <v>0</v>
      </c>
      <c r="Z19" s="10">
        <f>(IF(G19="",1,G19))*C19</f>
        <v>0</v>
      </c>
      <c r="AA19" s="48">
        <f t="shared" si="2"/>
        <v>0</v>
      </c>
      <c r="AB19" s="48" t="e">
        <f>MROUND(IF(J$5="Inches",D19-$AB$3,(D19/25.4)-$AB$3),1/16)</f>
        <v>#NUM!</v>
      </c>
      <c r="AC19" s="10">
        <f>IF(ISNA(VLOOKUP($J$4,Finishes!$C$3:$D$107,2,FALSE)),3.625,VLOOKUP($J$4,Finishes!$C$3:$D$107,2,FALSE))</f>
        <v>3.5625</v>
      </c>
      <c r="AD19" s="10">
        <f>IF(ISNA(VLOOKUP($J$4,Finishes!$C$3:$E$107,3,FALSE)),92.08,VLOOKUP($J$4,Finishes!$C$3:$E$107,3,FALSE))</f>
        <v>90.49</v>
      </c>
      <c r="AE19" s="10">
        <f>MROUND(IF(F19="",0,IF(U19&gt;0,IF($J$5="Inches",D19-AC19-AE$5,(D19-AD19-AF$5)/25.4),0)),1/16)</f>
        <v>0</v>
      </c>
      <c r="AF19" s="10">
        <f>MROUND(IF(B19="Slab Drawer Front",0,IF(F19&lt;&gt;"",IF(U19&gt;0,IF($J$5="Inches",(((E19-AC19)-((AM19-1)*AA$5))/AM19)-AE$5,(((E19-AD19-AF$5)-((AM19-1)*AA$6))/25.4)/AM19),0),0)),1/16)</f>
        <v>0</v>
      </c>
      <c r="AG19" s="31">
        <f>F19</f>
        <v>0</v>
      </c>
      <c r="AH19" s="42">
        <f>IFERROR((_xlfn.XLOOKUP(AG19,DATA!$J$3:$J$6,DATA!$K$3:$K$6)*J19*AH$5),0)</f>
        <v>0</v>
      </c>
      <c r="AI19" s="31">
        <f>IF(B19="Slab Drawer Front",C19,0)</f>
        <v>0</v>
      </c>
      <c r="AJ19" s="10">
        <f>IF(B19="Slab Drawer Front",(MROUND(IF(AI19&gt;0,IF($J$5="Inches",D19,D19/25.4),0),1/16)),0)</f>
        <v>0</v>
      </c>
      <c r="AK19" s="10">
        <f>IF(B19="Slab Drawer Front",(MROUND(IF(AI19&gt;0,IF($J$5="Inches",E19,E19/25.4),0),1/16)),0)</f>
        <v>0</v>
      </c>
      <c r="AL19" s="10">
        <f>IF(G19="",0,G19-1)</f>
        <v>0</v>
      </c>
      <c r="AM19" s="10">
        <f>IF(G19="",1,G19)</f>
        <v>1</v>
      </c>
      <c r="AN19" s="48">
        <f>AA19*DATA!N$8</f>
        <v>0</v>
      </c>
    </row>
    <row r="20" spans="1:42" x14ac:dyDescent="0.2">
      <c r="A20" s="1">
        <v>11</v>
      </c>
      <c r="B20" s="35"/>
      <c r="C20" s="36"/>
      <c r="D20" s="37"/>
      <c r="E20" s="37"/>
      <c r="F20" s="38"/>
      <c r="G20" s="38"/>
      <c r="H20" s="38"/>
      <c r="I20" s="38"/>
      <c r="J20" s="28" t="str">
        <f t="shared" si="0"/>
        <v/>
      </c>
      <c r="K20" s="29" t="str">
        <f>IF(J20="","",J20*(_xlfn.XLOOKUP(J$4,Finishes!C$3:C$50,Finishes!I$3:I$50))+(IF(OR(B20="Drawer Front",B20="Slab Drawer Front"),DATA!F$2,0)+AH20+AN20))</f>
        <v/>
      </c>
      <c r="L20" s="29" t="str">
        <f t="shared" si="1"/>
        <v/>
      </c>
      <c r="M20" s="10">
        <f>IF(J$5="Inches",IF(B20="Slab Drawer Front",'Size Parameters'!C$5,'Size Parameters'!C$4),(IF(B20="Slab Drawer Front",'Size Parameters'!H$5,'Size Parameters'!H$4)))</f>
        <v>5.5</v>
      </c>
      <c r="N20" s="10">
        <f>IF(J$5="Inches",IF(COUNTIF(B20,"*Door*"),'Size Parameters'!B$4,'Size Parameters'!B$3),IF(COUNTIF(B20,"*Door*"),'Size Parameters'!G$4,'Size Parameters'!G$3))</f>
        <v>48</v>
      </c>
      <c r="O20" s="10">
        <f>IF(J$5="Inches",IF(B20="Slab Drawer Front",'Size Parameters'!E$5,'Size Parameters'!E$3),(IF(B20="Slab Drawer Front",'Size Parameters'!J$5,'Size Parameters'!J$3)))</f>
        <v>5.5</v>
      </c>
      <c r="P20" s="10">
        <f>IF(J$5="Inches",IF(COUNTIF(B20,"*Door*"),'Size Parameters'!D$4,IF(B20="Slab Drawer Front",'Size Parameters'!D$5,'Size Parameters'!D$3)),IF(COUNTIF(B20,"*Door*"),'Size Parameters'!I$4,IF(B20="Slab Drawer Front",'Size Parameters'!I$5,'Size Parameters'!J$3)))</f>
        <v>30</v>
      </c>
      <c r="U20" s="30">
        <f>IF(B20="Slab Drawer Front",0,C20)</f>
        <v>0</v>
      </c>
      <c r="V20" s="10">
        <f>IF(B20="Slab Drawer Front",0,(MROUND(IF(U20&gt;0,(IF($J$5="Inches",D20+#REF!,(D20+#REF!)/25.4)),0),1/16)))</f>
        <v>0</v>
      </c>
      <c r="W20" s="10">
        <f>IF(B20="Slab Drawer Front",0,(MROUND(IF(U20&gt;0,(IF($J$5="Inches",E20+#REF!,(E20+#REF!)/25.4)),0),1/16)))</f>
        <v>0</v>
      </c>
      <c r="X20" s="10">
        <f>IF(B20="Slab Drawer Front",0,(MROUND(IF(F20&lt;&gt;"",0,IF(U20&gt;0,IF($J$5="Inches",D20-AC20,(D20-AD20)/25.4),0)),1/16)))</f>
        <v>0</v>
      </c>
      <c r="Y20" s="10">
        <f>MROUND(IF(B20="Slab Drawer Front",0,IF(F20&lt;&gt;"",0,IF(U20&gt;0,IF($J$5="Inches",((E20-AC20)-(AL20*AA$5))/AM20,(((E20-AD20)-((AL20)*AA$6))/25.4)/AM20),0))),1/16)</f>
        <v>0</v>
      </c>
      <c r="Z20" s="10">
        <f>(IF(G20="",1,G20))*C20</f>
        <v>0</v>
      </c>
      <c r="AA20" s="48">
        <f t="shared" si="2"/>
        <v>0</v>
      </c>
      <c r="AB20" s="48" t="e">
        <f>MROUND(IF(J$5="Inches",D20-$AB$3,(D20/25.4)-$AB$3),1/16)</f>
        <v>#NUM!</v>
      </c>
      <c r="AC20" s="10">
        <f>IF(ISNA(VLOOKUP($J$4,Finishes!$C$3:$D$107,2,FALSE)),3.625,VLOOKUP($J$4,Finishes!$C$3:$D$107,2,FALSE))</f>
        <v>3.5625</v>
      </c>
      <c r="AD20" s="10">
        <f>IF(ISNA(VLOOKUP($J$4,Finishes!$C$3:$E$107,3,FALSE)),92.08,VLOOKUP($J$4,Finishes!$C$3:$E$107,3,FALSE))</f>
        <v>90.49</v>
      </c>
      <c r="AE20" s="10">
        <f>MROUND(IF(F20="",0,IF(U20&gt;0,IF($J$5="Inches",D20-AC20-AE$5,(D20-AD20-AF$5)/25.4),0)),1/16)</f>
        <v>0</v>
      </c>
      <c r="AF20" s="10">
        <f>MROUND(IF(B20="Slab Drawer Front",0,IF(F20&lt;&gt;"",IF(U20&gt;0,IF($J$5="Inches",(((E20-AC20)-((AM20-1)*AA$5))/AM20)-AE$5,(((E20-AD20-AF$5)-((AM20-1)*AA$6))/25.4)/AM20),0),0)),1/16)</f>
        <v>0</v>
      </c>
      <c r="AG20" s="31">
        <f>F20</f>
        <v>0</v>
      </c>
      <c r="AH20" s="42">
        <f>IFERROR((_xlfn.XLOOKUP(AG20,DATA!$J$3:$J$6,DATA!$K$3:$K$6)*J20*AH$5),0)</f>
        <v>0</v>
      </c>
      <c r="AI20" s="31">
        <f>IF(B20="Slab Drawer Front",C20,0)</f>
        <v>0</v>
      </c>
      <c r="AJ20" s="10">
        <f>IF(B20="Slab Drawer Front",(MROUND(IF(AI20&gt;0,IF($J$5="Inches",D20,D20/25.4),0),1/16)),0)</f>
        <v>0</v>
      </c>
      <c r="AK20" s="10">
        <f>IF(B20="Slab Drawer Front",(MROUND(IF(AI20&gt;0,IF($J$5="Inches",E20,E20/25.4),0),1/16)),0)</f>
        <v>0</v>
      </c>
      <c r="AL20" s="10">
        <f>IF(G20="",0,G20-1)</f>
        <v>0</v>
      </c>
      <c r="AM20" s="10">
        <f>IF(G20="",1,G20)</f>
        <v>1</v>
      </c>
      <c r="AN20" s="48">
        <f>AA20*DATA!N$8</f>
        <v>0</v>
      </c>
    </row>
    <row r="21" spans="1:42" x14ac:dyDescent="0.2">
      <c r="A21" s="1">
        <v>12</v>
      </c>
      <c r="B21" s="35"/>
      <c r="C21" s="36"/>
      <c r="D21" s="37"/>
      <c r="E21" s="37"/>
      <c r="F21" s="38"/>
      <c r="G21" s="38"/>
      <c r="H21" s="38"/>
      <c r="I21" s="38"/>
      <c r="J21" s="28" t="str">
        <f t="shared" si="0"/>
        <v/>
      </c>
      <c r="K21" s="29" t="str">
        <f>IF(J21="","",J21*(_xlfn.XLOOKUP(J$4,Finishes!C$3:C$50,Finishes!I$3:I$50))+(IF(OR(B21="Drawer Front",B21="Slab Drawer Front"),DATA!F$2,0)+AH21+AN21))</f>
        <v/>
      </c>
      <c r="L21" s="29" t="str">
        <f t="shared" ref="L21:L52" si="3">IF(J21="","",C21*K21)</f>
        <v/>
      </c>
      <c r="M21" s="10">
        <f>IF(J$5="Inches",IF(B21="Slab Drawer Front",'Size Parameters'!C$5,'Size Parameters'!C$4),(IF(B21="Slab Drawer Front",'Size Parameters'!H$5,'Size Parameters'!H$4)))</f>
        <v>5.5</v>
      </c>
      <c r="N21" s="10">
        <f>IF(J$5="Inches",IF(COUNTIF(B21,"*Door*"),'Size Parameters'!B$4,'Size Parameters'!B$3),IF(COUNTIF(B21,"*Door*"),'Size Parameters'!G$4,'Size Parameters'!G$3))</f>
        <v>48</v>
      </c>
      <c r="O21" s="10">
        <f>IF(J$5="Inches",IF(B21="Slab Drawer Front",'Size Parameters'!E$5,'Size Parameters'!E$3),(IF(B21="Slab Drawer Front",'Size Parameters'!J$5,'Size Parameters'!J$3)))</f>
        <v>5.5</v>
      </c>
      <c r="P21" s="10">
        <f>IF(J$5="Inches",IF(COUNTIF(B21,"*Door*"),'Size Parameters'!D$4,IF(B21="Slab Drawer Front",'Size Parameters'!D$5,'Size Parameters'!D$3)),IF(COUNTIF(B21,"*Door*"),'Size Parameters'!I$4,IF(B21="Slab Drawer Front",'Size Parameters'!I$5,'Size Parameters'!J$3)))</f>
        <v>30</v>
      </c>
      <c r="U21" s="30">
        <f>IF(B21="Slab Drawer Front",0,C21)</f>
        <v>0</v>
      </c>
      <c r="V21" s="10">
        <f>IF(B21="Slab Drawer Front",0,(MROUND(IF(U21&gt;0,(IF($J$5="Inches",D21+#REF!,(D21+#REF!)/25.4)),0),1/16)))</f>
        <v>0</v>
      </c>
      <c r="W21" s="10">
        <f>IF(B21="Slab Drawer Front",0,(MROUND(IF(U21&gt;0,(IF($J$5="Inches",E21+#REF!,(E21+#REF!)/25.4)),0),1/16)))</f>
        <v>0</v>
      </c>
      <c r="X21" s="10">
        <f>IF(B21="Slab Drawer Front",0,(MROUND(IF(F21&lt;&gt;"",0,IF(U21&gt;0,IF($J$5="Inches",D21-AC21,(D21-AD21)/25.4),0)),1/16)))</f>
        <v>0</v>
      </c>
      <c r="Y21" s="10">
        <f>MROUND(IF(B21="Slab Drawer Front",0,IF(F21&lt;&gt;"",0,IF(U21&gt;0,IF($J$5="Inches",((E21-AC21)-(AL21*AA$5))/AM21,(((E21-AD21)-((AL21)*AA$6))/25.4)/AM21),0))),1/16)</f>
        <v>0</v>
      </c>
      <c r="Z21" s="10">
        <f>(IF(G21="",1,G21))*C21</f>
        <v>0</v>
      </c>
      <c r="AA21" s="48">
        <f t="shared" si="2"/>
        <v>0</v>
      </c>
      <c r="AB21" s="48" t="e">
        <f>MROUND(IF(J$5="Inches",D21-$AB$3,(D21/25.4)-$AB$3),1/16)</f>
        <v>#NUM!</v>
      </c>
      <c r="AC21" s="10">
        <f>IF(ISNA(VLOOKUP($J$4,Finishes!$C$3:$D$107,2,FALSE)),3.625,VLOOKUP($J$4,Finishes!$C$3:$D$107,2,FALSE))</f>
        <v>3.5625</v>
      </c>
      <c r="AD21" s="10">
        <f>IF(ISNA(VLOOKUP($J$4,Finishes!$C$3:$E$107,3,FALSE)),92.08,VLOOKUP($J$4,Finishes!$C$3:$E$107,3,FALSE))</f>
        <v>90.49</v>
      </c>
      <c r="AE21" s="10">
        <f>MROUND(IF(F21="",0,IF(U21&gt;0,IF($J$5="Inches",D21-AC21-AE$5,(D21-AD21-AF$5)/25.4),0)),1/16)</f>
        <v>0</v>
      </c>
      <c r="AF21" s="10">
        <f>MROUND(IF(B21="Slab Drawer Front",0,IF(F21&lt;&gt;"",IF(U21&gt;0,IF($J$5="Inches",(((E21-AC21)-((AM21-1)*AA$5))/AM21)-AE$5,(((E21-AD21-AF$5)-((AM21-1)*AA$6))/25.4)/AM21),0),0)),1/16)</f>
        <v>0</v>
      </c>
      <c r="AG21" s="31">
        <f>F21</f>
        <v>0</v>
      </c>
      <c r="AH21" s="42">
        <f>IFERROR((_xlfn.XLOOKUP(AG21,DATA!$J$3:$J$6,DATA!$K$3:$K$6)*J21*AH$5),0)</f>
        <v>0</v>
      </c>
      <c r="AI21" s="31">
        <f>IF(B21="Slab Drawer Front",C21,0)</f>
        <v>0</v>
      </c>
      <c r="AJ21" s="10">
        <f>IF(B21="Slab Drawer Front",(MROUND(IF(AI21&gt;0,IF($J$5="Inches",D21,D21/25.4),0),1/16)),0)</f>
        <v>0</v>
      </c>
      <c r="AK21" s="10">
        <f>IF(B21="Slab Drawer Front",(MROUND(IF(AI21&gt;0,IF($J$5="Inches",E21,E21/25.4),0),1/16)),0)</f>
        <v>0</v>
      </c>
      <c r="AL21" s="10">
        <f>IF(G21="",0,G21-1)</f>
        <v>0</v>
      </c>
      <c r="AM21" s="10">
        <f>IF(G21="",1,G21)</f>
        <v>1</v>
      </c>
      <c r="AN21" s="48">
        <f>AA21*DATA!N$8</f>
        <v>0</v>
      </c>
    </row>
    <row r="22" spans="1:42" x14ac:dyDescent="0.2">
      <c r="A22" s="1">
        <v>13</v>
      </c>
      <c r="B22" s="35"/>
      <c r="C22" s="36"/>
      <c r="D22" s="37"/>
      <c r="E22" s="37"/>
      <c r="F22" s="38"/>
      <c r="G22" s="38"/>
      <c r="H22" s="38"/>
      <c r="I22" s="38"/>
      <c r="J22" s="28" t="str">
        <f t="shared" si="0"/>
        <v/>
      </c>
      <c r="K22" s="29" t="str">
        <f>IF(J22="","",J22*(_xlfn.XLOOKUP(J$4,Finishes!C$3:C$50,Finishes!I$3:I$50))+(IF(OR(B22="Drawer Front",B22="Slab Drawer Front"),DATA!F$2,0)+AH22+AN22))</f>
        <v/>
      </c>
      <c r="L22" s="29" t="str">
        <f t="shared" si="3"/>
        <v/>
      </c>
      <c r="M22" s="10">
        <f>IF(J$5="Inches",IF(B22="Slab Drawer Front",'Size Parameters'!C$5,'Size Parameters'!C$4),(IF(B22="Slab Drawer Front",'Size Parameters'!H$5,'Size Parameters'!H$4)))</f>
        <v>5.5</v>
      </c>
      <c r="N22" s="10">
        <f>IF(J$5="Inches",IF(COUNTIF(B22,"*Door*"),'Size Parameters'!B$4,'Size Parameters'!B$3),IF(COUNTIF(B22,"*Door*"),'Size Parameters'!G$4,'Size Parameters'!G$3))</f>
        <v>48</v>
      </c>
      <c r="O22" s="10">
        <f>IF(J$5="Inches",IF(B22="Slab Drawer Front",'Size Parameters'!E$5,'Size Parameters'!E$3),(IF(B22="Slab Drawer Front",'Size Parameters'!J$5,'Size Parameters'!J$3)))</f>
        <v>5.5</v>
      </c>
      <c r="P22" s="10">
        <f>IF(J$5="Inches",IF(COUNTIF(B22,"*Door*"),'Size Parameters'!D$4,IF(B22="Slab Drawer Front",'Size Parameters'!D$5,'Size Parameters'!D$3)),IF(COUNTIF(B22,"*Door*"),'Size Parameters'!I$4,IF(B22="Slab Drawer Front",'Size Parameters'!I$5,'Size Parameters'!J$3)))</f>
        <v>30</v>
      </c>
      <c r="U22" s="30">
        <f>IF(B22="Slab Drawer Front",0,C22)</f>
        <v>0</v>
      </c>
      <c r="V22" s="10">
        <f>IF(B22="Slab Drawer Front",0,(MROUND(IF(U22&gt;0,(IF($J$5="Inches",D22+#REF!,(D22+#REF!)/25.4)),0),1/16)))</f>
        <v>0</v>
      </c>
      <c r="W22" s="10">
        <f>IF(B22="Slab Drawer Front",0,(MROUND(IF(U22&gt;0,(IF($J$5="Inches",E22+#REF!,(E22+#REF!)/25.4)),0),1/16)))</f>
        <v>0</v>
      </c>
      <c r="X22" s="10">
        <f>IF(B22="Slab Drawer Front",0,(MROUND(IF(F22&lt;&gt;"",0,IF(U22&gt;0,IF($J$5="Inches",D22-AC22,(D22-AD22)/25.4),0)),1/16)))</f>
        <v>0</v>
      </c>
      <c r="Y22" s="10">
        <f>MROUND(IF(B22="Slab Drawer Front",0,IF(F22&lt;&gt;"",0,IF(U22&gt;0,IF($J$5="Inches",((E22-AC22)-(AL22*AA$5))/AM22,(((E22-AD22)-((AL22)*AA$6))/25.4)/AM22),0))),1/16)</f>
        <v>0</v>
      </c>
      <c r="Z22" s="10">
        <f>(IF(G22="",1,G22))*C22</f>
        <v>0</v>
      </c>
      <c r="AA22" s="48">
        <f t="shared" si="2"/>
        <v>0</v>
      </c>
      <c r="AB22" s="48" t="e">
        <f>MROUND(IF(J$5="Inches",D22-$AB$3,(D22/25.4)-$AB$3),1/16)</f>
        <v>#NUM!</v>
      </c>
      <c r="AC22" s="10">
        <f>IF(ISNA(VLOOKUP($J$4,Finishes!$C$3:$D$107,2,FALSE)),3.625,VLOOKUP($J$4,Finishes!$C$3:$D$107,2,FALSE))</f>
        <v>3.5625</v>
      </c>
      <c r="AD22" s="10">
        <f>IF(ISNA(VLOOKUP($J$4,Finishes!$C$3:$E$107,3,FALSE)),92.08,VLOOKUP($J$4,Finishes!$C$3:$E$107,3,FALSE))</f>
        <v>90.49</v>
      </c>
      <c r="AE22" s="10">
        <f>MROUND(IF(F22="",0,IF(U22&gt;0,IF($J$5="Inches",D22-AC22-AE$5,(D22-AD22-AF$5)/25.4),0)),1/16)</f>
        <v>0</v>
      </c>
      <c r="AF22" s="10">
        <f>MROUND(IF(B22="Slab Drawer Front",0,IF(F22&lt;&gt;"",IF(U22&gt;0,IF($J$5="Inches",(((E22-AC22)-((AM22-1)*AA$5))/AM22)-AE$5,(((E22-AD22-AF$5)-((AM22-1)*AA$6))/25.4)/AM22),0),0)),1/16)</f>
        <v>0</v>
      </c>
      <c r="AG22" s="31">
        <f>F22</f>
        <v>0</v>
      </c>
      <c r="AH22" s="42">
        <f>IFERROR((_xlfn.XLOOKUP(AG22,DATA!$J$3:$J$6,DATA!$K$3:$K$6)*J22*AH$5),0)</f>
        <v>0</v>
      </c>
      <c r="AI22" s="31">
        <f>IF(B22="Slab Drawer Front",C22,0)</f>
        <v>0</v>
      </c>
      <c r="AJ22" s="10">
        <f>IF(B22="Slab Drawer Front",(MROUND(IF(AI22&gt;0,IF($J$5="Inches",D22,D22/25.4),0),1/16)),0)</f>
        <v>0</v>
      </c>
      <c r="AK22" s="10">
        <f>IF(B22="Slab Drawer Front",(MROUND(IF(AI22&gt;0,IF($J$5="Inches",E22,E22/25.4),0),1/16)),0)</f>
        <v>0</v>
      </c>
      <c r="AL22" s="10">
        <f>IF(G22="",0,G22-1)</f>
        <v>0</v>
      </c>
      <c r="AM22" s="10">
        <f>IF(G22="",1,G22)</f>
        <v>1</v>
      </c>
      <c r="AN22" s="48">
        <f>AA22*DATA!N$8</f>
        <v>0</v>
      </c>
    </row>
    <row r="23" spans="1:42" x14ac:dyDescent="0.2">
      <c r="A23" s="1">
        <v>14</v>
      </c>
      <c r="B23" s="35"/>
      <c r="C23" s="36"/>
      <c r="D23" s="37"/>
      <c r="E23" s="37"/>
      <c r="F23" s="38"/>
      <c r="G23" s="38"/>
      <c r="H23" s="38"/>
      <c r="I23" s="38"/>
      <c r="J23" s="28" t="str">
        <f t="shared" si="0"/>
        <v/>
      </c>
      <c r="K23" s="29" t="str">
        <f>IF(J23="","",J23*(_xlfn.XLOOKUP(J$4,Finishes!C$3:C$50,Finishes!I$3:I$50))+(IF(OR(B23="Drawer Front",B23="Slab Drawer Front"),DATA!F$2,0)+AH23+AN23))</f>
        <v/>
      </c>
      <c r="L23" s="29" t="str">
        <f t="shared" si="3"/>
        <v/>
      </c>
      <c r="M23" s="10">
        <f>IF(J$5="Inches",IF(B23="Slab Drawer Front",'Size Parameters'!C$5,'Size Parameters'!C$4),(IF(B23="Slab Drawer Front",'Size Parameters'!H$5,'Size Parameters'!H$4)))</f>
        <v>5.5</v>
      </c>
      <c r="N23" s="10">
        <f>IF(J$5="Inches",IF(COUNTIF(B23,"*Door*"),'Size Parameters'!B$4,'Size Parameters'!B$3),IF(COUNTIF(B23,"*Door*"),'Size Parameters'!G$4,'Size Parameters'!G$3))</f>
        <v>48</v>
      </c>
      <c r="O23" s="10">
        <f>IF(J$5="Inches",IF(B23="Slab Drawer Front",'Size Parameters'!E$5,'Size Parameters'!E$3),(IF(B23="Slab Drawer Front",'Size Parameters'!J$5,'Size Parameters'!J$3)))</f>
        <v>5.5</v>
      </c>
      <c r="P23" s="10">
        <f>IF(J$5="Inches",IF(COUNTIF(B23,"*Door*"),'Size Parameters'!D$4,IF(B23="Slab Drawer Front",'Size Parameters'!D$5,'Size Parameters'!D$3)),IF(COUNTIF(B23,"*Door*"),'Size Parameters'!I$4,IF(B23="Slab Drawer Front",'Size Parameters'!I$5,'Size Parameters'!J$3)))</f>
        <v>30</v>
      </c>
      <c r="U23" s="30">
        <f>IF(B23="Slab Drawer Front",0,C23)</f>
        <v>0</v>
      </c>
      <c r="V23" s="10">
        <f>IF(B23="Slab Drawer Front",0,(MROUND(IF(U23&gt;0,(IF($J$5="Inches",D23+#REF!,(D23+#REF!)/25.4)),0),1/16)))</f>
        <v>0</v>
      </c>
      <c r="W23" s="10">
        <f>IF(B23="Slab Drawer Front",0,(MROUND(IF(U23&gt;0,(IF($J$5="Inches",E23+#REF!,(E23+#REF!)/25.4)),0),1/16)))</f>
        <v>0</v>
      </c>
      <c r="X23" s="10">
        <f>IF(B23="Slab Drawer Front",0,(MROUND(IF(F23&lt;&gt;"",0,IF(U23&gt;0,IF($J$5="Inches",D23-AC23,(D23-AD23)/25.4),0)),1/16)))</f>
        <v>0</v>
      </c>
      <c r="Y23" s="10">
        <f>MROUND(IF(B23="Slab Drawer Front",0,IF(F23&lt;&gt;"",0,IF(U23&gt;0,IF($J$5="Inches",((E23-AC23)-(AL23*AA$5))/AM23,(((E23-AD23)-((AL23)*AA$6))/25.4)/AM23),0))),1/16)</f>
        <v>0</v>
      </c>
      <c r="Z23" s="10">
        <f>(IF(G23="",1,G23))*C23</f>
        <v>0</v>
      </c>
      <c r="AA23" s="48">
        <f t="shared" si="2"/>
        <v>0</v>
      </c>
      <c r="AB23" s="48" t="e">
        <f>MROUND(IF(J$5="Inches",D23-$AB$3,(D23/25.4)-$AB$3),1/16)</f>
        <v>#NUM!</v>
      </c>
      <c r="AC23" s="10">
        <f>IF(ISNA(VLOOKUP($J$4,Finishes!$C$3:$D$107,2,FALSE)),3.625,VLOOKUP($J$4,Finishes!$C$3:$D$107,2,FALSE))</f>
        <v>3.5625</v>
      </c>
      <c r="AD23" s="10">
        <f>IF(ISNA(VLOOKUP($J$4,Finishes!$C$3:$E$107,3,FALSE)),92.08,VLOOKUP($J$4,Finishes!$C$3:$E$107,3,FALSE))</f>
        <v>90.49</v>
      </c>
      <c r="AE23" s="10">
        <f>MROUND(IF(F23="",0,IF(U23&gt;0,IF($J$5="Inches",D23-AC23-AE$5,(D23-AD23-AF$5)/25.4),0)),1/16)</f>
        <v>0</v>
      </c>
      <c r="AF23" s="10">
        <f>MROUND(IF(B23="Slab Drawer Front",0,IF(F23&lt;&gt;"",IF(U23&gt;0,IF($J$5="Inches",(((E23-AC23)-((AM23-1)*AA$5))/AM23)-AE$5,(((E23-AD23-AF$5)-((AM23-1)*AA$6))/25.4)/AM23),0),0)),1/16)</f>
        <v>0</v>
      </c>
      <c r="AG23" s="31">
        <f>F23</f>
        <v>0</v>
      </c>
      <c r="AH23" s="42">
        <f>IFERROR((_xlfn.XLOOKUP(AG23,DATA!$J$3:$J$6,DATA!$K$3:$K$6)*J23*AH$5),0)</f>
        <v>0</v>
      </c>
      <c r="AI23" s="31">
        <f>IF(B23="Slab Drawer Front",C23,0)</f>
        <v>0</v>
      </c>
      <c r="AJ23" s="10">
        <f>IF(B23="Slab Drawer Front",(MROUND(IF(AI23&gt;0,IF($J$5="Inches",D23,D23/25.4),0),1/16)),0)</f>
        <v>0</v>
      </c>
      <c r="AK23" s="10">
        <f>IF(B23="Slab Drawer Front",(MROUND(IF(AI23&gt;0,IF($J$5="Inches",E23,E23/25.4),0),1/16)),0)</f>
        <v>0</v>
      </c>
      <c r="AL23" s="10">
        <f>IF(G23="",0,G23-1)</f>
        <v>0</v>
      </c>
      <c r="AM23" s="10">
        <f>IF(G23="",1,G23)</f>
        <v>1</v>
      </c>
      <c r="AN23" s="48">
        <f>AA23*DATA!N$8</f>
        <v>0</v>
      </c>
    </row>
    <row r="24" spans="1:42" x14ac:dyDescent="0.2">
      <c r="A24" s="1">
        <v>15</v>
      </c>
      <c r="B24" s="35"/>
      <c r="C24" s="36"/>
      <c r="D24" s="37"/>
      <c r="E24" s="37"/>
      <c r="F24" s="38"/>
      <c r="G24" s="38"/>
      <c r="H24" s="38"/>
      <c r="I24" s="38"/>
      <c r="J24" s="28" t="str">
        <f t="shared" si="0"/>
        <v/>
      </c>
      <c r="K24" s="29" t="str">
        <f>IF(J24="","",J24*(_xlfn.XLOOKUP(J$4,Finishes!C$3:C$50,Finishes!I$3:I$50))+(IF(OR(B24="Drawer Front",B24="Slab Drawer Front"),DATA!F$2,0)+AH24+AN24))</f>
        <v/>
      </c>
      <c r="L24" s="29" t="str">
        <f t="shared" si="3"/>
        <v/>
      </c>
      <c r="M24" s="10">
        <f>IF(J$5="Inches",IF(B24="Slab Drawer Front",'Size Parameters'!C$5,'Size Parameters'!C$4),(IF(B24="Slab Drawer Front",'Size Parameters'!H$5,'Size Parameters'!H$4)))</f>
        <v>5.5</v>
      </c>
      <c r="N24" s="10">
        <f>IF(J$5="Inches",IF(COUNTIF(B24,"*Door*"),'Size Parameters'!B$4,'Size Parameters'!B$3),IF(COUNTIF(B24,"*Door*"),'Size Parameters'!G$4,'Size Parameters'!G$3))</f>
        <v>48</v>
      </c>
      <c r="O24" s="10">
        <f>IF(J$5="Inches",IF(B24="Slab Drawer Front",'Size Parameters'!E$5,'Size Parameters'!E$3),(IF(B24="Slab Drawer Front",'Size Parameters'!J$5,'Size Parameters'!J$3)))</f>
        <v>5.5</v>
      </c>
      <c r="P24" s="10">
        <f>IF(J$5="Inches",IF(COUNTIF(B24,"*Door*"),'Size Parameters'!D$4,IF(B24="Slab Drawer Front",'Size Parameters'!D$5,'Size Parameters'!D$3)),IF(COUNTIF(B24,"*Door*"),'Size Parameters'!I$4,IF(B24="Slab Drawer Front",'Size Parameters'!I$5,'Size Parameters'!J$3)))</f>
        <v>30</v>
      </c>
      <c r="U24" s="30">
        <f>IF(B24="Slab Drawer Front",0,C24)</f>
        <v>0</v>
      </c>
      <c r="V24" s="10">
        <f>IF(B24="Slab Drawer Front",0,(MROUND(IF(U24&gt;0,(IF($J$5="Inches",D24+#REF!,(D24+#REF!)/25.4)),0),1/16)))</f>
        <v>0</v>
      </c>
      <c r="W24" s="10">
        <f>IF(B24="Slab Drawer Front",0,(MROUND(IF(U24&gt;0,(IF($J$5="Inches",E24+#REF!,(E24+#REF!)/25.4)),0),1/16)))</f>
        <v>0</v>
      </c>
      <c r="X24" s="10">
        <f>IF(B24="Slab Drawer Front",0,(MROUND(IF(F24&lt;&gt;"",0,IF(U24&gt;0,IF($J$5="Inches",D24-AC24,(D24-AD24)/25.4),0)),1/16)))</f>
        <v>0</v>
      </c>
      <c r="Y24" s="10">
        <f>MROUND(IF(B24="Slab Drawer Front",0,IF(F24&lt;&gt;"",0,IF(U24&gt;0,IF($J$5="Inches",((E24-AC24)-(AL24*AA$5))/AM24,(((E24-AD24)-((AL24)*AA$6))/25.4)/AM24),0))),1/16)</f>
        <v>0</v>
      </c>
      <c r="Z24" s="10">
        <f>(IF(G24="",1,G24))*C24</f>
        <v>0</v>
      </c>
      <c r="AA24" s="48">
        <f t="shared" si="2"/>
        <v>0</v>
      </c>
      <c r="AB24" s="48" t="e">
        <f>MROUND(IF(J$5="Inches",D24-$AB$3,(D24/25.4)-$AB$3),1/16)</f>
        <v>#NUM!</v>
      </c>
      <c r="AC24" s="10">
        <f>IF(ISNA(VLOOKUP($J$4,Finishes!$C$3:$D$107,2,FALSE)),3.625,VLOOKUP($J$4,Finishes!$C$3:$D$107,2,FALSE))</f>
        <v>3.5625</v>
      </c>
      <c r="AD24" s="10">
        <f>IF(ISNA(VLOOKUP($J$4,Finishes!$C$3:$E$107,3,FALSE)),92.08,VLOOKUP($J$4,Finishes!$C$3:$E$107,3,FALSE))</f>
        <v>90.49</v>
      </c>
      <c r="AE24" s="10">
        <f>MROUND(IF(F24="",0,IF(U24&gt;0,IF($J$5="Inches",D24-AC24-AE$5,(D24-AD24-AF$5)/25.4),0)),1/16)</f>
        <v>0</v>
      </c>
      <c r="AF24" s="10">
        <f>MROUND(IF(B24="Slab Drawer Front",0,IF(F24&lt;&gt;"",IF(U24&gt;0,IF($J$5="Inches",(((E24-AC24)-((AM24-1)*AA$5))/AM24)-AE$5,(((E24-AD24-AF$5)-((AM24-1)*AA$6))/25.4)/AM24),0),0)),1/16)</f>
        <v>0</v>
      </c>
      <c r="AG24" s="31">
        <f>F24</f>
        <v>0</v>
      </c>
      <c r="AH24" s="42">
        <f>IFERROR((_xlfn.XLOOKUP(AG24,DATA!$J$3:$J$6,DATA!$K$3:$K$6)*J24*AH$5),0)</f>
        <v>0</v>
      </c>
      <c r="AI24" s="31">
        <f>IF(B24="Slab Drawer Front",C24,0)</f>
        <v>0</v>
      </c>
      <c r="AJ24" s="10">
        <f>IF(B24="Slab Drawer Front",(MROUND(IF(AI24&gt;0,IF($J$5="Inches",D24,D24/25.4),0),1/16)),0)</f>
        <v>0</v>
      </c>
      <c r="AK24" s="10">
        <f>IF(B24="Slab Drawer Front",(MROUND(IF(AI24&gt;0,IF($J$5="Inches",E24,E24/25.4),0),1/16)),0)</f>
        <v>0</v>
      </c>
      <c r="AL24" s="10">
        <f>IF(G24="",0,G24-1)</f>
        <v>0</v>
      </c>
      <c r="AM24" s="10">
        <f>IF(G24="",1,G24)</f>
        <v>1</v>
      </c>
      <c r="AN24" s="48">
        <f>AA24*DATA!N$8</f>
        <v>0</v>
      </c>
    </row>
    <row r="25" spans="1:42" x14ac:dyDescent="0.2">
      <c r="A25" s="1">
        <v>16</v>
      </c>
      <c r="B25" s="35"/>
      <c r="C25" s="36"/>
      <c r="D25" s="37"/>
      <c r="E25" s="37"/>
      <c r="F25" s="38"/>
      <c r="G25" s="38"/>
      <c r="H25" s="38"/>
      <c r="I25" s="38"/>
      <c r="J25" s="28" t="str">
        <f t="shared" si="0"/>
        <v/>
      </c>
      <c r="K25" s="29" t="str">
        <f>IF(J25="","",J25*(_xlfn.XLOOKUP(J$4,Finishes!C$3:C$50,Finishes!I$3:I$50))+(IF(OR(B25="Drawer Front",B25="Slab Drawer Front"),DATA!F$2,0)+AH25+AN25))</f>
        <v/>
      </c>
      <c r="L25" s="29" t="str">
        <f t="shared" si="3"/>
        <v/>
      </c>
      <c r="M25" s="10">
        <f>IF(J$5="Inches",IF(B25="Slab Drawer Front",'Size Parameters'!C$5,'Size Parameters'!C$4),(IF(B25="Slab Drawer Front",'Size Parameters'!H$5,'Size Parameters'!H$4)))</f>
        <v>5.5</v>
      </c>
      <c r="N25" s="10">
        <f>IF(J$5="Inches",IF(COUNTIF(B25,"*Door*"),'Size Parameters'!B$4,'Size Parameters'!B$3),IF(COUNTIF(B25,"*Door*"),'Size Parameters'!G$4,'Size Parameters'!G$3))</f>
        <v>48</v>
      </c>
      <c r="O25" s="10">
        <f>IF(J$5="Inches",IF(B25="Slab Drawer Front",'Size Parameters'!E$5,'Size Parameters'!E$3),(IF(B25="Slab Drawer Front",'Size Parameters'!J$5,'Size Parameters'!J$3)))</f>
        <v>5.5</v>
      </c>
      <c r="P25" s="10">
        <f>IF(J$5="Inches",IF(COUNTIF(B25,"*Door*"),'Size Parameters'!D$4,IF(B25="Slab Drawer Front",'Size Parameters'!D$5,'Size Parameters'!D$3)),IF(COUNTIF(B25,"*Door*"),'Size Parameters'!I$4,IF(B25="Slab Drawer Front",'Size Parameters'!I$5,'Size Parameters'!J$3)))</f>
        <v>30</v>
      </c>
      <c r="U25" s="30">
        <f>IF(B25="Slab Drawer Front",0,C25)</f>
        <v>0</v>
      </c>
      <c r="V25" s="10">
        <f>IF(B25="Slab Drawer Front",0,(MROUND(IF(U25&gt;0,(IF($J$5="Inches",D25+#REF!,(D25+#REF!)/25.4)),0),1/16)))</f>
        <v>0</v>
      </c>
      <c r="W25" s="10">
        <f>IF(B25="Slab Drawer Front",0,(MROUND(IF(U25&gt;0,(IF($J$5="Inches",E25+#REF!,(E25+#REF!)/25.4)),0),1/16)))</f>
        <v>0</v>
      </c>
      <c r="X25" s="10">
        <f>IF(B25="Slab Drawer Front",0,(MROUND(IF(F25&lt;&gt;"",0,IF(U25&gt;0,IF($J$5="Inches",D25-AC25,(D25-AD25)/25.4),0)),1/16)))</f>
        <v>0</v>
      </c>
      <c r="Y25" s="10">
        <f>MROUND(IF(B25="Slab Drawer Front",0,IF(F25&lt;&gt;"",0,IF(U25&gt;0,IF($J$5="Inches",((E25-AC25)-(AL25*AA$5))/AM25,(((E25-AD25)-((AL25)*AA$6))/25.4)/AM25),0))),1/16)</f>
        <v>0</v>
      </c>
      <c r="Z25" s="10">
        <f>(IF(G25="",1,G25))*C25</f>
        <v>0</v>
      </c>
      <c r="AA25" s="48">
        <f t="shared" si="2"/>
        <v>0</v>
      </c>
      <c r="AB25" s="48" t="e">
        <f>MROUND(IF(J$5="Inches",D25-$AB$3,(D25/25.4)-$AB$3),1/16)</f>
        <v>#NUM!</v>
      </c>
      <c r="AC25" s="10">
        <f>IF(ISNA(VLOOKUP($J$4,Finishes!$C$3:$D$107,2,FALSE)),3.625,VLOOKUP($J$4,Finishes!$C$3:$D$107,2,FALSE))</f>
        <v>3.5625</v>
      </c>
      <c r="AD25" s="10">
        <f>IF(ISNA(VLOOKUP($J$4,Finishes!$C$3:$E$107,3,FALSE)),92.08,VLOOKUP($J$4,Finishes!$C$3:$E$107,3,FALSE))</f>
        <v>90.49</v>
      </c>
      <c r="AE25" s="10">
        <f>MROUND(IF(F25="",0,IF(U25&gt;0,IF($J$5="Inches",D25-AC25-AE$5,(D25-AD25-AF$5)/25.4),0)),1/16)</f>
        <v>0</v>
      </c>
      <c r="AF25" s="10">
        <f>MROUND(IF(B25="Slab Drawer Front",0,IF(F25&lt;&gt;"",IF(U25&gt;0,IF($J$5="Inches",(((E25-AC25)-((AM25-1)*AA$5))/AM25)-AE$5,(((E25-AD25-AF$5)-((AM25-1)*AA$6))/25.4)/AM25),0),0)),1/16)</f>
        <v>0</v>
      </c>
      <c r="AG25" s="31">
        <f>F25</f>
        <v>0</v>
      </c>
      <c r="AH25" s="42">
        <f>IFERROR((_xlfn.XLOOKUP(AG25,DATA!$J$3:$J$6,DATA!$K$3:$K$6)*J25*AH$5),0)</f>
        <v>0</v>
      </c>
      <c r="AI25" s="31">
        <f>IF(B25="Slab Drawer Front",C25,0)</f>
        <v>0</v>
      </c>
      <c r="AJ25" s="10">
        <f>IF(B25="Slab Drawer Front",(MROUND(IF(AI25&gt;0,IF($J$5="Inches",D25,D25/25.4),0),1/16)),0)</f>
        <v>0</v>
      </c>
      <c r="AK25" s="10">
        <f>IF(B25="Slab Drawer Front",(MROUND(IF(AI25&gt;0,IF($J$5="Inches",E25,E25/25.4),0),1/16)),0)</f>
        <v>0</v>
      </c>
      <c r="AL25" s="10">
        <f>IF(G25="",0,G25-1)</f>
        <v>0</v>
      </c>
      <c r="AM25" s="10">
        <f>IF(G25="",1,G25)</f>
        <v>1</v>
      </c>
      <c r="AN25" s="48">
        <f>AA25*DATA!N$8</f>
        <v>0</v>
      </c>
    </row>
    <row r="26" spans="1:42" x14ac:dyDescent="0.2">
      <c r="A26" s="1">
        <v>17</v>
      </c>
      <c r="B26" s="35"/>
      <c r="C26" s="36"/>
      <c r="D26" s="37"/>
      <c r="E26" s="37"/>
      <c r="F26" s="38"/>
      <c r="G26" s="38"/>
      <c r="H26" s="38"/>
      <c r="I26" s="38"/>
      <c r="J26" s="28" t="str">
        <f t="shared" si="0"/>
        <v/>
      </c>
      <c r="K26" s="29" t="str">
        <f>IF(J26="","",J26*(_xlfn.XLOOKUP(J$4,Finishes!C$3:C$50,Finishes!I$3:I$50))+(IF(OR(B26="Drawer Front",B26="Slab Drawer Front"),DATA!F$2,0)+AH26+AN26))</f>
        <v/>
      </c>
      <c r="L26" s="29" t="str">
        <f t="shared" si="3"/>
        <v/>
      </c>
      <c r="M26" s="10">
        <f>IF(J$5="Inches",IF(B26="Slab Drawer Front",'Size Parameters'!C$5,'Size Parameters'!C$4),(IF(B26="Slab Drawer Front",'Size Parameters'!H$5,'Size Parameters'!H$4)))</f>
        <v>5.5</v>
      </c>
      <c r="N26" s="10">
        <f>IF(J$5="Inches",IF(COUNTIF(B26,"*Door*"),'Size Parameters'!B$4,'Size Parameters'!B$3),IF(COUNTIF(B26,"*Door*"),'Size Parameters'!G$4,'Size Parameters'!G$3))</f>
        <v>48</v>
      </c>
      <c r="O26" s="10">
        <f>IF(J$5="Inches",IF(B26="Slab Drawer Front",'Size Parameters'!E$5,'Size Parameters'!E$3),(IF(B26="Slab Drawer Front",'Size Parameters'!J$5,'Size Parameters'!J$3)))</f>
        <v>5.5</v>
      </c>
      <c r="P26" s="10">
        <f>IF(J$5="Inches",IF(COUNTIF(B26,"*Door*"),'Size Parameters'!D$4,IF(B26="Slab Drawer Front",'Size Parameters'!D$5,'Size Parameters'!D$3)),IF(COUNTIF(B26,"*Door*"),'Size Parameters'!I$4,IF(B26="Slab Drawer Front",'Size Parameters'!I$5,'Size Parameters'!J$3)))</f>
        <v>30</v>
      </c>
      <c r="U26" s="30">
        <f>IF(B26="Slab Drawer Front",0,C26)</f>
        <v>0</v>
      </c>
      <c r="V26" s="10">
        <f>IF(B26="Slab Drawer Front",0,(MROUND(IF(U26&gt;0,(IF($J$5="Inches",D26+#REF!,(D26+#REF!)/25.4)),0),1/16)))</f>
        <v>0</v>
      </c>
      <c r="W26" s="10">
        <f>IF(B26="Slab Drawer Front",0,(MROUND(IF(U26&gt;0,(IF($J$5="Inches",E26+#REF!,(E26+#REF!)/25.4)),0),1/16)))</f>
        <v>0</v>
      </c>
      <c r="X26" s="10">
        <f>IF(B26="Slab Drawer Front",0,(MROUND(IF(F26&lt;&gt;"",0,IF(U26&gt;0,IF($J$5="Inches",D26-AC26,(D26-AD26)/25.4),0)),1/16)))</f>
        <v>0</v>
      </c>
      <c r="Y26" s="10">
        <f>MROUND(IF(B26="Slab Drawer Front",0,IF(F26&lt;&gt;"",0,IF(U26&gt;0,IF($J$5="Inches",((E26-AC26)-(AL26*AA$5))/AM26,(((E26-AD26)-((AL26)*AA$6))/25.4)/AM26),0))),1/16)</f>
        <v>0</v>
      </c>
      <c r="Z26" s="10">
        <f>(IF(G26="",1,G26))*C26</f>
        <v>0</v>
      </c>
      <c r="AA26" s="48">
        <f t="shared" si="2"/>
        <v>0</v>
      </c>
      <c r="AB26" s="48" t="e">
        <f>MROUND(IF(J$5="Inches",D26-$AB$3,(D26/25.4)-$AB$3),1/16)</f>
        <v>#NUM!</v>
      </c>
      <c r="AC26" s="10">
        <f>IF(ISNA(VLOOKUP($J$4,Finishes!$C$3:$D$107,2,FALSE)),3.625,VLOOKUP($J$4,Finishes!$C$3:$D$107,2,FALSE))</f>
        <v>3.5625</v>
      </c>
      <c r="AD26" s="10">
        <f>IF(ISNA(VLOOKUP($J$4,Finishes!$C$3:$E$107,3,FALSE)),92.08,VLOOKUP($J$4,Finishes!$C$3:$E$107,3,FALSE))</f>
        <v>90.49</v>
      </c>
      <c r="AE26" s="10">
        <f>MROUND(IF(F26="",0,IF(U26&gt;0,IF($J$5="Inches",D26-AC26-AE$5,(D26-AD26-AF$5)/25.4),0)),1/16)</f>
        <v>0</v>
      </c>
      <c r="AF26" s="10">
        <f>MROUND(IF(B26="Slab Drawer Front",0,IF(F26&lt;&gt;"",IF(U26&gt;0,IF($J$5="Inches",(((E26-AC26)-((AM26-1)*AA$5))/AM26)-AE$5,(((E26-AD26-AF$5)-((AM26-1)*AA$6))/25.4)/AM26),0),0)),1/16)</f>
        <v>0</v>
      </c>
      <c r="AG26" s="31">
        <f>F26</f>
        <v>0</v>
      </c>
      <c r="AH26" s="42">
        <f>IFERROR((_xlfn.XLOOKUP(AG26,DATA!$J$3:$J$6,DATA!$K$3:$K$6)*J26*AH$5),0)</f>
        <v>0</v>
      </c>
      <c r="AI26" s="31">
        <f>IF(B26="Slab Drawer Front",C26,0)</f>
        <v>0</v>
      </c>
      <c r="AJ26" s="10">
        <f>IF(B26="Slab Drawer Front",(MROUND(IF(AI26&gt;0,IF($J$5="Inches",D26,D26/25.4),0),1/16)),0)</f>
        <v>0</v>
      </c>
      <c r="AK26" s="10">
        <f>IF(B26="Slab Drawer Front",(MROUND(IF(AI26&gt;0,IF($J$5="Inches",E26,E26/25.4),0),1/16)),0)</f>
        <v>0</v>
      </c>
      <c r="AL26" s="10">
        <f>IF(G26="",0,G26-1)</f>
        <v>0</v>
      </c>
      <c r="AM26" s="10">
        <f>IF(G26="",1,G26)</f>
        <v>1</v>
      </c>
      <c r="AN26" s="48">
        <f>AA26*DATA!N$8</f>
        <v>0</v>
      </c>
    </row>
    <row r="27" spans="1:42" x14ac:dyDescent="0.2">
      <c r="A27" s="1">
        <v>18</v>
      </c>
      <c r="B27" s="35"/>
      <c r="C27" s="36"/>
      <c r="D27" s="37"/>
      <c r="E27" s="37"/>
      <c r="F27" s="38"/>
      <c r="G27" s="38"/>
      <c r="H27" s="38"/>
      <c r="I27" s="38"/>
      <c r="J27" s="28" t="str">
        <f t="shared" si="0"/>
        <v/>
      </c>
      <c r="K27" s="29" t="str">
        <f>IF(J27="","",J27*(_xlfn.XLOOKUP(J$4,Finishes!C$3:C$50,Finishes!I$3:I$50))+(IF(OR(B27="Drawer Front",B27="Slab Drawer Front"),DATA!F$2,0)+AH27+AN27))</f>
        <v/>
      </c>
      <c r="L27" s="29" t="str">
        <f t="shared" si="3"/>
        <v/>
      </c>
      <c r="M27" s="10">
        <f>IF(J$5="Inches",IF(B27="Slab Drawer Front",'Size Parameters'!C$5,'Size Parameters'!C$4),(IF(B27="Slab Drawer Front",'Size Parameters'!H$5,'Size Parameters'!H$4)))</f>
        <v>5.5</v>
      </c>
      <c r="N27" s="10">
        <f>IF(J$5="Inches",IF(COUNTIF(B27,"*Door*"),'Size Parameters'!B$4,'Size Parameters'!B$3),IF(COUNTIF(B27,"*Door*"),'Size Parameters'!G$4,'Size Parameters'!G$3))</f>
        <v>48</v>
      </c>
      <c r="O27" s="10">
        <f>IF(J$5="Inches",IF(B27="Slab Drawer Front",'Size Parameters'!E$5,'Size Parameters'!E$3),(IF(B27="Slab Drawer Front",'Size Parameters'!J$5,'Size Parameters'!J$3)))</f>
        <v>5.5</v>
      </c>
      <c r="P27" s="10">
        <f>IF(J$5="Inches",IF(COUNTIF(B27,"*Door*"),'Size Parameters'!D$4,IF(B27="Slab Drawer Front",'Size Parameters'!D$5,'Size Parameters'!D$3)),IF(COUNTIF(B27,"*Door*"),'Size Parameters'!I$4,IF(B27="Slab Drawer Front",'Size Parameters'!I$5,'Size Parameters'!J$3)))</f>
        <v>30</v>
      </c>
      <c r="U27" s="30">
        <f>IF(B27="Slab Drawer Front",0,C27)</f>
        <v>0</v>
      </c>
      <c r="V27" s="10">
        <f>IF(B27="Slab Drawer Front",0,(MROUND(IF(U27&gt;0,(IF($J$5="Inches",D27+#REF!,(D27+#REF!)/25.4)),0),1/16)))</f>
        <v>0</v>
      </c>
      <c r="W27" s="10">
        <f>IF(B27="Slab Drawer Front",0,(MROUND(IF(U27&gt;0,(IF($J$5="Inches",E27+#REF!,(E27+#REF!)/25.4)),0),1/16)))</f>
        <v>0</v>
      </c>
      <c r="X27" s="10">
        <f>IF(B27="Slab Drawer Front",0,(MROUND(IF(F27&lt;&gt;"",0,IF(U27&gt;0,IF($J$5="Inches",D27-AC27,(D27-AD27)/25.4),0)),1/16)))</f>
        <v>0</v>
      </c>
      <c r="Y27" s="10">
        <f>MROUND(IF(B27="Slab Drawer Front",0,IF(F27&lt;&gt;"",0,IF(U27&gt;0,IF($J$5="Inches",((E27-AC27)-(AL27*AA$5))/AM27,(((E27-AD27)-((AL27)*AA$6))/25.4)/AM27),0))),1/16)</f>
        <v>0</v>
      </c>
      <c r="Z27" s="10">
        <f>(IF(G27="",1,G27))*C27</f>
        <v>0</v>
      </c>
      <c r="AA27" s="48">
        <f t="shared" si="2"/>
        <v>0</v>
      </c>
      <c r="AB27" s="48" t="e">
        <f>MROUND(IF(J$5="Inches",D27-$AB$3,(D27/25.4)-$AB$3),1/16)</f>
        <v>#NUM!</v>
      </c>
      <c r="AC27" s="10">
        <f>IF(ISNA(VLOOKUP($J$4,Finishes!$C$3:$D$107,2,FALSE)),3.625,VLOOKUP($J$4,Finishes!$C$3:$D$107,2,FALSE))</f>
        <v>3.5625</v>
      </c>
      <c r="AD27" s="10">
        <f>IF(ISNA(VLOOKUP($J$4,Finishes!$C$3:$E$107,3,FALSE)),92.08,VLOOKUP($J$4,Finishes!$C$3:$E$107,3,FALSE))</f>
        <v>90.49</v>
      </c>
      <c r="AE27" s="10">
        <f>MROUND(IF(F27="",0,IF(U27&gt;0,IF($J$5="Inches",D27-AC27-AE$5,(D27-AD27-AF$5)/25.4),0)),1/16)</f>
        <v>0</v>
      </c>
      <c r="AF27" s="10">
        <f>MROUND(IF(B27="Slab Drawer Front",0,IF(F27&lt;&gt;"",IF(U27&gt;0,IF($J$5="Inches",(((E27-AC27)-((AM27-1)*AA$5))/AM27)-AE$5,(((E27-AD27-AF$5)-((AM27-1)*AA$6))/25.4)/AM27),0),0)),1/16)</f>
        <v>0</v>
      </c>
      <c r="AG27" s="31">
        <f>F27</f>
        <v>0</v>
      </c>
      <c r="AH27" s="42">
        <f>IFERROR((_xlfn.XLOOKUP(AG27,DATA!$J$3:$J$6,DATA!$K$3:$K$6)*J27*AH$5),0)</f>
        <v>0</v>
      </c>
      <c r="AI27" s="31">
        <f>IF(B27="Slab Drawer Front",C27,0)</f>
        <v>0</v>
      </c>
      <c r="AJ27" s="10">
        <f>IF(B27="Slab Drawer Front",(MROUND(IF(AI27&gt;0,IF($J$5="Inches",D27,D27/25.4),0),1/16)),0)</f>
        <v>0</v>
      </c>
      <c r="AK27" s="10">
        <f>IF(B27="Slab Drawer Front",(MROUND(IF(AI27&gt;0,IF($J$5="Inches",E27,E27/25.4),0),1/16)),0)</f>
        <v>0</v>
      </c>
      <c r="AL27" s="10">
        <f>IF(G27="",0,G27-1)</f>
        <v>0</v>
      </c>
      <c r="AM27" s="10">
        <f>IF(G27="",1,G27)</f>
        <v>1</v>
      </c>
      <c r="AN27" s="48">
        <f>AA27*DATA!N$8</f>
        <v>0</v>
      </c>
    </row>
    <row r="28" spans="1:42" x14ac:dyDescent="0.2">
      <c r="A28" s="1">
        <v>19</v>
      </c>
      <c r="B28" s="35"/>
      <c r="C28" s="36"/>
      <c r="D28" s="37"/>
      <c r="E28" s="37"/>
      <c r="F28" s="38"/>
      <c r="G28" s="38"/>
      <c r="H28" s="38"/>
      <c r="I28" s="38"/>
      <c r="J28" s="28" t="str">
        <f t="shared" si="0"/>
        <v/>
      </c>
      <c r="K28" s="29" t="str">
        <f>IF(J28="","",J28*(_xlfn.XLOOKUP(J$4,Finishes!C$3:C$50,Finishes!I$3:I$50))+(IF(OR(B28="Drawer Front",B28="Slab Drawer Front"),DATA!F$2,0)+AH28+AN28))</f>
        <v/>
      </c>
      <c r="L28" s="29" t="str">
        <f t="shared" si="3"/>
        <v/>
      </c>
      <c r="M28" s="10">
        <f>IF(J$5="Inches",IF(B28="Slab Drawer Front",'Size Parameters'!C$5,'Size Parameters'!C$4),(IF(B28="Slab Drawer Front",'Size Parameters'!H$5,'Size Parameters'!H$4)))</f>
        <v>5.5</v>
      </c>
      <c r="N28" s="10">
        <f>IF(J$5="Inches",IF(COUNTIF(B28,"*Door*"),'Size Parameters'!B$4,'Size Parameters'!B$3),IF(COUNTIF(B28,"*Door*"),'Size Parameters'!G$4,'Size Parameters'!G$3))</f>
        <v>48</v>
      </c>
      <c r="O28" s="10">
        <f>IF(J$5="Inches",IF(B28="Slab Drawer Front",'Size Parameters'!E$5,'Size Parameters'!E$3),(IF(B28="Slab Drawer Front",'Size Parameters'!J$5,'Size Parameters'!J$3)))</f>
        <v>5.5</v>
      </c>
      <c r="P28" s="10">
        <f>IF(J$5="Inches",IF(COUNTIF(B28,"*Door*"),'Size Parameters'!D$4,IF(B28="Slab Drawer Front",'Size Parameters'!D$5,'Size Parameters'!D$3)),IF(COUNTIF(B28,"*Door*"),'Size Parameters'!I$4,IF(B28="Slab Drawer Front",'Size Parameters'!I$5,'Size Parameters'!J$3)))</f>
        <v>30</v>
      </c>
      <c r="U28" s="30">
        <f>IF(B28="Slab Drawer Front",0,C28)</f>
        <v>0</v>
      </c>
      <c r="V28" s="10">
        <f>IF(B28="Slab Drawer Front",0,(MROUND(IF(U28&gt;0,(IF($J$5="Inches",D28+#REF!,(D28+#REF!)/25.4)),0),1/16)))</f>
        <v>0</v>
      </c>
      <c r="W28" s="10">
        <f>IF(B28="Slab Drawer Front",0,(MROUND(IF(U28&gt;0,(IF($J$5="Inches",E28+#REF!,(E28+#REF!)/25.4)),0),1/16)))</f>
        <v>0</v>
      </c>
      <c r="X28" s="10">
        <f>IF(B28="Slab Drawer Front",0,(MROUND(IF(F28&lt;&gt;"",0,IF(U28&gt;0,IF($J$5="Inches",D28-AC28,(D28-AD28)/25.4),0)),1/16)))</f>
        <v>0</v>
      </c>
      <c r="Y28" s="10">
        <f>MROUND(IF(B28="Slab Drawer Front",0,IF(F28&lt;&gt;"",0,IF(U28&gt;0,IF($J$5="Inches",((E28-AC28)-(AL28*AA$5))/AM28,(((E28-AD28)-((AL28)*AA$6))/25.4)/AM28),0))),1/16)</f>
        <v>0</v>
      </c>
      <c r="Z28" s="10">
        <f>(IF(G28="",1,G28))*C28</f>
        <v>0</v>
      </c>
      <c r="AA28" s="48">
        <f t="shared" si="2"/>
        <v>0</v>
      </c>
      <c r="AB28" s="48" t="e">
        <f>MROUND(IF(J$5="Inches",D28-$AB$3,(D28/25.4)-$AB$3),1/16)</f>
        <v>#NUM!</v>
      </c>
      <c r="AC28" s="10">
        <f>IF(ISNA(VLOOKUP($J$4,Finishes!$C$3:$D$107,2,FALSE)),3.625,VLOOKUP($J$4,Finishes!$C$3:$D$107,2,FALSE))</f>
        <v>3.5625</v>
      </c>
      <c r="AD28" s="10">
        <f>IF(ISNA(VLOOKUP($J$4,Finishes!$C$3:$E$107,3,FALSE)),92.08,VLOOKUP($J$4,Finishes!$C$3:$E$107,3,FALSE))</f>
        <v>90.49</v>
      </c>
      <c r="AE28" s="10">
        <f>MROUND(IF(F28="",0,IF(U28&gt;0,IF($J$5="Inches",D28-AC28-AE$5,(D28-AD28-AF$5)/25.4),0)),1/16)</f>
        <v>0</v>
      </c>
      <c r="AF28" s="10">
        <f>MROUND(IF(B28="Slab Drawer Front",0,IF(F28&lt;&gt;"",IF(U28&gt;0,IF($J$5="Inches",(((E28-AC28)-((AM28-1)*AA$5))/AM28)-AE$5,(((E28-AD28-AF$5)-((AM28-1)*AA$6))/25.4)/AM28),0),0)),1/16)</f>
        <v>0</v>
      </c>
      <c r="AG28" s="31">
        <f>F28</f>
        <v>0</v>
      </c>
      <c r="AH28" s="42">
        <f>IFERROR((_xlfn.XLOOKUP(AG28,DATA!$J$3:$J$6,DATA!$K$3:$K$6)*J28*AH$5),0)</f>
        <v>0</v>
      </c>
      <c r="AI28" s="31">
        <f>IF(B28="Slab Drawer Front",C28,0)</f>
        <v>0</v>
      </c>
      <c r="AJ28" s="10">
        <f>IF(B28="Slab Drawer Front",(MROUND(IF(AI28&gt;0,IF($J$5="Inches",D28,D28/25.4),0),1/16)),0)</f>
        <v>0</v>
      </c>
      <c r="AK28" s="10">
        <f>IF(B28="Slab Drawer Front",(MROUND(IF(AI28&gt;0,IF($J$5="Inches",E28,E28/25.4),0),1/16)),0)</f>
        <v>0</v>
      </c>
      <c r="AL28" s="10">
        <f>IF(G28="",0,G28-1)</f>
        <v>0</v>
      </c>
      <c r="AM28" s="10">
        <f>IF(G28="",1,G28)</f>
        <v>1</v>
      </c>
      <c r="AN28" s="48">
        <f>AA28*DATA!N$8</f>
        <v>0</v>
      </c>
    </row>
    <row r="29" spans="1:42" x14ac:dyDescent="0.2">
      <c r="A29" s="1">
        <v>20</v>
      </c>
      <c r="B29" s="35"/>
      <c r="C29" s="36"/>
      <c r="D29" s="37"/>
      <c r="E29" s="37"/>
      <c r="F29" s="38"/>
      <c r="G29" s="38"/>
      <c r="H29" s="38"/>
      <c r="I29" s="38"/>
      <c r="J29" s="28" t="str">
        <f t="shared" si="0"/>
        <v/>
      </c>
      <c r="K29" s="29" t="str">
        <f>IF(J29="","",J29*(_xlfn.XLOOKUP(J$4,Finishes!C$3:C$50,Finishes!I$3:I$50))+(IF(OR(B29="Drawer Front",B29="Slab Drawer Front"),DATA!F$2,0)+AH29+AN29))</f>
        <v/>
      </c>
      <c r="L29" s="29" t="str">
        <f t="shared" si="3"/>
        <v/>
      </c>
      <c r="M29" s="10">
        <f>IF(J$5="Inches",IF(B29="Slab Drawer Front",'Size Parameters'!C$5,'Size Parameters'!C$4),(IF(B29="Slab Drawer Front",'Size Parameters'!H$5,'Size Parameters'!H$4)))</f>
        <v>5.5</v>
      </c>
      <c r="N29" s="10">
        <f>IF(J$5="Inches",IF(COUNTIF(B29,"*Door*"),'Size Parameters'!B$4,'Size Parameters'!B$3),IF(COUNTIF(B29,"*Door*"),'Size Parameters'!G$4,'Size Parameters'!G$3))</f>
        <v>48</v>
      </c>
      <c r="O29" s="10">
        <f>IF(J$5="Inches",IF(B29="Slab Drawer Front",'Size Parameters'!E$5,'Size Parameters'!E$3),(IF(B29="Slab Drawer Front",'Size Parameters'!J$5,'Size Parameters'!J$3)))</f>
        <v>5.5</v>
      </c>
      <c r="P29" s="10">
        <f>IF(J$5="Inches",IF(COUNTIF(B29,"*Door*"),'Size Parameters'!D$4,IF(B29="Slab Drawer Front",'Size Parameters'!D$5,'Size Parameters'!D$3)),IF(COUNTIF(B29,"*Door*"),'Size Parameters'!I$4,IF(B29="Slab Drawer Front",'Size Parameters'!I$5,'Size Parameters'!J$3)))</f>
        <v>30</v>
      </c>
      <c r="U29" s="30">
        <f>IF(B29="Slab Drawer Front",0,C29)</f>
        <v>0</v>
      </c>
      <c r="V29" s="10">
        <f>IF(B29="Slab Drawer Front",0,(MROUND(IF(U29&gt;0,(IF($J$5="Inches",D29+#REF!,(D29+#REF!)/25.4)),0),1/16)))</f>
        <v>0</v>
      </c>
      <c r="W29" s="10">
        <f>IF(B29="Slab Drawer Front",0,(MROUND(IF(U29&gt;0,(IF($J$5="Inches",E29+#REF!,(E29+#REF!)/25.4)),0),1/16)))</f>
        <v>0</v>
      </c>
      <c r="X29" s="10">
        <f>IF(B29="Slab Drawer Front",0,(MROUND(IF(F29&lt;&gt;"",0,IF(U29&gt;0,IF($J$5="Inches",D29-AC29,(D29-AD29)/25.4),0)),1/16)))</f>
        <v>0</v>
      </c>
      <c r="Y29" s="10">
        <f>MROUND(IF(B29="Slab Drawer Front",0,IF(F29&lt;&gt;"",0,IF(U29&gt;0,IF($J$5="Inches",((E29-AC29)-(AL29*AA$5))/AM29,(((E29-AD29)-((AL29)*AA$6))/25.4)/AM29),0))),1/16)</f>
        <v>0</v>
      </c>
      <c r="Z29" s="10">
        <f>(IF(G29="",1,G29))*C29</f>
        <v>0</v>
      </c>
      <c r="AA29" s="48">
        <f t="shared" si="2"/>
        <v>0</v>
      </c>
      <c r="AB29" s="48" t="e">
        <f>MROUND(IF(J$5="Inches",D29-$AB$3,(D29/25.4)-$AB$3),1/16)</f>
        <v>#NUM!</v>
      </c>
      <c r="AC29" s="10">
        <f>IF(ISNA(VLOOKUP($J$4,Finishes!$C$3:$D$107,2,FALSE)),3.625,VLOOKUP($J$4,Finishes!$C$3:$D$107,2,FALSE))</f>
        <v>3.5625</v>
      </c>
      <c r="AD29" s="10">
        <f>IF(ISNA(VLOOKUP($J$4,Finishes!$C$3:$E$107,3,FALSE)),92.08,VLOOKUP($J$4,Finishes!$C$3:$E$107,3,FALSE))</f>
        <v>90.49</v>
      </c>
      <c r="AE29" s="10">
        <f>MROUND(IF(F29="",0,IF(U29&gt;0,IF($J$5="Inches",D29-AC29-AE$5,(D29-AD29-AF$5)/25.4),0)),1/16)</f>
        <v>0</v>
      </c>
      <c r="AF29" s="10">
        <f>MROUND(IF(B29="Slab Drawer Front",0,IF(F29&lt;&gt;"",IF(U29&gt;0,IF($J$5="Inches",(((E29-AC29)-((AM29-1)*AA$5))/AM29)-AE$5,(((E29-AD29-AF$5)-((AM29-1)*AA$6))/25.4)/AM29),0),0)),1/16)</f>
        <v>0</v>
      </c>
      <c r="AG29" s="31">
        <f>F29</f>
        <v>0</v>
      </c>
      <c r="AH29" s="42">
        <f>IFERROR((_xlfn.XLOOKUP(AG29,DATA!$J$3:$J$6,DATA!$K$3:$K$6)*J29*AH$5),0)</f>
        <v>0</v>
      </c>
      <c r="AI29" s="31">
        <f>IF(B29="Slab Drawer Front",C29,0)</f>
        <v>0</v>
      </c>
      <c r="AJ29" s="10">
        <f>IF(B29="Slab Drawer Front",(MROUND(IF(AI29&gt;0,IF($J$5="Inches",D29,D29/25.4),0),1/16)),0)</f>
        <v>0</v>
      </c>
      <c r="AK29" s="10">
        <f>IF(B29="Slab Drawer Front",(MROUND(IF(AI29&gt;0,IF($J$5="Inches",E29,E29/25.4),0),1/16)),0)</f>
        <v>0</v>
      </c>
      <c r="AL29" s="10">
        <f>IF(G29="",0,G29-1)</f>
        <v>0</v>
      </c>
      <c r="AM29" s="10">
        <f>IF(G29="",1,G29)</f>
        <v>1</v>
      </c>
      <c r="AN29" s="48">
        <f>AA29*DATA!N$8</f>
        <v>0</v>
      </c>
    </row>
    <row r="30" spans="1:42" x14ac:dyDescent="0.2">
      <c r="A30" s="1">
        <v>21</v>
      </c>
      <c r="B30" s="35"/>
      <c r="C30" s="36"/>
      <c r="D30" s="37"/>
      <c r="E30" s="37"/>
      <c r="F30" s="38"/>
      <c r="G30" s="38"/>
      <c r="H30" s="38"/>
      <c r="I30" s="38"/>
      <c r="J30" s="28" t="str">
        <f t="shared" si="0"/>
        <v/>
      </c>
      <c r="K30" s="29" t="str">
        <f>IF(J30="","",J30*(_xlfn.XLOOKUP(J$4,Finishes!C$3:C$50,Finishes!I$3:I$50))+(IF(OR(B30="Drawer Front",B30="Slab Drawer Front"),DATA!F$2,0)+AH30+AN30))</f>
        <v/>
      </c>
      <c r="L30" s="29" t="str">
        <f t="shared" si="3"/>
        <v/>
      </c>
      <c r="M30" s="10">
        <f>IF(J$5="Inches",IF(B30="Slab Drawer Front",'Size Parameters'!C$5,'Size Parameters'!C$4),(IF(B30="Slab Drawer Front",'Size Parameters'!H$5,'Size Parameters'!H$4)))</f>
        <v>5.5</v>
      </c>
      <c r="N30" s="10">
        <f>IF(J$5="Inches",IF(COUNTIF(B30,"*Door*"),'Size Parameters'!B$4,'Size Parameters'!B$3),IF(COUNTIF(B30,"*Door*"),'Size Parameters'!G$4,'Size Parameters'!G$3))</f>
        <v>48</v>
      </c>
      <c r="O30" s="10">
        <f>IF(J$5="Inches",IF(B30="Slab Drawer Front",'Size Parameters'!E$5,'Size Parameters'!E$3),(IF(B30="Slab Drawer Front",'Size Parameters'!J$5,'Size Parameters'!J$3)))</f>
        <v>5.5</v>
      </c>
      <c r="P30" s="10">
        <f>IF(J$5="Inches",IF(COUNTIF(B30,"*Door*"),'Size Parameters'!D$4,IF(B30="Slab Drawer Front",'Size Parameters'!D$5,'Size Parameters'!D$3)),IF(COUNTIF(B30,"*Door*"),'Size Parameters'!I$4,IF(B30="Slab Drawer Front",'Size Parameters'!I$5,'Size Parameters'!J$3)))</f>
        <v>30</v>
      </c>
      <c r="U30" s="30">
        <f>IF(B30="Slab Drawer Front",0,C30)</f>
        <v>0</v>
      </c>
      <c r="V30" s="10">
        <f>IF(B30="Slab Drawer Front",0,(MROUND(IF(U30&gt;0,(IF($J$5="Inches",D30+#REF!,(D30+#REF!)/25.4)),0),1/16)))</f>
        <v>0</v>
      </c>
      <c r="W30" s="10">
        <f>IF(B30="Slab Drawer Front",0,(MROUND(IF(U30&gt;0,(IF($J$5="Inches",E30+#REF!,(E30+#REF!)/25.4)),0),1/16)))</f>
        <v>0</v>
      </c>
      <c r="X30" s="10">
        <f>IF(B30="Slab Drawer Front",0,(MROUND(IF(F30&lt;&gt;"",0,IF(U30&gt;0,IF($J$5="Inches",D30-AC30,(D30-AD30)/25.4),0)),1/16)))</f>
        <v>0</v>
      </c>
      <c r="Y30" s="10">
        <f>MROUND(IF(B30="Slab Drawer Front",0,IF(F30&lt;&gt;"",0,IF(U30&gt;0,IF($J$5="Inches",((E30-AC30)-(AL30*AA$5))/AM30,(((E30-AD30)-((AL30)*AA$6))/25.4)/AM30),0))),1/16)</f>
        <v>0</v>
      </c>
      <c r="Z30" s="10">
        <f>(IF(G30="",1,G30))*C30</f>
        <v>0</v>
      </c>
      <c r="AA30" s="48">
        <f t="shared" si="2"/>
        <v>0</v>
      </c>
      <c r="AB30" s="48" t="e">
        <f>MROUND(IF(J$5="Inches",D30-$AB$3,(D30/25.4)-$AB$3),1/16)</f>
        <v>#NUM!</v>
      </c>
      <c r="AC30" s="10">
        <f>IF(ISNA(VLOOKUP($J$4,Finishes!$C$3:$D$107,2,FALSE)),3.625,VLOOKUP($J$4,Finishes!$C$3:$D$107,2,FALSE))</f>
        <v>3.5625</v>
      </c>
      <c r="AD30" s="10">
        <f>IF(ISNA(VLOOKUP($J$4,Finishes!$C$3:$E$107,3,FALSE)),92.08,VLOOKUP($J$4,Finishes!$C$3:$E$107,3,FALSE))</f>
        <v>90.49</v>
      </c>
      <c r="AE30" s="10">
        <f>MROUND(IF(F30="",0,IF(U30&gt;0,IF($J$5="Inches",D30-AC30-AE$5,(D30-AD30-AF$5)/25.4),0)),1/16)</f>
        <v>0</v>
      </c>
      <c r="AF30" s="10">
        <f>MROUND(IF(B30="Slab Drawer Front",0,IF(F30&lt;&gt;"",IF(U30&gt;0,IF($J$5="Inches",(((E30-AC30)-((AM30-1)*AA$5))/AM30)-AE$5,(((E30-AD30-AF$5)-((AM30-1)*AA$6))/25.4)/AM30),0),0)),1/16)</f>
        <v>0</v>
      </c>
      <c r="AG30" s="31">
        <f>F30</f>
        <v>0</v>
      </c>
      <c r="AH30" s="42">
        <f>IFERROR((_xlfn.XLOOKUP(AG30,DATA!$J$3:$J$6,DATA!$K$3:$K$6)*J30*AH$5),0)</f>
        <v>0</v>
      </c>
      <c r="AI30" s="31">
        <f>IF(B30="Slab Drawer Front",C30,0)</f>
        <v>0</v>
      </c>
      <c r="AJ30" s="10">
        <f>IF(B30="Slab Drawer Front",(MROUND(IF(AI30&gt;0,IF($J$5="Inches",D30,D30/25.4),0),1/16)),0)</f>
        <v>0</v>
      </c>
      <c r="AK30" s="10">
        <f>IF(B30="Slab Drawer Front",(MROUND(IF(AI30&gt;0,IF($J$5="Inches",E30,E30/25.4),0),1/16)),0)</f>
        <v>0</v>
      </c>
      <c r="AL30" s="10">
        <f>IF(G30="",0,G30-1)</f>
        <v>0</v>
      </c>
      <c r="AM30" s="10">
        <f>IF(G30="",1,G30)</f>
        <v>1</v>
      </c>
      <c r="AN30" s="48">
        <f>AA30*DATA!N$8</f>
        <v>0</v>
      </c>
    </row>
    <row r="31" spans="1:42" x14ac:dyDescent="0.2">
      <c r="A31" s="1">
        <v>22</v>
      </c>
      <c r="B31" s="35"/>
      <c r="C31" s="36"/>
      <c r="D31" s="37"/>
      <c r="E31" s="37"/>
      <c r="F31" s="38"/>
      <c r="G31" s="38"/>
      <c r="H31" s="38"/>
      <c r="I31" s="38"/>
      <c r="J31" s="28" t="str">
        <f t="shared" si="0"/>
        <v/>
      </c>
      <c r="K31" s="29" t="str">
        <f>IF(J31="","",J31*(_xlfn.XLOOKUP(J$4,Finishes!C$3:C$50,Finishes!I$3:I$50))+(IF(OR(B31="Drawer Front",B31="Slab Drawer Front"),DATA!F$2,0)+AH31+AN31))</f>
        <v/>
      </c>
      <c r="L31" s="29" t="str">
        <f t="shared" si="3"/>
        <v/>
      </c>
      <c r="M31" s="10">
        <f>IF(J$5="Inches",IF(B31="Slab Drawer Front",'Size Parameters'!C$5,'Size Parameters'!C$4),(IF(B31="Slab Drawer Front",'Size Parameters'!H$5,'Size Parameters'!H$4)))</f>
        <v>5.5</v>
      </c>
      <c r="N31" s="10">
        <f>IF(J$5="Inches",IF(COUNTIF(B31,"*Door*"),'Size Parameters'!B$4,'Size Parameters'!B$3),IF(COUNTIF(B31,"*Door*"),'Size Parameters'!G$4,'Size Parameters'!G$3))</f>
        <v>48</v>
      </c>
      <c r="O31" s="10">
        <f>IF(J$5="Inches",IF(B31="Slab Drawer Front",'Size Parameters'!E$5,'Size Parameters'!E$3),(IF(B31="Slab Drawer Front",'Size Parameters'!J$5,'Size Parameters'!J$3)))</f>
        <v>5.5</v>
      </c>
      <c r="P31" s="10">
        <f>IF(J$5="Inches",IF(COUNTIF(B31,"*Door*"),'Size Parameters'!D$4,IF(B31="Slab Drawer Front",'Size Parameters'!D$5,'Size Parameters'!D$3)),IF(COUNTIF(B31,"*Door*"),'Size Parameters'!I$4,IF(B31="Slab Drawer Front",'Size Parameters'!I$5,'Size Parameters'!J$3)))</f>
        <v>30</v>
      </c>
      <c r="U31" s="30">
        <f>IF(B31="Slab Drawer Front",0,C31)</f>
        <v>0</v>
      </c>
      <c r="V31" s="10">
        <f>IF(B31="Slab Drawer Front",0,(MROUND(IF(U31&gt;0,(IF($J$5="Inches",D31+#REF!,(D31+#REF!)/25.4)),0),1/16)))</f>
        <v>0</v>
      </c>
      <c r="W31" s="10">
        <f>IF(B31="Slab Drawer Front",0,(MROUND(IF(U31&gt;0,(IF($J$5="Inches",E31+#REF!,(E31+#REF!)/25.4)),0),1/16)))</f>
        <v>0</v>
      </c>
      <c r="X31" s="10">
        <f>IF(B31="Slab Drawer Front",0,(MROUND(IF(F31&lt;&gt;"",0,IF(U31&gt;0,IF($J$5="Inches",D31-AC31,(D31-AD31)/25.4),0)),1/16)))</f>
        <v>0</v>
      </c>
      <c r="Y31" s="10">
        <f>MROUND(IF(B31="Slab Drawer Front",0,IF(F31&lt;&gt;"",0,IF(U31&gt;0,IF($J$5="Inches",((E31-AC31)-(AL31*AA$5))/AM31,(((E31-AD31)-((AL31)*AA$6))/25.4)/AM31),0))),1/16)</f>
        <v>0</v>
      </c>
      <c r="Z31" s="10">
        <f>(IF(G31="",1,G31))*C31</f>
        <v>0</v>
      </c>
      <c r="AA31" s="48">
        <f t="shared" si="2"/>
        <v>0</v>
      </c>
      <c r="AB31" s="48" t="e">
        <f>MROUND(IF(J$5="Inches",D31-$AB$3,(D31/25.4)-$AB$3),1/16)</f>
        <v>#NUM!</v>
      </c>
      <c r="AC31" s="10">
        <f>IF(ISNA(VLOOKUP($J$4,Finishes!$C$3:$D$107,2,FALSE)),3.625,VLOOKUP($J$4,Finishes!$C$3:$D$107,2,FALSE))</f>
        <v>3.5625</v>
      </c>
      <c r="AD31" s="10">
        <f>IF(ISNA(VLOOKUP($J$4,Finishes!$C$3:$E$107,3,FALSE)),92.08,VLOOKUP($J$4,Finishes!$C$3:$E$107,3,FALSE))</f>
        <v>90.49</v>
      </c>
      <c r="AE31" s="10">
        <f>MROUND(IF(F31="",0,IF(U31&gt;0,IF($J$5="Inches",D31-AC31-AE$5,(D31-AD31-AF$5)/25.4),0)),1/16)</f>
        <v>0</v>
      </c>
      <c r="AF31" s="10">
        <f>MROUND(IF(B31="Slab Drawer Front",0,IF(F31&lt;&gt;"",IF(U31&gt;0,IF($J$5="Inches",(((E31-AC31)-((AM31-1)*AA$5))/AM31)-AE$5,(((E31-AD31-AF$5)-((AM31-1)*AA$6))/25.4)/AM31),0),0)),1/16)</f>
        <v>0</v>
      </c>
      <c r="AG31" s="31">
        <f>F31</f>
        <v>0</v>
      </c>
      <c r="AH31" s="42">
        <f>IFERROR((_xlfn.XLOOKUP(AG31,DATA!$J$3:$J$6,DATA!$K$3:$K$6)*J31*AH$5),0)</f>
        <v>0</v>
      </c>
      <c r="AI31" s="31">
        <f>IF(B31="Slab Drawer Front",C31,0)</f>
        <v>0</v>
      </c>
      <c r="AJ31" s="10">
        <f>IF(B31="Slab Drawer Front",(MROUND(IF(AI31&gt;0,IF($J$5="Inches",D31,D31/25.4),0),1/16)),0)</f>
        <v>0</v>
      </c>
      <c r="AK31" s="10">
        <f>IF(B31="Slab Drawer Front",(MROUND(IF(AI31&gt;0,IF($J$5="Inches",E31,E31/25.4),0),1/16)),0)</f>
        <v>0</v>
      </c>
      <c r="AL31" s="10">
        <f>IF(G31="",0,G31-1)</f>
        <v>0</v>
      </c>
      <c r="AM31" s="10">
        <f>IF(G31="",1,G31)</f>
        <v>1</v>
      </c>
      <c r="AN31" s="48">
        <f>AA31*DATA!N$8</f>
        <v>0</v>
      </c>
    </row>
    <row r="32" spans="1:42" x14ac:dyDescent="0.2">
      <c r="A32" s="1">
        <v>23</v>
      </c>
      <c r="B32" s="35"/>
      <c r="C32" s="36"/>
      <c r="D32" s="37"/>
      <c r="E32" s="37"/>
      <c r="F32" s="38"/>
      <c r="G32" s="38"/>
      <c r="H32" s="38"/>
      <c r="I32" s="38"/>
      <c r="J32" s="28" t="str">
        <f t="shared" si="0"/>
        <v/>
      </c>
      <c r="K32" s="29" t="str">
        <f>IF(J32="","",J32*(_xlfn.XLOOKUP(J$4,Finishes!C$3:C$50,Finishes!I$3:I$50))+(IF(OR(B32="Drawer Front",B32="Slab Drawer Front"),DATA!F$2,0)+AH32+AN32))</f>
        <v/>
      </c>
      <c r="L32" s="29" t="str">
        <f t="shared" si="3"/>
        <v/>
      </c>
      <c r="M32" s="10">
        <f>IF(J$5="Inches",IF(B32="Slab Drawer Front",'Size Parameters'!C$5,'Size Parameters'!C$4),(IF(B32="Slab Drawer Front",'Size Parameters'!H$5,'Size Parameters'!H$4)))</f>
        <v>5.5</v>
      </c>
      <c r="N32" s="10">
        <f>IF(J$5="Inches",IF(COUNTIF(B32,"*Door*"),'Size Parameters'!B$4,'Size Parameters'!B$3),IF(COUNTIF(B32,"*Door*"),'Size Parameters'!G$4,'Size Parameters'!G$3))</f>
        <v>48</v>
      </c>
      <c r="O32" s="10">
        <f>IF(J$5="Inches",IF(B32="Slab Drawer Front",'Size Parameters'!E$5,'Size Parameters'!E$3),(IF(B32="Slab Drawer Front",'Size Parameters'!J$5,'Size Parameters'!J$3)))</f>
        <v>5.5</v>
      </c>
      <c r="P32" s="10">
        <f>IF(J$5="Inches",IF(COUNTIF(B32,"*Door*"),'Size Parameters'!D$4,IF(B32="Slab Drawer Front",'Size Parameters'!D$5,'Size Parameters'!D$3)),IF(COUNTIF(B32,"*Door*"),'Size Parameters'!I$4,IF(B32="Slab Drawer Front",'Size Parameters'!I$5,'Size Parameters'!J$3)))</f>
        <v>30</v>
      </c>
      <c r="U32" s="30">
        <f>IF(B32="Slab Drawer Front",0,C32)</f>
        <v>0</v>
      </c>
      <c r="V32" s="10">
        <f>IF(B32="Slab Drawer Front",0,(MROUND(IF(U32&gt;0,(IF($J$5="Inches",D32+#REF!,(D32+#REF!)/25.4)),0),1/16)))</f>
        <v>0</v>
      </c>
      <c r="W32" s="10">
        <f>IF(B32="Slab Drawer Front",0,(MROUND(IF(U32&gt;0,(IF($J$5="Inches",E32+#REF!,(E32+#REF!)/25.4)),0),1/16)))</f>
        <v>0</v>
      </c>
      <c r="X32" s="10">
        <f>IF(B32="Slab Drawer Front",0,(MROUND(IF(F32&lt;&gt;"",0,IF(U32&gt;0,IF($J$5="Inches",D32-AC32,(D32-AD32)/25.4),0)),1/16)))</f>
        <v>0</v>
      </c>
      <c r="Y32" s="10">
        <f>MROUND(IF(B32="Slab Drawer Front",0,IF(F32&lt;&gt;"",0,IF(U32&gt;0,IF($J$5="Inches",((E32-AC32)-(AL32*AA$5))/AM32,(((E32-AD32)-((AL32)*AA$6))/25.4)/AM32),0))),1/16)</f>
        <v>0</v>
      </c>
      <c r="Z32" s="10">
        <f>(IF(G32="",1,G32))*C32</f>
        <v>0</v>
      </c>
      <c r="AA32" s="48">
        <f t="shared" si="2"/>
        <v>0</v>
      </c>
      <c r="AB32" s="48" t="e">
        <f>MROUND(IF(J$5="Inches",D32-$AB$3,(D32/25.4)-$AB$3),1/16)</f>
        <v>#NUM!</v>
      </c>
      <c r="AC32" s="10">
        <f>IF(ISNA(VLOOKUP($J$4,Finishes!$C$3:$D$107,2,FALSE)),3.625,VLOOKUP($J$4,Finishes!$C$3:$D$107,2,FALSE))</f>
        <v>3.5625</v>
      </c>
      <c r="AD32" s="10">
        <f>IF(ISNA(VLOOKUP($J$4,Finishes!$C$3:$E$107,3,FALSE)),92.08,VLOOKUP($J$4,Finishes!$C$3:$E$107,3,FALSE))</f>
        <v>90.49</v>
      </c>
      <c r="AE32" s="10">
        <f>MROUND(IF(F32="",0,IF(U32&gt;0,IF($J$5="Inches",D32-AC32-AE$5,(D32-AD32-AF$5)/25.4),0)),1/16)</f>
        <v>0</v>
      </c>
      <c r="AF32" s="10">
        <f>MROUND(IF(B32="Slab Drawer Front",0,IF(F32&lt;&gt;"",IF(U32&gt;0,IF($J$5="Inches",(((E32-AC32)-((AM32-1)*AA$5))/AM32)-AE$5,(((E32-AD32-AF$5)-((AM32-1)*AA$6))/25.4)/AM32),0),0)),1/16)</f>
        <v>0</v>
      </c>
      <c r="AG32" s="31">
        <f>F32</f>
        <v>0</v>
      </c>
      <c r="AH32" s="42">
        <f>IFERROR((_xlfn.XLOOKUP(AG32,DATA!$J$3:$J$6,DATA!$K$3:$K$6)*J32*AH$5),0)</f>
        <v>0</v>
      </c>
      <c r="AI32" s="31">
        <f>IF(B32="Slab Drawer Front",C32,0)</f>
        <v>0</v>
      </c>
      <c r="AJ32" s="10">
        <f>IF(B32="Slab Drawer Front",(MROUND(IF(AI32&gt;0,IF($J$5="Inches",D32,D32/25.4),0),1/16)),0)</f>
        <v>0</v>
      </c>
      <c r="AK32" s="10">
        <f>IF(B32="Slab Drawer Front",(MROUND(IF(AI32&gt;0,IF($J$5="Inches",E32,E32/25.4),0),1/16)),0)</f>
        <v>0</v>
      </c>
      <c r="AL32" s="10">
        <f>IF(G32="",0,G32-1)</f>
        <v>0</v>
      </c>
      <c r="AM32" s="10">
        <f>IF(G32="",1,G32)</f>
        <v>1</v>
      </c>
      <c r="AN32" s="48">
        <f>AA32*DATA!N$8</f>
        <v>0</v>
      </c>
    </row>
    <row r="33" spans="1:40" x14ac:dyDescent="0.2">
      <c r="A33" s="1">
        <v>24</v>
      </c>
      <c r="B33" s="35"/>
      <c r="C33" s="36"/>
      <c r="D33" s="37"/>
      <c r="E33" s="37"/>
      <c r="F33" s="38"/>
      <c r="G33" s="38"/>
      <c r="H33" s="38"/>
      <c r="I33" s="38"/>
      <c r="J33" s="28" t="str">
        <f t="shared" si="0"/>
        <v/>
      </c>
      <c r="K33" s="29" t="str">
        <f>IF(J33="","",J33*(_xlfn.XLOOKUP(J$4,Finishes!C$3:C$50,Finishes!I$3:I$50))+(IF(OR(B33="Drawer Front",B33="Slab Drawer Front"),DATA!F$2,0)+AH33+AN33))</f>
        <v/>
      </c>
      <c r="L33" s="29" t="str">
        <f t="shared" si="3"/>
        <v/>
      </c>
      <c r="M33" s="10">
        <f>IF(J$5="Inches",IF(B33="Slab Drawer Front",'Size Parameters'!C$5,'Size Parameters'!C$4),(IF(B33="Slab Drawer Front",'Size Parameters'!H$5,'Size Parameters'!H$4)))</f>
        <v>5.5</v>
      </c>
      <c r="N33" s="10">
        <f>IF(J$5="Inches",IF(COUNTIF(B33,"*Door*"),'Size Parameters'!B$4,'Size Parameters'!B$3),IF(COUNTIF(B33,"*Door*"),'Size Parameters'!G$4,'Size Parameters'!G$3))</f>
        <v>48</v>
      </c>
      <c r="O33" s="10">
        <f>IF(J$5="Inches",IF(B33="Slab Drawer Front",'Size Parameters'!E$5,'Size Parameters'!E$3),(IF(B33="Slab Drawer Front",'Size Parameters'!J$5,'Size Parameters'!J$3)))</f>
        <v>5.5</v>
      </c>
      <c r="P33" s="10">
        <f>IF(J$5="Inches",IF(COUNTIF(B33,"*Door*"),'Size Parameters'!D$4,IF(B33="Slab Drawer Front",'Size Parameters'!D$5,'Size Parameters'!D$3)),IF(COUNTIF(B33,"*Door*"),'Size Parameters'!I$4,IF(B33="Slab Drawer Front",'Size Parameters'!I$5,'Size Parameters'!J$3)))</f>
        <v>30</v>
      </c>
      <c r="U33" s="30">
        <f>IF(B33="Slab Drawer Front",0,C33)</f>
        <v>0</v>
      </c>
      <c r="V33" s="10">
        <f>IF(B33="Slab Drawer Front",0,(MROUND(IF(U33&gt;0,(IF($J$5="Inches",D33+#REF!,(D33+#REF!)/25.4)),0),1/16)))</f>
        <v>0</v>
      </c>
      <c r="W33" s="10">
        <f>IF(B33="Slab Drawer Front",0,(MROUND(IF(U33&gt;0,(IF($J$5="Inches",E33+#REF!,(E33+#REF!)/25.4)),0),1/16)))</f>
        <v>0</v>
      </c>
      <c r="X33" s="10">
        <f>IF(B33="Slab Drawer Front",0,(MROUND(IF(F33&lt;&gt;"",0,IF(U33&gt;0,IF($J$5="Inches",D33-AC33,(D33-AD33)/25.4),0)),1/16)))</f>
        <v>0</v>
      </c>
      <c r="Y33" s="10">
        <f>MROUND(IF(B33="Slab Drawer Front",0,IF(F33&lt;&gt;"",0,IF(U33&gt;0,IF($J$5="Inches",((E33-AC33)-(AL33*AA$5))/AM33,(((E33-AD33)-((AL33)*AA$6))/25.4)/AM33),0))),1/16)</f>
        <v>0</v>
      </c>
      <c r="Z33" s="10">
        <f>(IF(G33="",1,G33))*C33</f>
        <v>0</v>
      </c>
      <c r="AA33" s="48">
        <f t="shared" si="2"/>
        <v>0</v>
      </c>
      <c r="AB33" s="48" t="e">
        <f>MROUND(IF(J$5="Inches",D33-$AB$3,(D33/25.4)-$AB$3),1/16)</f>
        <v>#NUM!</v>
      </c>
      <c r="AC33" s="10">
        <f>IF(ISNA(VLOOKUP($J$4,Finishes!$C$3:$D$107,2,FALSE)),3.625,VLOOKUP($J$4,Finishes!$C$3:$D$107,2,FALSE))</f>
        <v>3.5625</v>
      </c>
      <c r="AD33" s="10">
        <f>IF(ISNA(VLOOKUP($J$4,Finishes!$C$3:$E$107,3,FALSE)),92.08,VLOOKUP($J$4,Finishes!$C$3:$E$107,3,FALSE))</f>
        <v>90.49</v>
      </c>
      <c r="AE33" s="10">
        <f>MROUND(IF(F33="",0,IF(U33&gt;0,IF($J$5="Inches",D33-AC33-AE$5,(D33-AD33-AF$5)/25.4),0)),1/16)</f>
        <v>0</v>
      </c>
      <c r="AF33" s="10">
        <f>MROUND(IF(B33="Slab Drawer Front",0,IF(F33&lt;&gt;"",IF(U33&gt;0,IF($J$5="Inches",(((E33-AC33)-((AM33-1)*AA$5))/AM33)-AE$5,(((E33-AD33-AF$5)-((AM33-1)*AA$6))/25.4)/AM33),0),0)),1/16)</f>
        <v>0</v>
      </c>
      <c r="AG33" s="31">
        <f>F33</f>
        <v>0</v>
      </c>
      <c r="AH33" s="42">
        <f>IFERROR((_xlfn.XLOOKUP(AG33,DATA!$J$3:$J$6,DATA!$K$3:$K$6)*J33*AH$5),0)</f>
        <v>0</v>
      </c>
      <c r="AI33" s="31">
        <f>IF(B33="Slab Drawer Front",C33,0)</f>
        <v>0</v>
      </c>
      <c r="AJ33" s="10">
        <f>IF(B33="Slab Drawer Front",(MROUND(IF(AI33&gt;0,IF($J$5="Inches",D33,D33/25.4),0),1/16)),0)</f>
        <v>0</v>
      </c>
      <c r="AK33" s="10">
        <f>IF(B33="Slab Drawer Front",(MROUND(IF(AI33&gt;0,IF($J$5="Inches",E33,E33/25.4),0),1/16)),0)</f>
        <v>0</v>
      </c>
      <c r="AL33" s="10">
        <f>IF(G33="",0,G33-1)</f>
        <v>0</v>
      </c>
      <c r="AM33" s="10">
        <f>IF(G33="",1,G33)</f>
        <v>1</v>
      </c>
      <c r="AN33" s="48">
        <f>AA33*DATA!N$8</f>
        <v>0</v>
      </c>
    </row>
    <row r="34" spans="1:40" x14ac:dyDescent="0.2">
      <c r="A34" s="1">
        <v>25</v>
      </c>
      <c r="B34" s="35"/>
      <c r="C34" s="36"/>
      <c r="D34" s="37"/>
      <c r="E34" s="37"/>
      <c r="F34" s="38"/>
      <c r="G34" s="38"/>
      <c r="H34" s="38"/>
      <c r="I34" s="38"/>
      <c r="J34" s="28" t="str">
        <f t="shared" si="0"/>
        <v/>
      </c>
      <c r="K34" s="29" t="str">
        <f>IF(J34="","",J34*(_xlfn.XLOOKUP(J$4,Finishes!C$3:C$50,Finishes!I$3:I$50))+(IF(OR(B34="Drawer Front",B34="Slab Drawer Front"),DATA!F$2,0)+AH34+AN34))</f>
        <v/>
      </c>
      <c r="L34" s="29" t="str">
        <f t="shared" si="3"/>
        <v/>
      </c>
      <c r="M34" s="10">
        <f>IF(J$5="Inches",IF(B34="Slab Drawer Front",'Size Parameters'!C$5,'Size Parameters'!C$4),(IF(B34="Slab Drawer Front",'Size Parameters'!H$5,'Size Parameters'!H$4)))</f>
        <v>5.5</v>
      </c>
      <c r="N34" s="10">
        <f>IF(J$5="Inches",IF(COUNTIF(B34,"*Door*"),'Size Parameters'!B$4,'Size Parameters'!B$3),IF(COUNTIF(B34,"*Door*"),'Size Parameters'!G$4,'Size Parameters'!G$3))</f>
        <v>48</v>
      </c>
      <c r="O34" s="10">
        <f>IF(J$5="Inches",IF(B34="Slab Drawer Front",'Size Parameters'!E$5,'Size Parameters'!E$3),(IF(B34="Slab Drawer Front",'Size Parameters'!J$5,'Size Parameters'!J$3)))</f>
        <v>5.5</v>
      </c>
      <c r="P34" s="10">
        <f>IF(J$5="Inches",IF(COUNTIF(B34,"*Door*"),'Size Parameters'!D$4,IF(B34="Slab Drawer Front",'Size Parameters'!D$5,'Size Parameters'!D$3)),IF(COUNTIF(B34,"*Door*"),'Size Parameters'!I$4,IF(B34="Slab Drawer Front",'Size Parameters'!I$5,'Size Parameters'!J$3)))</f>
        <v>30</v>
      </c>
      <c r="U34" s="30">
        <f>IF(B34="Slab Drawer Front",0,C34)</f>
        <v>0</v>
      </c>
      <c r="V34" s="10">
        <f>IF(B34="Slab Drawer Front",0,(MROUND(IF(U34&gt;0,(IF($J$5="Inches",D34+#REF!,(D34+#REF!)/25.4)),0),1/16)))</f>
        <v>0</v>
      </c>
      <c r="W34" s="10">
        <f>IF(B34="Slab Drawer Front",0,(MROUND(IF(U34&gt;0,(IF($J$5="Inches",E34+#REF!,(E34+#REF!)/25.4)),0),1/16)))</f>
        <v>0</v>
      </c>
      <c r="X34" s="10">
        <f>IF(B34="Slab Drawer Front",0,(MROUND(IF(F34&lt;&gt;"",0,IF(U34&gt;0,IF($J$5="Inches",D34-AC34,(D34-AD34)/25.4),0)),1/16)))</f>
        <v>0</v>
      </c>
      <c r="Y34" s="10">
        <f>MROUND(IF(B34="Slab Drawer Front",0,IF(F34&lt;&gt;"",0,IF(U34&gt;0,IF($J$5="Inches",((E34-AC34)-(AL34*AA$5))/AM34,(((E34-AD34)-((AL34)*AA$6))/25.4)/AM34),0))),1/16)</f>
        <v>0</v>
      </c>
      <c r="Z34" s="10">
        <f>(IF(G34="",1,G34))*C34</f>
        <v>0</v>
      </c>
      <c r="AA34" s="48">
        <f t="shared" si="2"/>
        <v>0</v>
      </c>
      <c r="AB34" s="48" t="e">
        <f>MROUND(IF(J$5="Inches",D34-$AB$3,(D34/25.4)-$AB$3),1/16)</f>
        <v>#NUM!</v>
      </c>
      <c r="AC34" s="10">
        <f>IF(ISNA(VLOOKUP($J$4,Finishes!$C$3:$D$107,2,FALSE)),3.625,VLOOKUP($J$4,Finishes!$C$3:$D$107,2,FALSE))</f>
        <v>3.5625</v>
      </c>
      <c r="AD34" s="10">
        <f>IF(ISNA(VLOOKUP($J$4,Finishes!$C$3:$E$107,3,FALSE)),92.08,VLOOKUP($J$4,Finishes!$C$3:$E$107,3,FALSE))</f>
        <v>90.49</v>
      </c>
      <c r="AE34" s="10">
        <f>MROUND(IF(F34="",0,IF(U34&gt;0,IF($J$5="Inches",D34-AC34-AE$5,(D34-AD34-AF$5)/25.4),0)),1/16)</f>
        <v>0</v>
      </c>
      <c r="AF34" s="10">
        <f>MROUND(IF(B34="Slab Drawer Front",0,IF(F34&lt;&gt;"",IF(U34&gt;0,IF($J$5="Inches",(((E34-AC34)-((AM34-1)*AA$5))/AM34)-AE$5,(((E34-AD34-AF$5)-((AM34-1)*AA$6))/25.4)/AM34),0),0)),1/16)</f>
        <v>0</v>
      </c>
      <c r="AG34" s="31">
        <f>F34</f>
        <v>0</v>
      </c>
      <c r="AH34" s="42">
        <f>IFERROR((_xlfn.XLOOKUP(AG34,DATA!$J$3:$J$6,DATA!$K$3:$K$6)*J34*AH$5),0)</f>
        <v>0</v>
      </c>
      <c r="AI34" s="31">
        <f>IF(B34="Slab Drawer Front",C34,0)</f>
        <v>0</v>
      </c>
      <c r="AJ34" s="10">
        <f>IF(B34="Slab Drawer Front",(MROUND(IF(AI34&gt;0,IF($J$5="Inches",D34,D34/25.4),0),1/16)),0)</f>
        <v>0</v>
      </c>
      <c r="AK34" s="10">
        <f>IF(B34="Slab Drawer Front",(MROUND(IF(AI34&gt;0,IF($J$5="Inches",E34,E34/25.4),0),1/16)),0)</f>
        <v>0</v>
      </c>
      <c r="AL34" s="10">
        <f>IF(G34="",0,G34-1)</f>
        <v>0</v>
      </c>
      <c r="AM34" s="10">
        <f>IF(G34="",1,G34)</f>
        <v>1</v>
      </c>
      <c r="AN34" s="48">
        <f>AA34*DATA!N$8</f>
        <v>0</v>
      </c>
    </row>
    <row r="35" spans="1:40" x14ac:dyDescent="0.2">
      <c r="A35" s="1">
        <v>26</v>
      </c>
      <c r="B35" s="35"/>
      <c r="C35" s="36"/>
      <c r="D35" s="37"/>
      <c r="E35" s="37"/>
      <c r="F35" s="38"/>
      <c r="G35" s="38"/>
      <c r="H35" s="38"/>
      <c r="I35" s="38"/>
      <c r="J35" s="28" t="str">
        <f t="shared" si="0"/>
        <v/>
      </c>
      <c r="K35" s="29" t="str">
        <f>IF(J35="","",J35*(_xlfn.XLOOKUP(J$4,Finishes!C$3:C$50,Finishes!I$3:I$50))+(IF(OR(B35="Drawer Front",B35="Slab Drawer Front"),DATA!F$2,0)+AH35+AN35))</f>
        <v/>
      </c>
      <c r="L35" s="29" t="str">
        <f t="shared" si="3"/>
        <v/>
      </c>
      <c r="M35" s="10">
        <f>IF(J$5="Inches",IF(B35="Slab Drawer Front",'Size Parameters'!C$5,'Size Parameters'!C$4),(IF(B35="Slab Drawer Front",'Size Parameters'!H$5,'Size Parameters'!H$4)))</f>
        <v>5.5</v>
      </c>
      <c r="N35" s="10">
        <f>IF(J$5="Inches",IF(COUNTIF(B35,"*Door*"),'Size Parameters'!B$4,'Size Parameters'!B$3),IF(COUNTIF(B35,"*Door*"),'Size Parameters'!G$4,'Size Parameters'!G$3))</f>
        <v>48</v>
      </c>
      <c r="O35" s="10">
        <f>IF(J$5="Inches",IF(B35="Slab Drawer Front",'Size Parameters'!E$5,'Size Parameters'!E$3),(IF(B35="Slab Drawer Front",'Size Parameters'!J$5,'Size Parameters'!J$3)))</f>
        <v>5.5</v>
      </c>
      <c r="P35" s="10">
        <f>IF(J$5="Inches",IF(COUNTIF(B35,"*Door*"),'Size Parameters'!D$4,IF(B35="Slab Drawer Front",'Size Parameters'!D$5,'Size Parameters'!D$3)),IF(COUNTIF(B35,"*Door*"),'Size Parameters'!I$4,IF(B35="Slab Drawer Front",'Size Parameters'!I$5,'Size Parameters'!J$3)))</f>
        <v>30</v>
      </c>
      <c r="U35" s="30">
        <f>IF(B35="Slab Drawer Front",0,C35)</f>
        <v>0</v>
      </c>
      <c r="V35" s="10">
        <f>IF(B35="Slab Drawer Front",0,(MROUND(IF(U35&gt;0,(IF($J$5="Inches",D35+#REF!,(D35+#REF!)/25.4)),0),1/16)))</f>
        <v>0</v>
      </c>
      <c r="W35" s="10">
        <f>IF(B35="Slab Drawer Front",0,(MROUND(IF(U35&gt;0,(IF($J$5="Inches",E35+#REF!,(E35+#REF!)/25.4)),0),1/16)))</f>
        <v>0</v>
      </c>
      <c r="X35" s="10">
        <f>IF(B35="Slab Drawer Front",0,(MROUND(IF(F35&lt;&gt;"",0,IF(U35&gt;0,IF($J$5="Inches",D35-AC35,(D35-AD35)/25.4),0)),1/16)))</f>
        <v>0</v>
      </c>
      <c r="Y35" s="10">
        <f>MROUND(IF(B35="Slab Drawer Front",0,IF(F35&lt;&gt;"",0,IF(U35&gt;0,IF($J$5="Inches",((E35-AC35)-(AL35*AA$5))/AM35,(((E35-AD35)-((AL35)*AA$6))/25.4)/AM35),0))),1/16)</f>
        <v>0</v>
      </c>
      <c r="Z35" s="10">
        <f>(IF(G35="",1,G35))*C35</f>
        <v>0</v>
      </c>
      <c r="AA35" s="48">
        <f t="shared" si="2"/>
        <v>0</v>
      </c>
      <c r="AB35" s="48" t="e">
        <f>MROUND(IF(J$5="Inches",D35-$AB$3,(D35/25.4)-$AB$3),1/16)</f>
        <v>#NUM!</v>
      </c>
      <c r="AC35" s="10">
        <f>IF(ISNA(VLOOKUP($J$4,Finishes!$C$3:$D$107,2,FALSE)),3.625,VLOOKUP($J$4,Finishes!$C$3:$D$107,2,FALSE))</f>
        <v>3.5625</v>
      </c>
      <c r="AD35" s="10">
        <f>IF(ISNA(VLOOKUP($J$4,Finishes!$C$3:$E$107,3,FALSE)),92.08,VLOOKUP($J$4,Finishes!$C$3:$E$107,3,FALSE))</f>
        <v>90.49</v>
      </c>
      <c r="AE35" s="10">
        <f>MROUND(IF(F35="",0,IF(U35&gt;0,IF($J$5="Inches",D35-AC35-AE$5,(D35-AD35-AF$5)/25.4),0)),1/16)</f>
        <v>0</v>
      </c>
      <c r="AF35" s="10">
        <f>MROUND(IF(B35="Slab Drawer Front",0,IF(F35&lt;&gt;"",IF(U35&gt;0,IF($J$5="Inches",(((E35-AC35)-((AM35-1)*AA$5))/AM35)-AE$5,(((E35-AD35-AF$5)-((AM35-1)*AA$6))/25.4)/AM35),0),0)),1/16)</f>
        <v>0</v>
      </c>
      <c r="AG35" s="31">
        <f>F35</f>
        <v>0</v>
      </c>
      <c r="AH35" s="42">
        <f>IFERROR((_xlfn.XLOOKUP(AG35,DATA!$J$3:$J$6,DATA!$K$3:$K$6)*J35*AH$5),0)</f>
        <v>0</v>
      </c>
      <c r="AI35" s="31">
        <f>IF(B35="Slab Drawer Front",C35,0)</f>
        <v>0</v>
      </c>
      <c r="AJ35" s="10">
        <f>IF(B35="Slab Drawer Front",(MROUND(IF(AI35&gt;0,IF($J$5="Inches",D35,D35/25.4),0),1/16)),0)</f>
        <v>0</v>
      </c>
      <c r="AK35" s="10">
        <f>IF(B35="Slab Drawer Front",(MROUND(IF(AI35&gt;0,IF($J$5="Inches",E35,E35/25.4),0),1/16)),0)</f>
        <v>0</v>
      </c>
      <c r="AL35" s="10">
        <f>IF(G35="",0,G35-1)</f>
        <v>0</v>
      </c>
      <c r="AM35" s="10">
        <f>IF(G35="",1,G35)</f>
        <v>1</v>
      </c>
      <c r="AN35" s="48">
        <f>AA35*DATA!N$8</f>
        <v>0</v>
      </c>
    </row>
    <row r="36" spans="1:40" x14ac:dyDescent="0.2">
      <c r="A36" s="1">
        <v>27</v>
      </c>
      <c r="B36" s="35"/>
      <c r="C36" s="36"/>
      <c r="D36" s="37"/>
      <c r="E36" s="37"/>
      <c r="F36" s="38"/>
      <c r="G36" s="38"/>
      <c r="H36" s="38"/>
      <c r="I36" s="38"/>
      <c r="J36" s="28" t="str">
        <f t="shared" si="0"/>
        <v/>
      </c>
      <c r="K36" s="29" t="str">
        <f>IF(J36="","",J36*(_xlfn.XLOOKUP(J$4,Finishes!C$3:C$50,Finishes!I$3:I$50))+(IF(OR(B36="Drawer Front",B36="Slab Drawer Front"),DATA!F$2,0)+AH36+AN36))</f>
        <v/>
      </c>
      <c r="L36" s="29" t="str">
        <f t="shared" si="3"/>
        <v/>
      </c>
      <c r="M36" s="10">
        <f>IF(J$5="Inches",IF(B36="Slab Drawer Front",'Size Parameters'!C$5,'Size Parameters'!C$4),(IF(B36="Slab Drawer Front",'Size Parameters'!H$5,'Size Parameters'!H$4)))</f>
        <v>5.5</v>
      </c>
      <c r="N36" s="10">
        <f>IF(J$5="Inches",IF(COUNTIF(B36,"*Door*"),'Size Parameters'!B$4,'Size Parameters'!B$3),IF(COUNTIF(B36,"*Door*"),'Size Parameters'!G$4,'Size Parameters'!G$3))</f>
        <v>48</v>
      </c>
      <c r="O36" s="10">
        <f>IF(J$5="Inches",IF(B36="Slab Drawer Front",'Size Parameters'!E$5,'Size Parameters'!E$3),(IF(B36="Slab Drawer Front",'Size Parameters'!J$5,'Size Parameters'!J$3)))</f>
        <v>5.5</v>
      </c>
      <c r="P36" s="10">
        <f>IF(J$5="Inches",IF(COUNTIF(B36,"*Door*"),'Size Parameters'!D$4,IF(B36="Slab Drawer Front",'Size Parameters'!D$5,'Size Parameters'!D$3)),IF(COUNTIF(B36,"*Door*"),'Size Parameters'!I$4,IF(B36="Slab Drawer Front",'Size Parameters'!I$5,'Size Parameters'!J$3)))</f>
        <v>30</v>
      </c>
      <c r="U36" s="30">
        <f>IF(B36="Slab Drawer Front",0,C36)</f>
        <v>0</v>
      </c>
      <c r="V36" s="10">
        <f>IF(B36="Slab Drawer Front",0,(MROUND(IF(U36&gt;0,(IF($J$5="Inches",D36+#REF!,(D36+#REF!)/25.4)),0),1/16)))</f>
        <v>0</v>
      </c>
      <c r="W36" s="10">
        <f>IF(B36="Slab Drawer Front",0,(MROUND(IF(U36&gt;0,(IF($J$5="Inches",E36+#REF!,(E36+#REF!)/25.4)),0),1/16)))</f>
        <v>0</v>
      </c>
      <c r="X36" s="10">
        <f>IF(B36="Slab Drawer Front",0,(MROUND(IF(F36&lt;&gt;"",0,IF(U36&gt;0,IF($J$5="Inches",D36-AC36,(D36-AD36)/25.4),0)),1/16)))</f>
        <v>0</v>
      </c>
      <c r="Y36" s="10">
        <f>MROUND(IF(B36="Slab Drawer Front",0,IF(F36&lt;&gt;"",0,IF(U36&gt;0,IF($J$5="Inches",((E36-AC36)-(AL36*AA$5))/AM36,(((E36-AD36)-((AL36)*AA$6))/25.4)/AM36),0))),1/16)</f>
        <v>0</v>
      </c>
      <c r="Z36" s="10">
        <f>(IF(G36="",1,G36))*C36</f>
        <v>0</v>
      </c>
      <c r="AA36" s="48">
        <f t="shared" si="2"/>
        <v>0</v>
      </c>
      <c r="AB36" s="48" t="e">
        <f>MROUND(IF(J$5="Inches",D36-$AB$3,(D36/25.4)-$AB$3),1/16)</f>
        <v>#NUM!</v>
      </c>
      <c r="AC36" s="10">
        <f>IF(ISNA(VLOOKUP($J$4,Finishes!$C$3:$D$107,2,FALSE)),3.625,VLOOKUP($J$4,Finishes!$C$3:$D$107,2,FALSE))</f>
        <v>3.5625</v>
      </c>
      <c r="AD36" s="10">
        <f>IF(ISNA(VLOOKUP($J$4,Finishes!$C$3:$E$107,3,FALSE)),92.08,VLOOKUP($J$4,Finishes!$C$3:$E$107,3,FALSE))</f>
        <v>90.49</v>
      </c>
      <c r="AE36" s="10">
        <f>MROUND(IF(F36="",0,IF(U36&gt;0,IF($J$5="Inches",D36-AC36-AE$5,(D36-AD36-AF$5)/25.4),0)),1/16)</f>
        <v>0</v>
      </c>
      <c r="AF36" s="10">
        <f>MROUND(IF(B36="Slab Drawer Front",0,IF(F36&lt;&gt;"",IF(U36&gt;0,IF($J$5="Inches",(((E36-AC36)-((AM36-1)*AA$5))/AM36)-AE$5,(((E36-AD36-AF$5)-((AM36-1)*AA$6))/25.4)/AM36),0),0)),1/16)</f>
        <v>0</v>
      </c>
      <c r="AG36" s="31">
        <f>F36</f>
        <v>0</v>
      </c>
      <c r="AH36" s="42">
        <f>IFERROR((_xlfn.XLOOKUP(AG36,DATA!$J$3:$J$6,DATA!$K$3:$K$6)*J36*AH$5),0)</f>
        <v>0</v>
      </c>
      <c r="AI36" s="31">
        <f>IF(B36="Slab Drawer Front",C36,0)</f>
        <v>0</v>
      </c>
      <c r="AJ36" s="10">
        <f>IF(B36="Slab Drawer Front",(MROUND(IF(AI36&gt;0,IF($J$5="Inches",D36,D36/25.4),0),1/16)),0)</f>
        <v>0</v>
      </c>
      <c r="AK36" s="10">
        <f>IF(B36="Slab Drawer Front",(MROUND(IF(AI36&gt;0,IF($J$5="Inches",E36,E36/25.4),0),1/16)),0)</f>
        <v>0</v>
      </c>
      <c r="AL36" s="10">
        <f>IF(G36="",0,G36-1)</f>
        <v>0</v>
      </c>
      <c r="AM36" s="10">
        <f>IF(G36="",1,G36)</f>
        <v>1</v>
      </c>
      <c r="AN36" s="48">
        <f>AA36*DATA!N$8</f>
        <v>0</v>
      </c>
    </row>
    <row r="37" spans="1:40" x14ac:dyDescent="0.2">
      <c r="A37" s="1">
        <v>28</v>
      </c>
      <c r="B37" s="35"/>
      <c r="C37" s="36"/>
      <c r="D37" s="37"/>
      <c r="E37" s="37"/>
      <c r="F37" s="38"/>
      <c r="G37" s="38"/>
      <c r="H37" s="38"/>
      <c r="I37" s="38"/>
      <c r="J37" s="28" t="str">
        <f t="shared" si="0"/>
        <v/>
      </c>
      <c r="K37" s="29" t="str">
        <f>IF(J37="","",J37*(_xlfn.XLOOKUP(J$4,Finishes!C$3:C$50,Finishes!I$3:I$50))+(IF(OR(B37="Drawer Front",B37="Slab Drawer Front"),DATA!F$2,0)+AH37+AN37))</f>
        <v/>
      </c>
      <c r="L37" s="29" t="str">
        <f t="shared" si="3"/>
        <v/>
      </c>
      <c r="M37" s="10">
        <f>IF(J$5="Inches",IF(B37="Slab Drawer Front",'Size Parameters'!C$5,'Size Parameters'!C$4),(IF(B37="Slab Drawer Front",'Size Parameters'!H$5,'Size Parameters'!H$4)))</f>
        <v>5.5</v>
      </c>
      <c r="N37" s="10">
        <f>IF(J$5="Inches",IF(COUNTIF(B37,"*Door*"),'Size Parameters'!B$4,'Size Parameters'!B$3),IF(COUNTIF(B37,"*Door*"),'Size Parameters'!G$4,'Size Parameters'!G$3))</f>
        <v>48</v>
      </c>
      <c r="O37" s="10">
        <f>IF(J$5="Inches",IF(B37="Slab Drawer Front",'Size Parameters'!E$5,'Size Parameters'!E$3),(IF(B37="Slab Drawer Front",'Size Parameters'!J$5,'Size Parameters'!J$3)))</f>
        <v>5.5</v>
      </c>
      <c r="P37" s="10">
        <f>IF(J$5="Inches",IF(COUNTIF(B37,"*Door*"),'Size Parameters'!D$4,IF(B37="Slab Drawer Front",'Size Parameters'!D$5,'Size Parameters'!D$3)),IF(COUNTIF(B37,"*Door*"),'Size Parameters'!I$4,IF(B37="Slab Drawer Front",'Size Parameters'!I$5,'Size Parameters'!J$3)))</f>
        <v>30</v>
      </c>
      <c r="U37" s="30">
        <f>IF(B37="Slab Drawer Front",0,C37)</f>
        <v>0</v>
      </c>
      <c r="V37" s="10">
        <f>IF(B37="Slab Drawer Front",0,(MROUND(IF(U37&gt;0,(IF($J$5="Inches",D37+#REF!,(D37+#REF!)/25.4)),0),1/16)))</f>
        <v>0</v>
      </c>
      <c r="W37" s="10">
        <f>IF(B37="Slab Drawer Front",0,(MROUND(IF(U37&gt;0,(IF($J$5="Inches",E37+#REF!,(E37+#REF!)/25.4)),0),1/16)))</f>
        <v>0</v>
      </c>
      <c r="X37" s="10">
        <f>IF(B37="Slab Drawer Front",0,(MROUND(IF(F37&lt;&gt;"",0,IF(U37&gt;0,IF($J$5="Inches",D37-AC37,(D37-AD37)/25.4),0)),1/16)))</f>
        <v>0</v>
      </c>
      <c r="Y37" s="10">
        <f>MROUND(IF(B37="Slab Drawer Front",0,IF(F37&lt;&gt;"",0,IF(U37&gt;0,IF($J$5="Inches",((E37-AC37)-(AL37*AA$5))/AM37,(((E37-AD37)-((AL37)*AA$6))/25.4)/AM37),0))),1/16)</f>
        <v>0</v>
      </c>
      <c r="Z37" s="10">
        <f>(IF(G37="",1,G37))*C37</f>
        <v>0</v>
      </c>
      <c r="AA37" s="48">
        <f t="shared" si="2"/>
        <v>0</v>
      </c>
      <c r="AB37" s="48" t="e">
        <f>MROUND(IF(J$5="Inches",D37-$AB$3,(D37/25.4)-$AB$3),1/16)</f>
        <v>#NUM!</v>
      </c>
      <c r="AC37" s="10">
        <f>IF(ISNA(VLOOKUP($J$4,Finishes!$C$3:$D$107,2,FALSE)),3.625,VLOOKUP($J$4,Finishes!$C$3:$D$107,2,FALSE))</f>
        <v>3.5625</v>
      </c>
      <c r="AD37" s="10">
        <f>IF(ISNA(VLOOKUP($J$4,Finishes!$C$3:$E$107,3,FALSE)),92.08,VLOOKUP($J$4,Finishes!$C$3:$E$107,3,FALSE))</f>
        <v>90.49</v>
      </c>
      <c r="AE37" s="10">
        <f>MROUND(IF(F37="",0,IF(U37&gt;0,IF($J$5="Inches",D37-AC37-AE$5,(D37-AD37-AF$5)/25.4),0)),1/16)</f>
        <v>0</v>
      </c>
      <c r="AF37" s="10">
        <f>MROUND(IF(B37="Slab Drawer Front",0,IF(F37&lt;&gt;"",IF(U37&gt;0,IF($J$5="Inches",(((E37-AC37)-((AM37-1)*AA$5))/AM37)-AE$5,(((E37-AD37-AF$5)-((AM37-1)*AA$6))/25.4)/AM37),0),0)),1/16)</f>
        <v>0</v>
      </c>
      <c r="AG37" s="31">
        <f>F37</f>
        <v>0</v>
      </c>
      <c r="AH37" s="42">
        <f>IFERROR((_xlfn.XLOOKUP(AG37,DATA!$J$3:$J$6,DATA!$K$3:$K$6)*J37*AH$5),0)</f>
        <v>0</v>
      </c>
      <c r="AI37" s="31">
        <f>IF(B37="Slab Drawer Front",C37,0)</f>
        <v>0</v>
      </c>
      <c r="AJ37" s="10">
        <f>IF(B37="Slab Drawer Front",(MROUND(IF(AI37&gt;0,IF($J$5="Inches",D37,D37/25.4),0),1/16)),0)</f>
        <v>0</v>
      </c>
      <c r="AK37" s="10">
        <f>IF(B37="Slab Drawer Front",(MROUND(IF(AI37&gt;0,IF($J$5="Inches",E37,E37/25.4),0),1/16)),0)</f>
        <v>0</v>
      </c>
      <c r="AL37" s="10">
        <f>IF(G37="",0,G37-1)</f>
        <v>0</v>
      </c>
      <c r="AM37" s="10">
        <f>IF(G37="",1,G37)</f>
        <v>1</v>
      </c>
      <c r="AN37" s="48">
        <f>AA37*DATA!N$8</f>
        <v>0</v>
      </c>
    </row>
    <row r="38" spans="1:40" x14ac:dyDescent="0.2">
      <c r="A38" s="1">
        <v>29</v>
      </c>
      <c r="B38" s="35"/>
      <c r="C38" s="36"/>
      <c r="D38" s="37"/>
      <c r="E38" s="37"/>
      <c r="F38" s="38"/>
      <c r="G38" s="38"/>
      <c r="H38" s="38"/>
      <c r="I38" s="38"/>
      <c r="J38" s="28" t="str">
        <f t="shared" si="0"/>
        <v/>
      </c>
      <c r="K38" s="29" t="str">
        <f>IF(J38="","",J38*(_xlfn.XLOOKUP(J$4,Finishes!C$3:C$50,Finishes!I$3:I$50))+(IF(OR(B38="Drawer Front",B38="Slab Drawer Front"),DATA!F$2,0)+AH38+AN38))</f>
        <v/>
      </c>
      <c r="L38" s="29" t="str">
        <f t="shared" si="3"/>
        <v/>
      </c>
      <c r="M38" s="10">
        <f>IF(J$5="Inches",IF(B38="Slab Drawer Front",'Size Parameters'!C$5,'Size Parameters'!C$4),(IF(B38="Slab Drawer Front",'Size Parameters'!H$5,'Size Parameters'!H$4)))</f>
        <v>5.5</v>
      </c>
      <c r="N38" s="10">
        <f>IF(J$5="Inches",IF(COUNTIF(B38,"*Door*"),'Size Parameters'!B$4,'Size Parameters'!B$3),IF(COUNTIF(B38,"*Door*"),'Size Parameters'!G$4,'Size Parameters'!G$3))</f>
        <v>48</v>
      </c>
      <c r="O38" s="10">
        <f>IF(J$5="Inches",IF(B38="Slab Drawer Front",'Size Parameters'!E$5,'Size Parameters'!E$3),(IF(B38="Slab Drawer Front",'Size Parameters'!J$5,'Size Parameters'!J$3)))</f>
        <v>5.5</v>
      </c>
      <c r="P38" s="10">
        <f>IF(J$5="Inches",IF(COUNTIF(B38,"*Door*"),'Size Parameters'!D$4,IF(B38="Slab Drawer Front",'Size Parameters'!D$5,'Size Parameters'!D$3)),IF(COUNTIF(B38,"*Door*"),'Size Parameters'!I$4,IF(B38="Slab Drawer Front",'Size Parameters'!I$5,'Size Parameters'!J$3)))</f>
        <v>30</v>
      </c>
      <c r="U38" s="30">
        <f>IF(B38="Slab Drawer Front",0,C38)</f>
        <v>0</v>
      </c>
      <c r="V38" s="10">
        <f>IF(B38="Slab Drawer Front",0,(MROUND(IF(U38&gt;0,(IF($J$5="Inches",D38+#REF!,(D38+#REF!)/25.4)),0),1/16)))</f>
        <v>0</v>
      </c>
      <c r="W38" s="10">
        <f>IF(B38="Slab Drawer Front",0,(MROUND(IF(U38&gt;0,(IF($J$5="Inches",E38+#REF!,(E38+#REF!)/25.4)),0),1/16)))</f>
        <v>0</v>
      </c>
      <c r="X38" s="10">
        <f>IF(B38="Slab Drawer Front",0,(MROUND(IF(F38&lt;&gt;"",0,IF(U38&gt;0,IF($J$5="Inches",D38-AC38,(D38-AD38)/25.4),0)),1/16)))</f>
        <v>0</v>
      </c>
      <c r="Y38" s="10">
        <f>MROUND(IF(B38="Slab Drawer Front",0,IF(F38&lt;&gt;"",0,IF(U38&gt;0,IF($J$5="Inches",((E38-AC38)-(AL38*AA$5))/AM38,(((E38-AD38)-((AL38)*AA$6))/25.4)/AM38),0))),1/16)</f>
        <v>0</v>
      </c>
      <c r="Z38" s="10">
        <f>(IF(G38="",1,G38))*C38</f>
        <v>0</v>
      </c>
      <c r="AA38" s="48">
        <f t="shared" si="2"/>
        <v>0</v>
      </c>
      <c r="AB38" s="48" t="e">
        <f>MROUND(IF(J$5="Inches",D38-$AB$3,(D38/25.4)-$AB$3),1/16)</f>
        <v>#NUM!</v>
      </c>
      <c r="AC38" s="10">
        <f>IF(ISNA(VLOOKUP($J$4,Finishes!$C$3:$D$107,2,FALSE)),3.625,VLOOKUP($J$4,Finishes!$C$3:$D$107,2,FALSE))</f>
        <v>3.5625</v>
      </c>
      <c r="AD38" s="10">
        <f>IF(ISNA(VLOOKUP($J$4,Finishes!$C$3:$E$107,3,FALSE)),92.08,VLOOKUP($J$4,Finishes!$C$3:$E$107,3,FALSE))</f>
        <v>90.49</v>
      </c>
      <c r="AE38" s="10">
        <f>MROUND(IF(F38="",0,IF(U38&gt;0,IF($J$5="Inches",D38-AC38-AE$5,(D38-AD38-AF$5)/25.4),0)),1/16)</f>
        <v>0</v>
      </c>
      <c r="AF38" s="10">
        <f>MROUND(IF(B38="Slab Drawer Front",0,IF(F38&lt;&gt;"",IF(U38&gt;0,IF($J$5="Inches",(((E38-AC38)-((AM38-1)*AA$5))/AM38)-AE$5,(((E38-AD38-AF$5)-((AM38-1)*AA$6))/25.4)/AM38),0),0)),1/16)</f>
        <v>0</v>
      </c>
      <c r="AG38" s="31">
        <f>F38</f>
        <v>0</v>
      </c>
      <c r="AH38" s="42">
        <f>IFERROR((_xlfn.XLOOKUP(AG38,DATA!$J$3:$J$6,DATA!$K$3:$K$6)*J38*AH$5),0)</f>
        <v>0</v>
      </c>
      <c r="AI38" s="31">
        <f>IF(B38="Slab Drawer Front",C38,0)</f>
        <v>0</v>
      </c>
      <c r="AJ38" s="10">
        <f>IF(B38="Slab Drawer Front",(MROUND(IF(AI38&gt;0,IF($J$5="Inches",D38,D38/25.4),0),1/16)),0)</f>
        <v>0</v>
      </c>
      <c r="AK38" s="10">
        <f>IF(B38="Slab Drawer Front",(MROUND(IF(AI38&gt;0,IF($J$5="Inches",E38,E38/25.4),0),1/16)),0)</f>
        <v>0</v>
      </c>
      <c r="AL38" s="10">
        <f>IF(G38="",0,G38-1)</f>
        <v>0</v>
      </c>
      <c r="AM38" s="10">
        <f>IF(G38="",1,G38)</f>
        <v>1</v>
      </c>
      <c r="AN38" s="48">
        <f>AA38*DATA!N$8</f>
        <v>0</v>
      </c>
    </row>
    <row r="39" spans="1:40" x14ac:dyDescent="0.2">
      <c r="A39" s="1">
        <v>30</v>
      </c>
      <c r="B39" s="35"/>
      <c r="C39" s="36"/>
      <c r="D39" s="37"/>
      <c r="E39" s="37"/>
      <c r="F39" s="38"/>
      <c r="G39" s="38"/>
      <c r="H39" s="38"/>
      <c r="I39" s="38"/>
      <c r="J39" s="28" t="str">
        <f t="shared" si="0"/>
        <v/>
      </c>
      <c r="K39" s="29" t="str">
        <f>IF(J39="","",J39*(_xlfn.XLOOKUP(J$4,Finishes!C$3:C$50,Finishes!I$3:I$50))+(IF(OR(B39="Drawer Front",B39="Slab Drawer Front"),DATA!F$2,0)+AH39+AN39))</f>
        <v/>
      </c>
      <c r="L39" s="29" t="str">
        <f t="shared" si="3"/>
        <v/>
      </c>
      <c r="M39" s="10">
        <f>IF(J$5="Inches",IF(B39="Slab Drawer Front",'Size Parameters'!C$5,'Size Parameters'!C$4),(IF(B39="Slab Drawer Front",'Size Parameters'!H$5,'Size Parameters'!H$4)))</f>
        <v>5.5</v>
      </c>
      <c r="N39" s="10">
        <f>IF(J$5="Inches",IF(COUNTIF(B39,"*Door*"),'Size Parameters'!B$4,'Size Parameters'!B$3),IF(COUNTIF(B39,"*Door*"),'Size Parameters'!G$4,'Size Parameters'!G$3))</f>
        <v>48</v>
      </c>
      <c r="O39" s="10">
        <f>IF(J$5="Inches",IF(B39="Slab Drawer Front",'Size Parameters'!E$5,'Size Parameters'!E$3),(IF(B39="Slab Drawer Front",'Size Parameters'!J$5,'Size Parameters'!J$3)))</f>
        <v>5.5</v>
      </c>
      <c r="P39" s="10">
        <f>IF(J$5="Inches",IF(COUNTIF(B39,"*Door*"),'Size Parameters'!D$4,IF(B39="Slab Drawer Front",'Size Parameters'!D$5,'Size Parameters'!D$3)),IF(COUNTIF(B39,"*Door*"),'Size Parameters'!I$4,IF(B39="Slab Drawer Front",'Size Parameters'!I$5,'Size Parameters'!J$3)))</f>
        <v>30</v>
      </c>
      <c r="U39" s="30">
        <f>IF(B39="Slab Drawer Front",0,C39)</f>
        <v>0</v>
      </c>
      <c r="V39" s="10">
        <f>IF(B39="Slab Drawer Front",0,(MROUND(IF(U39&gt;0,(IF($J$5="Inches",D39+#REF!,(D39+#REF!)/25.4)),0),1/16)))</f>
        <v>0</v>
      </c>
      <c r="W39" s="10">
        <f>IF(B39="Slab Drawer Front",0,(MROUND(IF(U39&gt;0,(IF($J$5="Inches",E39+#REF!,(E39+#REF!)/25.4)),0),1/16)))</f>
        <v>0</v>
      </c>
      <c r="X39" s="10">
        <f>IF(B39="Slab Drawer Front",0,(MROUND(IF(F39&lt;&gt;"",0,IF(U39&gt;0,IF($J$5="Inches",D39-AC39,(D39-AD39)/25.4),0)),1/16)))</f>
        <v>0</v>
      </c>
      <c r="Y39" s="10">
        <f>MROUND(IF(B39="Slab Drawer Front",0,IF(F39&lt;&gt;"",0,IF(U39&gt;0,IF($J$5="Inches",((E39-AC39)-(AL39*AA$5))/AM39,(((E39-AD39)-((AL39)*AA$6))/25.4)/AM39),0))),1/16)</f>
        <v>0</v>
      </c>
      <c r="Z39" s="10">
        <f>(IF(G39="",1,G39))*C39</f>
        <v>0</v>
      </c>
      <c r="AA39" s="48">
        <f t="shared" si="2"/>
        <v>0</v>
      </c>
      <c r="AB39" s="48" t="e">
        <f>MROUND(IF(J$5="Inches",D39-$AB$3,(D39/25.4)-$AB$3),1/16)</f>
        <v>#NUM!</v>
      </c>
      <c r="AC39" s="10">
        <f>IF(ISNA(VLOOKUP($J$4,Finishes!$C$3:$D$107,2,FALSE)),3.625,VLOOKUP($J$4,Finishes!$C$3:$D$107,2,FALSE))</f>
        <v>3.5625</v>
      </c>
      <c r="AD39" s="10">
        <f>IF(ISNA(VLOOKUP($J$4,Finishes!$C$3:$E$107,3,FALSE)),92.08,VLOOKUP($J$4,Finishes!$C$3:$E$107,3,FALSE))</f>
        <v>90.49</v>
      </c>
      <c r="AE39" s="10">
        <f>MROUND(IF(F39="",0,IF(U39&gt;0,IF($J$5="Inches",D39-AC39-AE$5,(D39-AD39-AF$5)/25.4),0)),1/16)</f>
        <v>0</v>
      </c>
      <c r="AF39" s="10">
        <f>MROUND(IF(B39="Slab Drawer Front",0,IF(F39&lt;&gt;"",IF(U39&gt;0,IF($J$5="Inches",(((E39-AC39)-((AM39-1)*AA$5))/AM39)-AE$5,(((E39-AD39-AF$5)-((AM39-1)*AA$6))/25.4)/AM39),0),0)),1/16)</f>
        <v>0</v>
      </c>
      <c r="AG39" s="31">
        <f>F39</f>
        <v>0</v>
      </c>
      <c r="AH39" s="42">
        <f>IFERROR((_xlfn.XLOOKUP(AG39,DATA!$J$3:$J$6,DATA!$K$3:$K$6)*J39*AH$5),0)</f>
        <v>0</v>
      </c>
      <c r="AI39" s="31">
        <f>IF(B39="Slab Drawer Front",C39,0)</f>
        <v>0</v>
      </c>
      <c r="AJ39" s="10">
        <f>IF(B39="Slab Drawer Front",(MROUND(IF(AI39&gt;0,IF($J$5="Inches",D39,D39/25.4),0),1/16)),0)</f>
        <v>0</v>
      </c>
      <c r="AK39" s="10">
        <f>IF(B39="Slab Drawer Front",(MROUND(IF(AI39&gt;0,IF($J$5="Inches",E39,E39/25.4),0),1/16)),0)</f>
        <v>0</v>
      </c>
      <c r="AL39" s="10">
        <f>IF(G39="",0,G39-1)</f>
        <v>0</v>
      </c>
      <c r="AM39" s="10">
        <f>IF(G39="",1,G39)</f>
        <v>1</v>
      </c>
      <c r="AN39" s="48">
        <f>AA39*DATA!N$8</f>
        <v>0</v>
      </c>
    </row>
    <row r="40" spans="1:40" x14ac:dyDescent="0.2">
      <c r="A40" s="1">
        <v>31</v>
      </c>
      <c r="B40" s="35"/>
      <c r="C40" s="36"/>
      <c r="D40" s="37"/>
      <c r="E40" s="37"/>
      <c r="F40" s="38"/>
      <c r="G40" s="38"/>
      <c r="H40" s="38"/>
      <c r="I40" s="38"/>
      <c r="J40" s="28" t="str">
        <f t="shared" si="0"/>
        <v/>
      </c>
      <c r="K40" s="29" t="str">
        <f>IF(J40="","",J40*(_xlfn.XLOOKUP(J$4,Finishes!C$3:C$50,Finishes!I$3:I$50))+(IF(OR(B40="Drawer Front",B40="Slab Drawer Front"),DATA!F$2,0)+AH40+AN40))</f>
        <v/>
      </c>
      <c r="L40" s="29" t="str">
        <f t="shared" si="3"/>
        <v/>
      </c>
      <c r="M40" s="10">
        <f>IF(J$5="Inches",IF(B40="Slab Drawer Front",'Size Parameters'!C$5,'Size Parameters'!C$4),(IF(B40="Slab Drawer Front",'Size Parameters'!H$5,'Size Parameters'!H$4)))</f>
        <v>5.5</v>
      </c>
      <c r="N40" s="10">
        <f>IF(J$5="Inches",IF(COUNTIF(B40,"*Door*"),'Size Parameters'!B$4,'Size Parameters'!B$3),IF(COUNTIF(B40,"*Door*"),'Size Parameters'!G$4,'Size Parameters'!G$3))</f>
        <v>48</v>
      </c>
      <c r="O40" s="10">
        <f>IF(J$5="Inches",IF(B40="Slab Drawer Front",'Size Parameters'!E$5,'Size Parameters'!E$3),(IF(B40="Slab Drawer Front",'Size Parameters'!J$5,'Size Parameters'!J$3)))</f>
        <v>5.5</v>
      </c>
      <c r="P40" s="10">
        <f>IF(J$5="Inches",IF(COUNTIF(B40,"*Door*"),'Size Parameters'!D$4,IF(B40="Slab Drawer Front",'Size Parameters'!D$5,'Size Parameters'!D$3)),IF(COUNTIF(B40,"*Door*"),'Size Parameters'!I$4,IF(B40="Slab Drawer Front",'Size Parameters'!I$5,'Size Parameters'!J$3)))</f>
        <v>30</v>
      </c>
      <c r="U40" s="30">
        <f>IF(B40="Slab Drawer Front",0,C40)</f>
        <v>0</v>
      </c>
      <c r="V40" s="10">
        <f>IF(B40="Slab Drawer Front",0,(MROUND(IF(U40&gt;0,(IF($J$5="Inches",D40+#REF!,(D40+#REF!)/25.4)),0),1/16)))</f>
        <v>0</v>
      </c>
      <c r="W40" s="10">
        <f>IF(B40="Slab Drawer Front",0,(MROUND(IF(U40&gt;0,(IF($J$5="Inches",E40+#REF!,(E40+#REF!)/25.4)),0),1/16)))</f>
        <v>0</v>
      </c>
      <c r="X40" s="10">
        <f>IF(B40="Slab Drawer Front",0,(MROUND(IF(F40&lt;&gt;"",0,IF(U40&gt;0,IF($J$5="Inches",D40-AC40,(D40-AD40)/25.4),0)),1/16)))</f>
        <v>0</v>
      </c>
      <c r="Y40" s="10">
        <f>MROUND(IF(B40="Slab Drawer Front",0,IF(F40&lt;&gt;"",0,IF(U40&gt;0,IF($J$5="Inches",((E40-AC40)-(AL40*AA$5))/AM40,(((E40-AD40)-((AL40)*AA$6))/25.4)/AM40),0))),1/16)</f>
        <v>0</v>
      </c>
      <c r="Z40" s="10">
        <f>(IF(G40="",1,G40))*C40</f>
        <v>0</v>
      </c>
      <c r="AA40" s="48">
        <f t="shared" si="2"/>
        <v>0</v>
      </c>
      <c r="AB40" s="48" t="e">
        <f>MROUND(IF(J$5="Inches",D40-$AB$3,(D40/25.4)-$AB$3),1/16)</f>
        <v>#NUM!</v>
      </c>
      <c r="AC40" s="10">
        <f>IF(ISNA(VLOOKUP($J$4,Finishes!$C$3:$D$107,2,FALSE)),3.625,VLOOKUP($J$4,Finishes!$C$3:$D$107,2,FALSE))</f>
        <v>3.5625</v>
      </c>
      <c r="AD40" s="10">
        <f>IF(ISNA(VLOOKUP($J$4,Finishes!$C$3:$E$107,3,FALSE)),92.08,VLOOKUP($J$4,Finishes!$C$3:$E$107,3,FALSE))</f>
        <v>90.49</v>
      </c>
      <c r="AE40" s="10">
        <f>MROUND(IF(F40="",0,IF(U40&gt;0,IF($J$5="Inches",D40-AC40-AE$5,(D40-AD40-AF$5)/25.4),0)),1/16)</f>
        <v>0</v>
      </c>
      <c r="AF40" s="10">
        <f>MROUND(IF(B40="Slab Drawer Front",0,IF(F40&lt;&gt;"",IF(U40&gt;0,IF($J$5="Inches",(((E40-AC40)-((AM40-1)*AA$5))/AM40)-AE$5,(((E40-AD40-AF$5)-((AM40-1)*AA$6))/25.4)/AM40),0),0)),1/16)</f>
        <v>0</v>
      </c>
      <c r="AG40" s="31">
        <f>F40</f>
        <v>0</v>
      </c>
      <c r="AH40" s="42">
        <f>IFERROR((_xlfn.XLOOKUP(AG40,DATA!$J$3:$J$6,DATA!$K$3:$K$6)*J40*AH$5),0)</f>
        <v>0</v>
      </c>
      <c r="AI40" s="31">
        <f>IF(B40="Slab Drawer Front",C40,0)</f>
        <v>0</v>
      </c>
      <c r="AJ40" s="10">
        <f>IF(B40="Slab Drawer Front",(MROUND(IF(AI40&gt;0,IF($J$5="Inches",D40,D40/25.4),0),1/16)),0)</f>
        <v>0</v>
      </c>
      <c r="AK40" s="10">
        <f>IF(B40="Slab Drawer Front",(MROUND(IF(AI40&gt;0,IF($J$5="Inches",E40,E40/25.4),0),1/16)),0)</f>
        <v>0</v>
      </c>
      <c r="AL40" s="10">
        <f>IF(G40="",0,G40-1)</f>
        <v>0</v>
      </c>
      <c r="AM40" s="10">
        <f>IF(G40="",1,G40)</f>
        <v>1</v>
      </c>
      <c r="AN40" s="48">
        <f>AA40*DATA!N$8</f>
        <v>0</v>
      </c>
    </row>
    <row r="41" spans="1:40" x14ac:dyDescent="0.2">
      <c r="A41" s="1">
        <v>32</v>
      </c>
      <c r="B41" s="35"/>
      <c r="C41" s="36"/>
      <c r="D41" s="37"/>
      <c r="E41" s="37"/>
      <c r="F41" s="38"/>
      <c r="G41" s="38"/>
      <c r="H41" s="38"/>
      <c r="I41" s="38"/>
      <c r="J41" s="28" t="str">
        <f t="shared" si="0"/>
        <v/>
      </c>
      <c r="K41" s="29" t="str">
        <f>IF(J41="","",J41*(_xlfn.XLOOKUP(J$4,Finishes!C$3:C$50,Finishes!I$3:I$50))+(IF(OR(B41="Drawer Front",B41="Slab Drawer Front"),DATA!F$2,0)+AH41+AN41))</f>
        <v/>
      </c>
      <c r="L41" s="29" t="str">
        <f t="shared" si="3"/>
        <v/>
      </c>
      <c r="M41" s="10">
        <f>IF(J$5="Inches",IF(B41="Slab Drawer Front",'Size Parameters'!C$5,'Size Parameters'!C$4),(IF(B41="Slab Drawer Front",'Size Parameters'!H$5,'Size Parameters'!H$4)))</f>
        <v>5.5</v>
      </c>
      <c r="N41" s="10">
        <f>IF(J$5="Inches",IF(COUNTIF(B41,"*Door*"),'Size Parameters'!B$4,'Size Parameters'!B$3),IF(COUNTIF(B41,"*Door*"),'Size Parameters'!G$4,'Size Parameters'!G$3))</f>
        <v>48</v>
      </c>
      <c r="O41" s="10">
        <f>IF(J$5="Inches",IF(B41="Slab Drawer Front",'Size Parameters'!E$5,'Size Parameters'!E$3),(IF(B41="Slab Drawer Front",'Size Parameters'!J$5,'Size Parameters'!J$3)))</f>
        <v>5.5</v>
      </c>
      <c r="P41" s="10">
        <f>IF(J$5="Inches",IF(COUNTIF(B41,"*Door*"),'Size Parameters'!D$4,IF(B41="Slab Drawer Front",'Size Parameters'!D$5,'Size Parameters'!D$3)),IF(COUNTIF(B41,"*Door*"),'Size Parameters'!I$4,IF(B41="Slab Drawer Front",'Size Parameters'!I$5,'Size Parameters'!J$3)))</f>
        <v>30</v>
      </c>
      <c r="U41" s="30">
        <f>IF(B41="Slab Drawer Front",0,C41)</f>
        <v>0</v>
      </c>
      <c r="V41" s="10">
        <f>IF(B41="Slab Drawer Front",0,(MROUND(IF(U41&gt;0,(IF($J$5="Inches",D41+#REF!,(D41+#REF!)/25.4)),0),1/16)))</f>
        <v>0</v>
      </c>
      <c r="W41" s="10">
        <f>IF(B41="Slab Drawer Front",0,(MROUND(IF(U41&gt;0,(IF($J$5="Inches",E41+#REF!,(E41+#REF!)/25.4)),0),1/16)))</f>
        <v>0</v>
      </c>
      <c r="X41" s="10">
        <f>IF(B41="Slab Drawer Front",0,(MROUND(IF(F41&lt;&gt;"",0,IF(U41&gt;0,IF($J$5="Inches",D41-AC41,(D41-AD41)/25.4),0)),1/16)))</f>
        <v>0</v>
      </c>
      <c r="Y41" s="10">
        <f>MROUND(IF(B41="Slab Drawer Front",0,IF(F41&lt;&gt;"",0,IF(U41&gt;0,IF($J$5="Inches",((E41-AC41)-(AL41*AA$5))/AM41,(((E41-AD41)-((AL41)*AA$6))/25.4)/AM41),0))),1/16)</f>
        <v>0</v>
      </c>
      <c r="Z41" s="10">
        <f>(IF(G41="",1,G41))*C41</f>
        <v>0</v>
      </c>
      <c r="AA41" s="48">
        <f t="shared" si="2"/>
        <v>0</v>
      </c>
      <c r="AB41" s="48" t="e">
        <f>MROUND(IF(J$5="Inches",D41-$AB$3,(D41/25.4)-$AB$3),1/16)</f>
        <v>#NUM!</v>
      </c>
      <c r="AC41" s="10">
        <f>IF(ISNA(VLOOKUP($J$4,Finishes!$C$3:$D$107,2,FALSE)),3.625,VLOOKUP($J$4,Finishes!$C$3:$D$107,2,FALSE))</f>
        <v>3.5625</v>
      </c>
      <c r="AD41" s="10">
        <f>IF(ISNA(VLOOKUP($J$4,Finishes!$C$3:$E$107,3,FALSE)),92.08,VLOOKUP($J$4,Finishes!$C$3:$E$107,3,FALSE))</f>
        <v>90.49</v>
      </c>
      <c r="AE41" s="10">
        <f>MROUND(IF(F41="",0,IF(U41&gt;0,IF($J$5="Inches",D41-AC41-AE$5,(D41-AD41-AF$5)/25.4),0)),1/16)</f>
        <v>0</v>
      </c>
      <c r="AF41" s="10">
        <f>MROUND(IF(B41="Slab Drawer Front",0,IF(F41&lt;&gt;"",IF(U41&gt;0,IF($J$5="Inches",(((E41-AC41)-((AM41-1)*AA$5))/AM41)-AE$5,(((E41-AD41-AF$5)-((AM41-1)*AA$6))/25.4)/AM41),0),0)),1/16)</f>
        <v>0</v>
      </c>
      <c r="AG41" s="31">
        <f>F41</f>
        <v>0</v>
      </c>
      <c r="AH41" s="42">
        <f>IFERROR((_xlfn.XLOOKUP(AG41,DATA!$J$3:$J$6,DATA!$K$3:$K$6)*J41*AH$5),0)</f>
        <v>0</v>
      </c>
      <c r="AI41" s="31">
        <f>IF(B41="Slab Drawer Front",C41,0)</f>
        <v>0</v>
      </c>
      <c r="AJ41" s="10">
        <f>IF(B41="Slab Drawer Front",(MROUND(IF(AI41&gt;0,IF($J$5="Inches",D41,D41/25.4),0),1/16)),0)</f>
        <v>0</v>
      </c>
      <c r="AK41" s="10">
        <f>IF(B41="Slab Drawer Front",(MROUND(IF(AI41&gt;0,IF($J$5="Inches",E41,E41/25.4),0),1/16)),0)</f>
        <v>0</v>
      </c>
      <c r="AL41" s="10">
        <f>IF(G41="",0,G41-1)</f>
        <v>0</v>
      </c>
      <c r="AM41" s="10">
        <f>IF(G41="",1,G41)</f>
        <v>1</v>
      </c>
      <c r="AN41" s="48">
        <f>AA41*DATA!N$8</f>
        <v>0</v>
      </c>
    </row>
    <row r="42" spans="1:40" x14ac:dyDescent="0.2">
      <c r="A42" s="1">
        <v>33</v>
      </c>
      <c r="B42" s="35"/>
      <c r="C42" s="36"/>
      <c r="D42" s="37"/>
      <c r="E42" s="37"/>
      <c r="F42" s="38"/>
      <c r="G42" s="38"/>
      <c r="H42" s="38"/>
      <c r="I42" s="38"/>
      <c r="J42" s="28" t="str">
        <f t="shared" ref="J42:J56" si="4">(IF(AND(D42&lt;&gt;"",E42&lt;&gt;""),ROUNDUP(D42*E42*(IF(J$5="Inches",0.00694444,0.000010763910417)),2),""))</f>
        <v/>
      </c>
      <c r="K42" s="29" t="str">
        <f>IF(J42="","",J42*(_xlfn.XLOOKUP(J$4,Finishes!C$3:C$50,Finishes!I$3:I$50))+(IF(OR(B42="Drawer Front",B42="Slab Drawer Front"),DATA!F$2,0)+AH42+AN42))</f>
        <v/>
      </c>
      <c r="L42" s="29" t="str">
        <f t="shared" si="3"/>
        <v/>
      </c>
      <c r="M42" s="10">
        <f>IF(J$5="Inches",IF(B42="Slab Drawer Front",'Size Parameters'!C$5,'Size Parameters'!C$4),(IF(B42="Slab Drawer Front",'Size Parameters'!H$5,'Size Parameters'!H$4)))</f>
        <v>5.5</v>
      </c>
      <c r="N42" s="10">
        <f>IF(J$5="Inches",IF(COUNTIF(B42,"*Door*"),'Size Parameters'!B$4,'Size Parameters'!B$3),IF(COUNTIF(B42,"*Door*"),'Size Parameters'!G$4,'Size Parameters'!G$3))</f>
        <v>48</v>
      </c>
      <c r="O42" s="10">
        <f>IF(J$5="Inches",IF(B42="Slab Drawer Front",'Size Parameters'!E$5,'Size Parameters'!E$3),(IF(B42="Slab Drawer Front",'Size Parameters'!J$5,'Size Parameters'!J$3)))</f>
        <v>5.5</v>
      </c>
      <c r="P42" s="10">
        <f>IF(J$5="Inches",IF(COUNTIF(B42,"*Door*"),'Size Parameters'!D$4,IF(B42="Slab Drawer Front",'Size Parameters'!D$5,'Size Parameters'!D$3)),IF(COUNTIF(B42,"*Door*"),'Size Parameters'!I$4,IF(B42="Slab Drawer Front",'Size Parameters'!I$5,'Size Parameters'!J$3)))</f>
        <v>30</v>
      </c>
      <c r="U42" s="30">
        <f>IF(B42="Slab Drawer Front",0,C42)</f>
        <v>0</v>
      </c>
      <c r="V42" s="10">
        <f>IF(B42="Slab Drawer Front",0,(MROUND(IF(U42&gt;0,(IF($J$5="Inches",D42+#REF!,(D42+#REF!)/25.4)),0),1/16)))</f>
        <v>0</v>
      </c>
      <c r="W42" s="10">
        <f>IF(B42="Slab Drawer Front",0,(MROUND(IF(U42&gt;0,(IF($J$5="Inches",E42+#REF!,(E42+#REF!)/25.4)),0),1/16)))</f>
        <v>0</v>
      </c>
      <c r="X42" s="10">
        <f>IF(B42="Slab Drawer Front",0,(MROUND(IF(F42&lt;&gt;"",0,IF(U42&gt;0,IF($J$5="Inches",D42-AC42,(D42-AD42)/25.4),0)),1/16)))</f>
        <v>0</v>
      </c>
      <c r="Y42" s="10">
        <f>MROUND(IF(B42="Slab Drawer Front",0,IF(F42&lt;&gt;"",0,IF(U42&gt;0,IF($J$5="Inches",((E42-AC42)-(AL42*AA$5))/AM42,(((E42-AD42)-((AL42)*AA$6))/25.4)/AM42),0))),1/16)</f>
        <v>0</v>
      </c>
      <c r="Z42" s="10">
        <f>(IF(G42="",1,G42))*C42</f>
        <v>0</v>
      </c>
      <c r="AA42" s="48">
        <f t="shared" si="2"/>
        <v>0</v>
      </c>
      <c r="AB42" s="48" t="e">
        <f>MROUND(IF(J$5="Inches",D42-$AB$3,(D42/25.4)-$AB$3),1/16)</f>
        <v>#NUM!</v>
      </c>
      <c r="AC42" s="10">
        <f>IF(ISNA(VLOOKUP($J$4,Finishes!$C$3:$D$107,2,FALSE)),3.625,VLOOKUP($J$4,Finishes!$C$3:$D$107,2,FALSE))</f>
        <v>3.5625</v>
      </c>
      <c r="AD42" s="10">
        <f>IF(ISNA(VLOOKUP($J$4,Finishes!$C$3:$E$107,3,FALSE)),92.08,VLOOKUP($J$4,Finishes!$C$3:$E$107,3,FALSE))</f>
        <v>90.49</v>
      </c>
      <c r="AE42" s="10">
        <f>MROUND(IF(F42="",0,IF(U42&gt;0,IF($J$5="Inches",D42-AC42-AE$5,(D42-AD42-AF$5)/25.4),0)),1/16)</f>
        <v>0</v>
      </c>
      <c r="AF42" s="10">
        <f>MROUND(IF(B42="Slab Drawer Front",0,IF(F42&lt;&gt;"",IF(U42&gt;0,IF($J$5="Inches",(((E42-AC42)-((AM42-1)*AA$5))/AM42)-AE$5,(((E42-AD42-AF$5)-((AM42-1)*AA$6))/25.4)/AM42),0),0)),1/16)</f>
        <v>0</v>
      </c>
      <c r="AG42" s="31">
        <f>F42</f>
        <v>0</v>
      </c>
      <c r="AH42" s="42">
        <f>IFERROR((_xlfn.XLOOKUP(AG42,DATA!$J$3:$J$6,DATA!$K$3:$K$6)*J42*AH$5),0)</f>
        <v>0</v>
      </c>
      <c r="AI42" s="31">
        <f>IF(B42="Slab Drawer Front",C42,0)</f>
        <v>0</v>
      </c>
      <c r="AJ42" s="10">
        <f>IF(B42="Slab Drawer Front",(MROUND(IF(AI42&gt;0,IF($J$5="Inches",D42,D42/25.4),0),1/16)),0)</f>
        <v>0</v>
      </c>
      <c r="AK42" s="10">
        <f>IF(B42="Slab Drawer Front",(MROUND(IF(AI42&gt;0,IF($J$5="Inches",E42,E42/25.4),0),1/16)),0)</f>
        <v>0</v>
      </c>
      <c r="AL42" s="10">
        <f>IF(G42="",0,G42-1)</f>
        <v>0</v>
      </c>
      <c r="AM42" s="10">
        <f>IF(G42="",1,G42)</f>
        <v>1</v>
      </c>
      <c r="AN42" s="48">
        <f>AA42*DATA!N$8</f>
        <v>0</v>
      </c>
    </row>
    <row r="43" spans="1:40" x14ac:dyDescent="0.2">
      <c r="A43" s="1">
        <v>34</v>
      </c>
      <c r="B43" s="35"/>
      <c r="C43" s="36"/>
      <c r="D43" s="37"/>
      <c r="E43" s="37"/>
      <c r="F43" s="38"/>
      <c r="G43" s="38"/>
      <c r="H43" s="38"/>
      <c r="I43" s="38"/>
      <c r="J43" s="28" t="str">
        <f t="shared" si="4"/>
        <v/>
      </c>
      <c r="K43" s="29" t="str">
        <f>IF(J43="","",J43*(_xlfn.XLOOKUP(J$4,Finishes!C$3:C$50,Finishes!I$3:I$50))+(IF(OR(B43="Drawer Front",B43="Slab Drawer Front"),DATA!F$2,0)+AH43+AN43))</f>
        <v/>
      </c>
      <c r="L43" s="29" t="str">
        <f t="shared" si="3"/>
        <v/>
      </c>
      <c r="M43" s="10">
        <f>IF(J$5="Inches",IF(B43="Slab Drawer Front",'Size Parameters'!C$5,'Size Parameters'!C$4),(IF(B43="Slab Drawer Front",'Size Parameters'!H$5,'Size Parameters'!H$4)))</f>
        <v>5.5</v>
      </c>
      <c r="N43" s="10">
        <f>IF(J$5="Inches",IF(COUNTIF(B43,"*Door*"),'Size Parameters'!B$4,'Size Parameters'!B$3),IF(COUNTIF(B43,"*Door*"),'Size Parameters'!G$4,'Size Parameters'!G$3))</f>
        <v>48</v>
      </c>
      <c r="O43" s="10">
        <f>IF(J$5="Inches",IF(B43="Slab Drawer Front",'Size Parameters'!E$5,'Size Parameters'!E$3),(IF(B43="Slab Drawer Front",'Size Parameters'!J$5,'Size Parameters'!J$3)))</f>
        <v>5.5</v>
      </c>
      <c r="P43" s="10">
        <f>IF(J$5="Inches",IF(COUNTIF(B43,"*Door*"),'Size Parameters'!D$4,IF(B43="Slab Drawer Front",'Size Parameters'!D$5,'Size Parameters'!D$3)),IF(COUNTIF(B43,"*Door*"),'Size Parameters'!I$4,IF(B43="Slab Drawer Front",'Size Parameters'!I$5,'Size Parameters'!J$3)))</f>
        <v>30</v>
      </c>
      <c r="U43" s="30">
        <f>IF(B43="Slab Drawer Front",0,C43)</f>
        <v>0</v>
      </c>
      <c r="V43" s="10">
        <f>IF(B43="Slab Drawer Front",0,(MROUND(IF(U43&gt;0,(IF($J$5="Inches",D43+#REF!,(D43+#REF!)/25.4)),0),1/16)))</f>
        <v>0</v>
      </c>
      <c r="W43" s="10">
        <f>IF(B43="Slab Drawer Front",0,(MROUND(IF(U43&gt;0,(IF($J$5="Inches",E43+#REF!,(E43+#REF!)/25.4)),0),1/16)))</f>
        <v>0</v>
      </c>
      <c r="X43" s="10">
        <f>IF(B43="Slab Drawer Front",0,(MROUND(IF(F43&lt;&gt;"",0,IF(U43&gt;0,IF($J$5="Inches",D43-AC43,(D43-AD43)/25.4),0)),1/16)))</f>
        <v>0</v>
      </c>
      <c r="Y43" s="10">
        <f>MROUND(IF(B43="Slab Drawer Front",0,IF(F43&lt;&gt;"",0,IF(U43&gt;0,IF($J$5="Inches",((E43-AC43)-(AL43*AA$5))/AM43,(((E43-AD43)-((AL43)*AA$6))/25.4)/AM43),0))),1/16)</f>
        <v>0</v>
      </c>
      <c r="Z43" s="10">
        <f>(IF(G43="",1,G43))*C43</f>
        <v>0</v>
      </c>
      <c r="AA43" s="48">
        <f t="shared" si="2"/>
        <v>0</v>
      </c>
      <c r="AB43" s="48" t="e">
        <f>MROUND(IF(J$5="Inches",D43-$AB$3,(D43/25.4)-$AB$3),1/16)</f>
        <v>#NUM!</v>
      </c>
      <c r="AC43" s="10">
        <f>IF(ISNA(VLOOKUP($J$4,Finishes!$C$3:$D$107,2,FALSE)),3.625,VLOOKUP($J$4,Finishes!$C$3:$D$107,2,FALSE))</f>
        <v>3.5625</v>
      </c>
      <c r="AD43" s="10">
        <f>IF(ISNA(VLOOKUP($J$4,Finishes!$C$3:$E$107,3,FALSE)),92.08,VLOOKUP($J$4,Finishes!$C$3:$E$107,3,FALSE))</f>
        <v>90.49</v>
      </c>
      <c r="AE43" s="10">
        <f>MROUND(IF(F43="",0,IF(U43&gt;0,IF($J$5="Inches",D43-AC43-AE$5,(D43-AD43-AF$5)/25.4),0)),1/16)</f>
        <v>0</v>
      </c>
      <c r="AF43" s="10">
        <f>MROUND(IF(B43="Slab Drawer Front",0,IF(F43&lt;&gt;"",IF(U43&gt;0,IF($J$5="Inches",(((E43-AC43)-((AM43-1)*AA$5))/AM43)-AE$5,(((E43-AD43-AF$5)-((AM43-1)*AA$6))/25.4)/AM43),0),0)),1/16)</f>
        <v>0</v>
      </c>
      <c r="AG43" s="31">
        <f>F43</f>
        <v>0</v>
      </c>
      <c r="AH43" s="42">
        <f>IFERROR((_xlfn.XLOOKUP(AG43,DATA!$J$3:$J$6,DATA!$K$3:$K$6)*J43*AH$5),0)</f>
        <v>0</v>
      </c>
      <c r="AI43" s="31">
        <f>IF(B43="Slab Drawer Front",C43,0)</f>
        <v>0</v>
      </c>
      <c r="AJ43" s="10">
        <f>IF(B43="Slab Drawer Front",(MROUND(IF(AI43&gt;0,IF($J$5="Inches",D43,D43/25.4),0),1/16)),0)</f>
        <v>0</v>
      </c>
      <c r="AK43" s="10">
        <f>IF(B43="Slab Drawer Front",(MROUND(IF(AI43&gt;0,IF($J$5="Inches",E43,E43/25.4),0),1/16)),0)</f>
        <v>0</v>
      </c>
      <c r="AL43" s="10">
        <f>IF(G43="",0,G43-1)</f>
        <v>0</v>
      </c>
      <c r="AM43" s="10">
        <f>IF(G43="",1,G43)</f>
        <v>1</v>
      </c>
      <c r="AN43" s="48">
        <f>AA43*DATA!N$8</f>
        <v>0</v>
      </c>
    </row>
    <row r="44" spans="1:40" x14ac:dyDescent="0.2">
      <c r="A44" s="1">
        <v>35</v>
      </c>
      <c r="B44" s="35"/>
      <c r="C44" s="36"/>
      <c r="D44" s="37"/>
      <c r="E44" s="37"/>
      <c r="F44" s="38"/>
      <c r="G44" s="38"/>
      <c r="H44" s="38"/>
      <c r="I44" s="38"/>
      <c r="J44" s="28" t="str">
        <f t="shared" si="4"/>
        <v/>
      </c>
      <c r="K44" s="29" t="str">
        <f>IF(J44="","",J44*(_xlfn.XLOOKUP(J$4,Finishes!C$3:C$50,Finishes!I$3:I$50))+(IF(OR(B44="Drawer Front",B44="Slab Drawer Front"),DATA!F$2,0)+AH44+AN44))</f>
        <v/>
      </c>
      <c r="L44" s="29" t="str">
        <f t="shared" si="3"/>
        <v/>
      </c>
      <c r="M44" s="10">
        <f>IF(J$5="Inches",IF(B44="Slab Drawer Front",'Size Parameters'!C$5,'Size Parameters'!C$4),(IF(B44="Slab Drawer Front",'Size Parameters'!H$5,'Size Parameters'!H$4)))</f>
        <v>5.5</v>
      </c>
      <c r="N44" s="10">
        <f>IF(J$5="Inches",IF(COUNTIF(B44,"*Door*"),'Size Parameters'!B$4,'Size Parameters'!B$3),IF(COUNTIF(B44,"*Door*"),'Size Parameters'!G$4,'Size Parameters'!G$3))</f>
        <v>48</v>
      </c>
      <c r="O44" s="10">
        <f>IF(J$5="Inches",IF(B44="Slab Drawer Front",'Size Parameters'!E$5,'Size Parameters'!E$3),(IF(B44="Slab Drawer Front",'Size Parameters'!J$5,'Size Parameters'!J$3)))</f>
        <v>5.5</v>
      </c>
      <c r="P44" s="10">
        <f>IF(J$5="Inches",IF(COUNTIF(B44,"*Door*"),'Size Parameters'!D$4,IF(B44="Slab Drawer Front",'Size Parameters'!D$5,'Size Parameters'!D$3)),IF(COUNTIF(B44,"*Door*"),'Size Parameters'!I$4,IF(B44="Slab Drawer Front",'Size Parameters'!I$5,'Size Parameters'!J$3)))</f>
        <v>30</v>
      </c>
      <c r="U44" s="30">
        <f>IF(B44="Slab Drawer Front",0,C44)</f>
        <v>0</v>
      </c>
      <c r="V44" s="10">
        <f>IF(B44="Slab Drawer Front",0,(MROUND(IF(U44&gt;0,(IF($J$5="Inches",D44+#REF!,(D44+#REF!)/25.4)),0),1/16)))</f>
        <v>0</v>
      </c>
      <c r="W44" s="10">
        <f>IF(B44="Slab Drawer Front",0,(MROUND(IF(U44&gt;0,(IF($J$5="Inches",E44+#REF!,(E44+#REF!)/25.4)),0),1/16)))</f>
        <v>0</v>
      </c>
      <c r="X44" s="10">
        <f>IF(B44="Slab Drawer Front",0,(MROUND(IF(F44&lt;&gt;"",0,IF(U44&gt;0,IF($J$5="Inches",D44-AC44,(D44-AD44)/25.4),0)),1/16)))</f>
        <v>0</v>
      </c>
      <c r="Y44" s="10">
        <f>MROUND(IF(B44="Slab Drawer Front",0,IF(F44&lt;&gt;"",0,IF(U44&gt;0,IF($J$5="Inches",((E44-AC44)-(AL44*AA$5))/AM44,(((E44-AD44)-((AL44)*AA$6))/25.4)/AM44),0))),1/16)</f>
        <v>0</v>
      </c>
      <c r="Z44" s="10">
        <f>(IF(G44="",1,G44))*C44</f>
        <v>0</v>
      </c>
      <c r="AA44" s="48">
        <f t="shared" si="2"/>
        <v>0</v>
      </c>
      <c r="AB44" s="48" t="e">
        <f>MROUND(IF(J$5="Inches",D44-$AB$3,(D44/25.4)-$AB$3),1/16)</f>
        <v>#NUM!</v>
      </c>
      <c r="AC44" s="10">
        <f>IF(ISNA(VLOOKUP($J$4,Finishes!$C$3:$D$107,2,FALSE)),3.625,VLOOKUP($J$4,Finishes!$C$3:$D$107,2,FALSE))</f>
        <v>3.5625</v>
      </c>
      <c r="AD44" s="10">
        <f>IF(ISNA(VLOOKUP($J$4,Finishes!$C$3:$E$107,3,FALSE)),92.08,VLOOKUP($J$4,Finishes!$C$3:$E$107,3,FALSE))</f>
        <v>90.49</v>
      </c>
      <c r="AE44" s="10">
        <f>MROUND(IF(F44="",0,IF(U44&gt;0,IF($J$5="Inches",D44-AC44-AE$5,(D44-AD44-AF$5)/25.4),0)),1/16)</f>
        <v>0</v>
      </c>
      <c r="AF44" s="10">
        <f>MROUND(IF(B44="Slab Drawer Front",0,IF(F44&lt;&gt;"",IF(U44&gt;0,IF($J$5="Inches",(((E44-AC44)-((AM44-1)*AA$5))/AM44)-AE$5,(((E44-AD44-AF$5)-((AM44-1)*AA$6))/25.4)/AM44),0),0)),1/16)</f>
        <v>0</v>
      </c>
      <c r="AG44" s="31">
        <f>F44</f>
        <v>0</v>
      </c>
      <c r="AH44" s="42">
        <f>IFERROR((_xlfn.XLOOKUP(AG44,DATA!$J$3:$J$6,DATA!$K$3:$K$6)*J44*AH$5),0)</f>
        <v>0</v>
      </c>
      <c r="AI44" s="31">
        <f>IF(B44="Slab Drawer Front",C44,0)</f>
        <v>0</v>
      </c>
      <c r="AJ44" s="10">
        <f>IF(B44="Slab Drawer Front",(MROUND(IF(AI44&gt;0,IF($J$5="Inches",D44,D44/25.4),0),1/16)),0)</f>
        <v>0</v>
      </c>
      <c r="AK44" s="10">
        <f>IF(B44="Slab Drawer Front",(MROUND(IF(AI44&gt;0,IF($J$5="Inches",E44,E44/25.4),0),1/16)),0)</f>
        <v>0</v>
      </c>
      <c r="AL44" s="10">
        <f>IF(G44="",0,G44-1)</f>
        <v>0</v>
      </c>
      <c r="AM44" s="10">
        <f>IF(G44="",1,G44)</f>
        <v>1</v>
      </c>
      <c r="AN44" s="48">
        <f>AA44*DATA!N$8</f>
        <v>0</v>
      </c>
    </row>
    <row r="45" spans="1:40" x14ac:dyDescent="0.2">
      <c r="A45" s="1">
        <v>36</v>
      </c>
      <c r="B45" s="35"/>
      <c r="C45" s="36"/>
      <c r="D45" s="37"/>
      <c r="E45" s="37"/>
      <c r="F45" s="38"/>
      <c r="G45" s="38"/>
      <c r="H45" s="38"/>
      <c r="I45" s="38"/>
      <c r="J45" s="28" t="str">
        <f t="shared" si="4"/>
        <v/>
      </c>
      <c r="K45" s="29" t="str">
        <f>IF(J45="","",J45*(_xlfn.XLOOKUP(J$4,Finishes!C$3:C$50,Finishes!I$3:I$50))+(IF(OR(B45="Drawer Front",B45="Slab Drawer Front"),DATA!F$2,0)+AH45+AN45))</f>
        <v/>
      </c>
      <c r="L45" s="29" t="str">
        <f t="shared" si="3"/>
        <v/>
      </c>
      <c r="M45" s="10">
        <f>IF(J$5="Inches",IF(B45="Slab Drawer Front",'Size Parameters'!C$5,'Size Parameters'!C$4),(IF(B45="Slab Drawer Front",'Size Parameters'!H$5,'Size Parameters'!H$4)))</f>
        <v>5.5</v>
      </c>
      <c r="N45" s="10">
        <f>IF(J$5="Inches",IF(COUNTIF(B45,"*Door*"),'Size Parameters'!B$4,'Size Parameters'!B$3),IF(COUNTIF(B45,"*Door*"),'Size Parameters'!G$4,'Size Parameters'!G$3))</f>
        <v>48</v>
      </c>
      <c r="O45" s="10">
        <f>IF(J$5="Inches",IF(B45="Slab Drawer Front",'Size Parameters'!E$5,'Size Parameters'!E$3),(IF(B45="Slab Drawer Front",'Size Parameters'!J$5,'Size Parameters'!J$3)))</f>
        <v>5.5</v>
      </c>
      <c r="P45" s="10">
        <f>IF(J$5="Inches",IF(COUNTIF(B45,"*Door*"),'Size Parameters'!D$4,IF(B45="Slab Drawer Front",'Size Parameters'!D$5,'Size Parameters'!D$3)),IF(COUNTIF(B45,"*Door*"),'Size Parameters'!I$4,IF(B45="Slab Drawer Front",'Size Parameters'!I$5,'Size Parameters'!J$3)))</f>
        <v>30</v>
      </c>
      <c r="U45" s="30">
        <f>IF(B45="Slab Drawer Front",0,C45)</f>
        <v>0</v>
      </c>
      <c r="V45" s="10">
        <f>IF(B45="Slab Drawer Front",0,(MROUND(IF(U45&gt;0,(IF($J$5="Inches",D45+#REF!,(D45+#REF!)/25.4)),0),1/16)))</f>
        <v>0</v>
      </c>
      <c r="W45" s="10">
        <f>IF(B45="Slab Drawer Front",0,(MROUND(IF(U45&gt;0,(IF($J$5="Inches",E45+#REF!,(E45+#REF!)/25.4)),0),1/16)))</f>
        <v>0</v>
      </c>
      <c r="X45" s="10">
        <f>IF(B45="Slab Drawer Front",0,(MROUND(IF(F45&lt;&gt;"",0,IF(U45&gt;0,IF($J$5="Inches",D45-AC45,(D45-AD45)/25.4),0)),1/16)))</f>
        <v>0</v>
      </c>
      <c r="Y45" s="10">
        <f>MROUND(IF(B45="Slab Drawer Front",0,IF(F45&lt;&gt;"",0,IF(U45&gt;0,IF($J$5="Inches",((E45-AC45)-(AL45*AA$5))/AM45,(((E45-AD45)-((AL45)*AA$6))/25.4)/AM45),0))),1/16)</f>
        <v>0</v>
      </c>
      <c r="Z45" s="10">
        <f>(IF(G45="",1,G45))*C45</f>
        <v>0</v>
      </c>
      <c r="AA45" s="48">
        <f t="shared" si="2"/>
        <v>0</v>
      </c>
      <c r="AB45" s="48" t="e">
        <f>MROUND(IF(J$5="Inches",D45-$AB$3,(D45/25.4)-$AB$3),1/16)</f>
        <v>#NUM!</v>
      </c>
      <c r="AC45" s="10">
        <f>IF(ISNA(VLOOKUP($J$4,Finishes!$C$3:$D$107,2,FALSE)),3.625,VLOOKUP($J$4,Finishes!$C$3:$D$107,2,FALSE))</f>
        <v>3.5625</v>
      </c>
      <c r="AD45" s="10">
        <f>IF(ISNA(VLOOKUP($J$4,Finishes!$C$3:$E$107,3,FALSE)),92.08,VLOOKUP($J$4,Finishes!$C$3:$E$107,3,FALSE))</f>
        <v>90.49</v>
      </c>
      <c r="AE45" s="10">
        <f>MROUND(IF(F45="",0,IF(U45&gt;0,IF($J$5="Inches",D45-AC45-AE$5,(D45-AD45-AF$5)/25.4),0)),1/16)</f>
        <v>0</v>
      </c>
      <c r="AF45" s="10">
        <f>MROUND(IF(B45="Slab Drawer Front",0,IF(F45&lt;&gt;"",IF(U45&gt;0,IF($J$5="Inches",(((E45-AC45)-((AM45-1)*AA$5))/AM45)-AE$5,(((E45-AD45-AF$5)-((AM45-1)*AA$6))/25.4)/AM45),0),0)),1/16)</f>
        <v>0</v>
      </c>
      <c r="AG45" s="31">
        <f>F45</f>
        <v>0</v>
      </c>
      <c r="AH45" s="42">
        <f>IFERROR((_xlfn.XLOOKUP(AG45,DATA!$J$3:$J$6,DATA!$K$3:$K$6)*J45*AH$5),0)</f>
        <v>0</v>
      </c>
      <c r="AI45" s="31">
        <f>IF(B45="Slab Drawer Front",C45,0)</f>
        <v>0</v>
      </c>
      <c r="AJ45" s="10">
        <f>IF(B45="Slab Drawer Front",(MROUND(IF(AI45&gt;0,IF($J$5="Inches",D45,D45/25.4),0),1/16)),0)</f>
        <v>0</v>
      </c>
      <c r="AK45" s="10">
        <f>IF(B45="Slab Drawer Front",(MROUND(IF(AI45&gt;0,IF($J$5="Inches",E45,E45/25.4),0),1/16)),0)</f>
        <v>0</v>
      </c>
      <c r="AL45" s="10">
        <f>IF(G45="",0,G45-1)</f>
        <v>0</v>
      </c>
      <c r="AM45" s="10">
        <f>IF(G45="",1,G45)</f>
        <v>1</v>
      </c>
      <c r="AN45" s="48">
        <f>AA45*DATA!N$8</f>
        <v>0</v>
      </c>
    </row>
    <row r="46" spans="1:40" x14ac:dyDescent="0.2">
      <c r="A46" s="1">
        <v>37</v>
      </c>
      <c r="B46" s="35"/>
      <c r="C46" s="36"/>
      <c r="D46" s="37"/>
      <c r="E46" s="37"/>
      <c r="F46" s="38"/>
      <c r="G46" s="38"/>
      <c r="H46" s="38"/>
      <c r="I46" s="38"/>
      <c r="J46" s="28" t="str">
        <f t="shared" si="4"/>
        <v/>
      </c>
      <c r="K46" s="29" t="str">
        <f>IF(J46="","",J46*(_xlfn.XLOOKUP(J$4,Finishes!C$3:C$50,Finishes!I$3:I$50))+(IF(OR(B46="Drawer Front",B46="Slab Drawer Front"),DATA!F$2,0)+AH46+AN46))</f>
        <v/>
      </c>
      <c r="L46" s="29" t="str">
        <f t="shared" si="3"/>
        <v/>
      </c>
      <c r="M46" s="10">
        <f>IF(J$5="Inches",IF(B46="Slab Drawer Front",'Size Parameters'!C$5,'Size Parameters'!C$4),(IF(B46="Slab Drawer Front",'Size Parameters'!H$5,'Size Parameters'!H$4)))</f>
        <v>5.5</v>
      </c>
      <c r="N46" s="10">
        <f>IF(J$5="Inches",IF(COUNTIF(B46,"*Door*"),'Size Parameters'!B$4,'Size Parameters'!B$3),IF(COUNTIF(B46,"*Door*"),'Size Parameters'!G$4,'Size Parameters'!G$3))</f>
        <v>48</v>
      </c>
      <c r="O46" s="10">
        <f>IF(J$5="Inches",IF(B46="Slab Drawer Front",'Size Parameters'!E$5,'Size Parameters'!E$3),(IF(B46="Slab Drawer Front",'Size Parameters'!J$5,'Size Parameters'!J$3)))</f>
        <v>5.5</v>
      </c>
      <c r="P46" s="10">
        <f>IF(J$5="Inches",IF(COUNTIF(B46,"*Door*"),'Size Parameters'!D$4,IF(B46="Slab Drawer Front",'Size Parameters'!D$5,'Size Parameters'!D$3)),IF(COUNTIF(B46,"*Door*"),'Size Parameters'!I$4,IF(B46="Slab Drawer Front",'Size Parameters'!I$5,'Size Parameters'!J$3)))</f>
        <v>30</v>
      </c>
      <c r="U46" s="30">
        <f>IF(B46="Slab Drawer Front",0,C46)</f>
        <v>0</v>
      </c>
      <c r="V46" s="10">
        <f>IF(B46="Slab Drawer Front",0,(MROUND(IF(U46&gt;0,(IF($J$5="Inches",D46+#REF!,(D46+#REF!)/25.4)),0),1/16)))</f>
        <v>0</v>
      </c>
      <c r="W46" s="10">
        <f>IF(B46="Slab Drawer Front",0,(MROUND(IF(U46&gt;0,(IF($J$5="Inches",E46+#REF!,(E46+#REF!)/25.4)),0),1/16)))</f>
        <v>0</v>
      </c>
      <c r="X46" s="10">
        <f>IF(B46="Slab Drawer Front",0,(MROUND(IF(F46&lt;&gt;"",0,IF(U46&gt;0,IF($J$5="Inches",D46-AC46,(D46-AD46)/25.4),0)),1/16)))</f>
        <v>0</v>
      </c>
      <c r="Y46" s="10">
        <f>MROUND(IF(B46="Slab Drawer Front",0,IF(F46&lt;&gt;"",0,IF(U46&gt;0,IF($J$5="Inches",((E46-AC46)-(AL46*AA$5))/AM46,(((E46-AD46)-((AL46)*AA$6))/25.4)/AM46),0))),1/16)</f>
        <v>0</v>
      </c>
      <c r="Z46" s="10">
        <f>(IF(G46="",1,G46))*C46</f>
        <v>0</v>
      </c>
      <c r="AA46" s="48">
        <f t="shared" si="2"/>
        <v>0</v>
      </c>
      <c r="AB46" s="48" t="e">
        <f>MROUND(IF(J$5="Inches",D46-$AB$3,(D46/25.4)-$AB$3),1/16)</f>
        <v>#NUM!</v>
      </c>
      <c r="AC46" s="10">
        <f>IF(ISNA(VLOOKUP($J$4,Finishes!$C$3:$D$107,2,FALSE)),3.625,VLOOKUP($J$4,Finishes!$C$3:$D$107,2,FALSE))</f>
        <v>3.5625</v>
      </c>
      <c r="AD46" s="10">
        <f>IF(ISNA(VLOOKUP($J$4,Finishes!$C$3:$E$107,3,FALSE)),92.08,VLOOKUP($J$4,Finishes!$C$3:$E$107,3,FALSE))</f>
        <v>90.49</v>
      </c>
      <c r="AE46" s="10">
        <f>MROUND(IF(F46="",0,IF(U46&gt;0,IF($J$5="Inches",D46-AC46-AE$5,(D46-AD46-AF$5)/25.4),0)),1/16)</f>
        <v>0</v>
      </c>
      <c r="AF46" s="10">
        <f>MROUND(IF(B46="Slab Drawer Front",0,IF(F46&lt;&gt;"",IF(U46&gt;0,IF($J$5="Inches",(((E46-AC46)-((AM46-1)*AA$5))/AM46)-AE$5,(((E46-AD46-AF$5)-((AM46-1)*AA$6))/25.4)/AM46),0),0)),1/16)</f>
        <v>0</v>
      </c>
      <c r="AG46" s="31">
        <f>F46</f>
        <v>0</v>
      </c>
      <c r="AH46" s="42">
        <f>IFERROR((_xlfn.XLOOKUP(AG46,DATA!$J$3:$J$6,DATA!$K$3:$K$6)*J46*AH$5),0)</f>
        <v>0</v>
      </c>
      <c r="AI46" s="31">
        <f>IF(B46="Slab Drawer Front",C46,0)</f>
        <v>0</v>
      </c>
      <c r="AJ46" s="10">
        <f>IF(B46="Slab Drawer Front",(MROUND(IF(AI46&gt;0,IF($J$5="Inches",D46,D46/25.4),0),1/16)),0)</f>
        <v>0</v>
      </c>
      <c r="AK46" s="10">
        <f>IF(B46="Slab Drawer Front",(MROUND(IF(AI46&gt;0,IF($J$5="Inches",E46,E46/25.4),0),1/16)),0)</f>
        <v>0</v>
      </c>
      <c r="AL46" s="10">
        <f>IF(G46="",0,G46-1)</f>
        <v>0</v>
      </c>
      <c r="AM46" s="10">
        <f>IF(G46="",1,G46)</f>
        <v>1</v>
      </c>
      <c r="AN46" s="48">
        <f>AA46*DATA!N$8</f>
        <v>0</v>
      </c>
    </row>
    <row r="47" spans="1:40" x14ac:dyDescent="0.2">
      <c r="A47" s="1">
        <v>38</v>
      </c>
      <c r="B47" s="35"/>
      <c r="C47" s="36"/>
      <c r="D47" s="37"/>
      <c r="E47" s="37"/>
      <c r="F47" s="38"/>
      <c r="G47" s="38"/>
      <c r="H47" s="38"/>
      <c r="I47" s="38"/>
      <c r="J47" s="28" t="str">
        <f t="shared" si="4"/>
        <v/>
      </c>
      <c r="K47" s="29" t="str">
        <f>IF(J47="","",J47*(_xlfn.XLOOKUP(J$4,Finishes!C$3:C$50,Finishes!I$3:I$50))+(IF(OR(B47="Drawer Front",B47="Slab Drawer Front"),DATA!F$2,0)+AH47+AN47))</f>
        <v/>
      </c>
      <c r="L47" s="29" t="str">
        <f t="shared" si="3"/>
        <v/>
      </c>
      <c r="M47" s="10">
        <f>IF(J$5="Inches",IF(B47="Slab Drawer Front",'Size Parameters'!C$5,'Size Parameters'!C$4),(IF(B47="Slab Drawer Front",'Size Parameters'!H$5,'Size Parameters'!H$4)))</f>
        <v>5.5</v>
      </c>
      <c r="N47" s="10">
        <f>IF(J$5="Inches",IF(COUNTIF(B47,"*Door*"),'Size Parameters'!B$4,'Size Parameters'!B$3),IF(COUNTIF(B47,"*Door*"),'Size Parameters'!G$4,'Size Parameters'!G$3))</f>
        <v>48</v>
      </c>
      <c r="O47" s="10">
        <f>IF(J$5="Inches",IF(B47="Slab Drawer Front",'Size Parameters'!E$5,'Size Parameters'!E$3),(IF(B47="Slab Drawer Front",'Size Parameters'!J$5,'Size Parameters'!J$3)))</f>
        <v>5.5</v>
      </c>
      <c r="P47" s="10">
        <f>IF(J$5="Inches",IF(COUNTIF(B47,"*Door*"),'Size Parameters'!D$4,IF(B47="Slab Drawer Front",'Size Parameters'!D$5,'Size Parameters'!D$3)),IF(COUNTIF(B47,"*Door*"),'Size Parameters'!I$4,IF(B47="Slab Drawer Front",'Size Parameters'!I$5,'Size Parameters'!J$3)))</f>
        <v>30</v>
      </c>
      <c r="U47" s="30">
        <f>IF(B47="Slab Drawer Front",0,C47)</f>
        <v>0</v>
      </c>
      <c r="V47" s="10">
        <f>IF(B47="Slab Drawer Front",0,(MROUND(IF(U47&gt;0,(IF($J$5="Inches",D47+#REF!,(D47+#REF!)/25.4)),0),1/16)))</f>
        <v>0</v>
      </c>
      <c r="W47" s="10">
        <f>IF(B47="Slab Drawer Front",0,(MROUND(IF(U47&gt;0,(IF($J$5="Inches",E47+#REF!,(E47+#REF!)/25.4)),0),1/16)))</f>
        <v>0</v>
      </c>
      <c r="X47" s="10">
        <f>IF(B47="Slab Drawer Front",0,(MROUND(IF(F47&lt;&gt;"",0,IF(U47&gt;0,IF($J$5="Inches",D47-AC47,(D47-AD47)/25.4),0)),1/16)))</f>
        <v>0</v>
      </c>
      <c r="Y47" s="10">
        <f>MROUND(IF(B47="Slab Drawer Front",0,IF(F47&lt;&gt;"",0,IF(U47&gt;0,IF($J$5="Inches",((E47-AC47)-(AL47*AA$5))/AM47,(((E47-AD47)-((AL47)*AA$6))/25.4)/AM47),0))),1/16)</f>
        <v>0</v>
      </c>
      <c r="Z47" s="10">
        <f>(IF(G47="",1,G47))*C47</f>
        <v>0</v>
      </c>
      <c r="AA47" s="48">
        <f t="shared" si="2"/>
        <v>0</v>
      </c>
      <c r="AB47" s="48" t="e">
        <f>MROUND(IF(J$5="Inches",D47-$AB$3,(D47/25.4)-$AB$3),1/16)</f>
        <v>#NUM!</v>
      </c>
      <c r="AC47" s="10">
        <f>IF(ISNA(VLOOKUP($J$4,Finishes!$C$3:$D$107,2,FALSE)),3.625,VLOOKUP($J$4,Finishes!$C$3:$D$107,2,FALSE))</f>
        <v>3.5625</v>
      </c>
      <c r="AD47" s="10">
        <f>IF(ISNA(VLOOKUP($J$4,Finishes!$C$3:$E$107,3,FALSE)),92.08,VLOOKUP($J$4,Finishes!$C$3:$E$107,3,FALSE))</f>
        <v>90.49</v>
      </c>
      <c r="AE47" s="10">
        <f>MROUND(IF(F47="",0,IF(U47&gt;0,IF($J$5="Inches",D47-AC47-AE$5,(D47-AD47-AF$5)/25.4),0)),1/16)</f>
        <v>0</v>
      </c>
      <c r="AF47" s="10">
        <f>MROUND(IF(B47="Slab Drawer Front",0,IF(F47&lt;&gt;"",IF(U47&gt;0,IF($J$5="Inches",(((E47-AC47)-((AM47-1)*AA$5))/AM47)-AE$5,(((E47-AD47-AF$5)-((AM47-1)*AA$6))/25.4)/AM47),0),0)),1/16)</f>
        <v>0</v>
      </c>
      <c r="AG47" s="31">
        <f>F47</f>
        <v>0</v>
      </c>
      <c r="AH47" s="42">
        <f>IFERROR((_xlfn.XLOOKUP(AG47,DATA!$J$3:$J$6,DATA!$K$3:$K$6)*J47*AH$5),0)</f>
        <v>0</v>
      </c>
      <c r="AI47" s="31">
        <f>IF(B47="Slab Drawer Front",C47,0)</f>
        <v>0</v>
      </c>
      <c r="AJ47" s="10">
        <f>IF(B47="Slab Drawer Front",(MROUND(IF(AI47&gt;0,IF($J$5="Inches",D47,D47/25.4),0),1/16)),0)</f>
        <v>0</v>
      </c>
      <c r="AK47" s="10">
        <f>IF(B47="Slab Drawer Front",(MROUND(IF(AI47&gt;0,IF($J$5="Inches",E47,E47/25.4),0),1/16)),0)</f>
        <v>0</v>
      </c>
      <c r="AL47" s="10">
        <f>IF(G47="",0,G47-1)</f>
        <v>0</v>
      </c>
      <c r="AM47" s="10">
        <f>IF(G47="",1,G47)</f>
        <v>1</v>
      </c>
      <c r="AN47" s="48">
        <f>AA47*DATA!N$8</f>
        <v>0</v>
      </c>
    </row>
    <row r="48" spans="1:40" x14ac:dyDescent="0.2">
      <c r="A48" s="1">
        <v>39</v>
      </c>
      <c r="B48" s="35"/>
      <c r="C48" s="36"/>
      <c r="D48" s="37"/>
      <c r="E48" s="37"/>
      <c r="F48" s="38"/>
      <c r="G48" s="38"/>
      <c r="H48" s="38"/>
      <c r="I48" s="38"/>
      <c r="J48" s="28" t="str">
        <f t="shared" si="4"/>
        <v/>
      </c>
      <c r="K48" s="29" t="str">
        <f>IF(J48="","",J48*(_xlfn.XLOOKUP(J$4,Finishes!C$3:C$50,Finishes!I$3:I$50))+(IF(OR(B48="Drawer Front",B48="Slab Drawer Front"),DATA!F$2,0)+AH48+AN48))</f>
        <v/>
      </c>
      <c r="L48" s="29" t="str">
        <f t="shared" si="3"/>
        <v/>
      </c>
      <c r="M48" s="10">
        <f>IF(J$5="Inches",IF(B48="Slab Drawer Front",'Size Parameters'!C$5,'Size Parameters'!C$4),(IF(B48="Slab Drawer Front",'Size Parameters'!H$5,'Size Parameters'!H$4)))</f>
        <v>5.5</v>
      </c>
      <c r="N48" s="10">
        <f>IF(J$5="Inches",IF(COUNTIF(B48,"*Door*"),'Size Parameters'!B$4,'Size Parameters'!B$3),IF(COUNTIF(B48,"*Door*"),'Size Parameters'!G$4,'Size Parameters'!G$3))</f>
        <v>48</v>
      </c>
      <c r="O48" s="10">
        <f>IF(J$5="Inches",IF(B48="Slab Drawer Front",'Size Parameters'!E$5,'Size Parameters'!E$3),(IF(B48="Slab Drawer Front",'Size Parameters'!J$5,'Size Parameters'!J$3)))</f>
        <v>5.5</v>
      </c>
      <c r="P48" s="10">
        <f>IF(J$5="Inches",IF(COUNTIF(B48,"*Door*"),'Size Parameters'!D$4,IF(B48="Slab Drawer Front",'Size Parameters'!D$5,'Size Parameters'!D$3)),IF(COUNTIF(B48,"*Door*"),'Size Parameters'!I$4,IF(B48="Slab Drawer Front",'Size Parameters'!I$5,'Size Parameters'!J$3)))</f>
        <v>30</v>
      </c>
      <c r="U48" s="30">
        <f>IF(B48="Slab Drawer Front",0,C48)</f>
        <v>0</v>
      </c>
      <c r="V48" s="10">
        <f>IF(B48="Slab Drawer Front",0,(MROUND(IF(U48&gt;0,(IF($J$5="Inches",D48+#REF!,(D48+#REF!)/25.4)),0),1/16)))</f>
        <v>0</v>
      </c>
      <c r="W48" s="10">
        <f>IF(B48="Slab Drawer Front",0,(MROUND(IF(U48&gt;0,(IF($J$5="Inches",E48+#REF!,(E48+#REF!)/25.4)),0),1/16)))</f>
        <v>0</v>
      </c>
      <c r="X48" s="10">
        <f>IF(B48="Slab Drawer Front",0,(MROUND(IF(F48&lt;&gt;"",0,IF(U48&gt;0,IF($J$5="Inches",D48-AC48,(D48-AD48)/25.4),0)),1/16)))</f>
        <v>0</v>
      </c>
      <c r="Y48" s="10">
        <f>MROUND(IF(B48="Slab Drawer Front",0,IF(F48&lt;&gt;"",0,IF(U48&gt;0,IF($J$5="Inches",((E48-AC48)-(AL48*AA$5))/AM48,(((E48-AD48)-((AL48)*AA$6))/25.4)/AM48),0))),1/16)</f>
        <v>0</v>
      </c>
      <c r="Z48" s="10">
        <f>(IF(G48="",1,G48))*C48</f>
        <v>0</v>
      </c>
      <c r="AA48" s="48">
        <f t="shared" si="2"/>
        <v>0</v>
      </c>
      <c r="AB48" s="48" t="e">
        <f>MROUND(IF(J$5="Inches",D48-$AB$3,(D48/25.4)-$AB$3),1/16)</f>
        <v>#NUM!</v>
      </c>
      <c r="AC48" s="10">
        <f>IF(ISNA(VLOOKUP($J$4,Finishes!$C$3:$D$107,2,FALSE)),3.625,VLOOKUP($J$4,Finishes!$C$3:$D$107,2,FALSE))</f>
        <v>3.5625</v>
      </c>
      <c r="AD48" s="10">
        <f>IF(ISNA(VLOOKUP($J$4,Finishes!$C$3:$E$107,3,FALSE)),92.08,VLOOKUP($J$4,Finishes!$C$3:$E$107,3,FALSE))</f>
        <v>90.49</v>
      </c>
      <c r="AE48" s="10">
        <f>MROUND(IF(F48="",0,IF(U48&gt;0,IF($J$5="Inches",D48-AC48-AE$5,(D48-AD48-AF$5)/25.4),0)),1/16)</f>
        <v>0</v>
      </c>
      <c r="AF48" s="10">
        <f>MROUND(IF(B48="Slab Drawer Front",0,IF(F48&lt;&gt;"",IF(U48&gt;0,IF($J$5="Inches",(((E48-AC48)-((AM48-1)*AA$5))/AM48)-AE$5,(((E48-AD48-AF$5)-((AM48-1)*AA$6))/25.4)/AM48),0),0)),1/16)</f>
        <v>0</v>
      </c>
      <c r="AG48" s="31">
        <f>F48</f>
        <v>0</v>
      </c>
      <c r="AH48" s="42">
        <f>IFERROR((_xlfn.XLOOKUP(AG48,DATA!$J$3:$J$6,DATA!$K$3:$K$6)*J48*AH$5),0)</f>
        <v>0</v>
      </c>
      <c r="AI48" s="31">
        <f>IF(B48="Slab Drawer Front",C48,0)</f>
        <v>0</v>
      </c>
      <c r="AJ48" s="10">
        <f>IF(B48="Slab Drawer Front",(MROUND(IF(AI48&gt;0,IF($J$5="Inches",D48,D48/25.4),0),1/16)),0)</f>
        <v>0</v>
      </c>
      <c r="AK48" s="10">
        <f>IF(B48="Slab Drawer Front",(MROUND(IF(AI48&gt;0,IF($J$5="Inches",E48,E48/25.4),0),1/16)),0)</f>
        <v>0</v>
      </c>
      <c r="AL48" s="10">
        <f>IF(G48="",0,G48-1)</f>
        <v>0</v>
      </c>
      <c r="AM48" s="10">
        <f>IF(G48="",1,G48)</f>
        <v>1</v>
      </c>
      <c r="AN48" s="48">
        <f>AA48*DATA!N$8</f>
        <v>0</v>
      </c>
    </row>
    <row r="49" spans="1:40" x14ac:dyDescent="0.2">
      <c r="A49" s="1">
        <v>40</v>
      </c>
      <c r="B49" s="35"/>
      <c r="C49" s="36"/>
      <c r="D49" s="37"/>
      <c r="E49" s="37"/>
      <c r="F49" s="38"/>
      <c r="G49" s="38"/>
      <c r="H49" s="38"/>
      <c r="I49" s="38"/>
      <c r="J49" s="28" t="str">
        <f t="shared" si="4"/>
        <v/>
      </c>
      <c r="K49" s="29" t="str">
        <f>IF(J49="","",J49*(_xlfn.XLOOKUP(J$4,Finishes!C$3:C$50,Finishes!I$3:I$50))+(IF(OR(B49="Drawer Front",B49="Slab Drawer Front"),DATA!F$2,0)+AH49+AN49))</f>
        <v/>
      </c>
      <c r="L49" s="29" t="str">
        <f t="shared" si="3"/>
        <v/>
      </c>
      <c r="M49" s="10">
        <f>IF(J$5="Inches",IF(B49="Slab Drawer Front",'Size Parameters'!C$5,'Size Parameters'!C$4),(IF(B49="Slab Drawer Front",'Size Parameters'!H$5,'Size Parameters'!H$4)))</f>
        <v>5.5</v>
      </c>
      <c r="N49" s="10">
        <f>IF(J$5="Inches",IF(COUNTIF(B49,"*Door*"),'Size Parameters'!B$4,'Size Parameters'!B$3),IF(COUNTIF(B49,"*Door*"),'Size Parameters'!G$4,'Size Parameters'!G$3))</f>
        <v>48</v>
      </c>
      <c r="O49" s="10">
        <f>IF(J$5="Inches",IF(B49="Slab Drawer Front",'Size Parameters'!E$5,'Size Parameters'!E$3),(IF(B49="Slab Drawer Front",'Size Parameters'!J$5,'Size Parameters'!J$3)))</f>
        <v>5.5</v>
      </c>
      <c r="P49" s="10">
        <f>IF(J$5="Inches",IF(COUNTIF(B49,"*Door*"),'Size Parameters'!D$4,IF(B49="Slab Drawer Front",'Size Parameters'!D$5,'Size Parameters'!D$3)),IF(COUNTIF(B49,"*Door*"),'Size Parameters'!I$4,IF(B49="Slab Drawer Front",'Size Parameters'!I$5,'Size Parameters'!J$3)))</f>
        <v>30</v>
      </c>
      <c r="U49" s="30">
        <f>IF(B49="Slab Drawer Front",0,C49)</f>
        <v>0</v>
      </c>
      <c r="V49" s="10">
        <f>IF(B49="Slab Drawer Front",0,(MROUND(IF(U49&gt;0,(IF($J$5="Inches",D49+#REF!,(D49+#REF!)/25.4)),0),1/16)))</f>
        <v>0</v>
      </c>
      <c r="W49" s="10">
        <f>IF(B49="Slab Drawer Front",0,(MROUND(IF(U49&gt;0,(IF($J$5="Inches",E49+#REF!,(E49+#REF!)/25.4)),0),1/16)))</f>
        <v>0</v>
      </c>
      <c r="X49" s="10">
        <f>IF(B49="Slab Drawer Front",0,(MROUND(IF(F49&lt;&gt;"",0,IF(U49&gt;0,IF($J$5="Inches",D49-AC49,(D49-AD49)/25.4),0)),1/16)))</f>
        <v>0</v>
      </c>
      <c r="Y49" s="10">
        <f>MROUND(IF(B49="Slab Drawer Front",0,IF(F49&lt;&gt;"",0,IF(U49&gt;0,IF($J$5="Inches",((E49-AC49)-(AL49*AA$5))/AM49,(((E49-AD49)-((AL49)*AA$6))/25.4)/AM49),0))),1/16)</f>
        <v>0</v>
      </c>
      <c r="Z49" s="10">
        <f>(IF(G49="",1,G49))*C49</f>
        <v>0</v>
      </c>
      <c r="AA49" s="48">
        <f t="shared" si="2"/>
        <v>0</v>
      </c>
      <c r="AB49" s="48" t="e">
        <f>MROUND(IF(J$5="Inches",D49-$AB$3,(D49/25.4)-$AB$3),1/16)</f>
        <v>#NUM!</v>
      </c>
      <c r="AC49" s="10">
        <f>IF(ISNA(VLOOKUP($J$4,Finishes!$C$3:$D$107,2,FALSE)),3.625,VLOOKUP($J$4,Finishes!$C$3:$D$107,2,FALSE))</f>
        <v>3.5625</v>
      </c>
      <c r="AD49" s="10">
        <f>IF(ISNA(VLOOKUP($J$4,Finishes!$C$3:$E$107,3,FALSE)),92.08,VLOOKUP($J$4,Finishes!$C$3:$E$107,3,FALSE))</f>
        <v>90.49</v>
      </c>
      <c r="AE49" s="10">
        <f>MROUND(IF(F49="",0,IF(U49&gt;0,IF($J$5="Inches",D49-AC49-AE$5,(D49-AD49-AF$5)/25.4),0)),1/16)</f>
        <v>0</v>
      </c>
      <c r="AF49" s="10">
        <f>MROUND(IF(B49="Slab Drawer Front",0,IF(F49&lt;&gt;"",IF(U49&gt;0,IF($J$5="Inches",(((E49-AC49)-((AM49-1)*AA$5))/AM49)-AE$5,(((E49-AD49-AF$5)-((AM49-1)*AA$6))/25.4)/AM49),0),0)),1/16)</f>
        <v>0</v>
      </c>
      <c r="AG49" s="31">
        <f>F49</f>
        <v>0</v>
      </c>
      <c r="AH49" s="42">
        <f>IFERROR((_xlfn.XLOOKUP(AG49,DATA!$J$3:$J$6,DATA!$K$3:$K$6)*J49*AH$5),0)</f>
        <v>0</v>
      </c>
      <c r="AI49" s="31">
        <f>IF(B49="Slab Drawer Front",C49,0)</f>
        <v>0</v>
      </c>
      <c r="AJ49" s="10">
        <f>IF(B49="Slab Drawer Front",(MROUND(IF(AI49&gt;0,IF($J$5="Inches",D49,D49/25.4),0),1/16)),0)</f>
        <v>0</v>
      </c>
      <c r="AK49" s="10">
        <f>IF(B49="Slab Drawer Front",(MROUND(IF(AI49&gt;0,IF($J$5="Inches",E49,E49/25.4),0),1/16)),0)</f>
        <v>0</v>
      </c>
      <c r="AL49" s="10">
        <f>IF(G49="",0,G49-1)</f>
        <v>0</v>
      </c>
      <c r="AM49" s="10">
        <f>IF(G49="",1,G49)</f>
        <v>1</v>
      </c>
      <c r="AN49" s="48">
        <f>AA49*DATA!N$8</f>
        <v>0</v>
      </c>
    </row>
    <row r="50" spans="1:40" x14ac:dyDescent="0.2">
      <c r="A50" s="1">
        <v>41</v>
      </c>
      <c r="B50" s="35"/>
      <c r="C50" s="36"/>
      <c r="D50" s="37"/>
      <c r="E50" s="37"/>
      <c r="F50" s="38"/>
      <c r="G50" s="38"/>
      <c r="H50" s="38"/>
      <c r="I50" s="38"/>
      <c r="J50" s="28" t="str">
        <f t="shared" si="4"/>
        <v/>
      </c>
      <c r="K50" s="29" t="str">
        <f>IF(J50="","",J50*(_xlfn.XLOOKUP(J$4,Finishes!C$3:C$50,Finishes!I$3:I$50))+(IF(OR(B50="Drawer Front",B50="Slab Drawer Front"),DATA!F$2,0)+AH50+AN50))</f>
        <v/>
      </c>
      <c r="L50" s="29" t="str">
        <f t="shared" si="3"/>
        <v/>
      </c>
      <c r="M50" s="10">
        <f>IF(J$5="Inches",IF(B50="Slab Drawer Front",'Size Parameters'!C$5,'Size Parameters'!C$4),(IF(B50="Slab Drawer Front",'Size Parameters'!H$5,'Size Parameters'!H$4)))</f>
        <v>5.5</v>
      </c>
      <c r="N50" s="10">
        <f>IF(J$5="Inches",IF(COUNTIF(B50,"*Door*"),'Size Parameters'!B$4,'Size Parameters'!B$3),IF(COUNTIF(B50,"*Door*"),'Size Parameters'!G$4,'Size Parameters'!G$3))</f>
        <v>48</v>
      </c>
      <c r="O50" s="10">
        <f>IF(J$5="Inches",IF(B50="Slab Drawer Front",'Size Parameters'!E$5,'Size Parameters'!E$3),(IF(B50="Slab Drawer Front",'Size Parameters'!J$5,'Size Parameters'!J$3)))</f>
        <v>5.5</v>
      </c>
      <c r="P50" s="10">
        <f>IF(J$5="Inches",IF(COUNTIF(B50,"*Door*"),'Size Parameters'!D$4,IF(B50="Slab Drawer Front",'Size Parameters'!D$5,'Size Parameters'!D$3)),IF(COUNTIF(B50,"*Door*"),'Size Parameters'!I$4,IF(B50="Slab Drawer Front",'Size Parameters'!I$5,'Size Parameters'!J$3)))</f>
        <v>30</v>
      </c>
      <c r="U50" s="30">
        <f>IF(B50="Slab Drawer Front",0,C50)</f>
        <v>0</v>
      </c>
      <c r="V50" s="10">
        <f>IF(B50="Slab Drawer Front",0,(MROUND(IF(U50&gt;0,(IF($J$5="Inches",D50+#REF!,(D50+#REF!)/25.4)),0),1/16)))</f>
        <v>0</v>
      </c>
      <c r="W50" s="10">
        <f>IF(B50="Slab Drawer Front",0,(MROUND(IF(U50&gt;0,(IF($J$5="Inches",E50+#REF!,(E50+#REF!)/25.4)),0),1/16)))</f>
        <v>0</v>
      </c>
      <c r="X50" s="10">
        <f>IF(B50="Slab Drawer Front",0,(MROUND(IF(F50&lt;&gt;"",0,IF(U50&gt;0,IF($J$5="Inches",D50-AC50,(D50-AD50)/25.4),0)),1/16)))</f>
        <v>0</v>
      </c>
      <c r="Y50" s="10">
        <f>MROUND(IF(B50="Slab Drawer Front",0,IF(F50&lt;&gt;"",0,IF(U50&gt;0,IF($J$5="Inches",((E50-AC50)-(AL50*AA$5))/AM50,(((E50-AD50)-((AL50)*AA$6))/25.4)/AM50),0))),1/16)</f>
        <v>0</v>
      </c>
      <c r="Z50" s="10">
        <f>(IF(G50="",1,G50))*C50</f>
        <v>0</v>
      </c>
      <c r="AA50" s="48">
        <f t="shared" si="2"/>
        <v>0</v>
      </c>
      <c r="AB50" s="48" t="e">
        <f>MROUND(IF(J$5="Inches",D50-$AB$3,(D50/25.4)-$AB$3),1/16)</f>
        <v>#NUM!</v>
      </c>
      <c r="AC50" s="10">
        <f>IF(ISNA(VLOOKUP($J$4,Finishes!$C$3:$D$107,2,FALSE)),3.625,VLOOKUP($J$4,Finishes!$C$3:$D$107,2,FALSE))</f>
        <v>3.5625</v>
      </c>
      <c r="AD50" s="10">
        <f>IF(ISNA(VLOOKUP($J$4,Finishes!$C$3:$E$107,3,FALSE)),92.08,VLOOKUP($J$4,Finishes!$C$3:$E$107,3,FALSE))</f>
        <v>90.49</v>
      </c>
      <c r="AE50" s="10">
        <f>MROUND(IF(F50="",0,IF(U50&gt;0,IF($J$5="Inches",D50-AC50-AE$5,(D50-AD50-AF$5)/25.4),0)),1/16)</f>
        <v>0</v>
      </c>
      <c r="AF50" s="10">
        <f>MROUND(IF(B50="Slab Drawer Front",0,IF(F50&lt;&gt;"",IF(U50&gt;0,IF($J$5="Inches",(((E50-AC50)-((AM50-1)*AA$5))/AM50)-AE$5,(((E50-AD50-AF$5)-((AM50-1)*AA$6))/25.4)/AM50),0),0)),1/16)</f>
        <v>0</v>
      </c>
      <c r="AG50" s="31">
        <f>F50</f>
        <v>0</v>
      </c>
      <c r="AH50" s="42">
        <f>IFERROR((_xlfn.XLOOKUP(AG50,DATA!$J$3:$J$6,DATA!$K$3:$K$6)*J50*AH$5),0)</f>
        <v>0</v>
      </c>
      <c r="AI50" s="31">
        <f>IF(B50="Slab Drawer Front",C50,0)</f>
        <v>0</v>
      </c>
      <c r="AJ50" s="10">
        <f>IF(B50="Slab Drawer Front",(MROUND(IF(AI50&gt;0,IF($J$5="Inches",D50,D50/25.4),0),1/16)),0)</f>
        <v>0</v>
      </c>
      <c r="AK50" s="10">
        <f>IF(B50="Slab Drawer Front",(MROUND(IF(AI50&gt;0,IF($J$5="Inches",E50,E50/25.4),0),1/16)),0)</f>
        <v>0</v>
      </c>
      <c r="AL50" s="10">
        <f>IF(G50="",0,G50-1)</f>
        <v>0</v>
      </c>
      <c r="AM50" s="10">
        <f>IF(G50="",1,G50)</f>
        <v>1</v>
      </c>
      <c r="AN50" s="48">
        <f>AA50*DATA!N$8</f>
        <v>0</v>
      </c>
    </row>
    <row r="51" spans="1:40" x14ac:dyDescent="0.2">
      <c r="A51" s="1">
        <v>42</v>
      </c>
      <c r="B51" s="35"/>
      <c r="C51" s="36"/>
      <c r="D51" s="37"/>
      <c r="E51" s="37"/>
      <c r="F51" s="38"/>
      <c r="G51" s="38"/>
      <c r="H51" s="38"/>
      <c r="I51" s="38"/>
      <c r="J51" s="28" t="str">
        <f t="shared" si="4"/>
        <v/>
      </c>
      <c r="K51" s="29" t="str">
        <f>IF(J51="","",J51*(_xlfn.XLOOKUP(J$4,Finishes!C$3:C$50,Finishes!I$3:I$50))+(IF(OR(B51="Drawer Front",B51="Slab Drawer Front"),DATA!F$2,0)+AH51+AN51))</f>
        <v/>
      </c>
      <c r="L51" s="29" t="str">
        <f t="shared" si="3"/>
        <v/>
      </c>
      <c r="M51" s="10">
        <f>IF(J$5="Inches",IF(B51="Slab Drawer Front",'Size Parameters'!C$5,'Size Parameters'!C$4),(IF(B51="Slab Drawer Front",'Size Parameters'!H$5,'Size Parameters'!H$4)))</f>
        <v>5.5</v>
      </c>
      <c r="N51" s="10">
        <f>IF(J$5="Inches",IF(COUNTIF(B51,"*Door*"),'Size Parameters'!B$4,'Size Parameters'!B$3),IF(COUNTIF(B51,"*Door*"),'Size Parameters'!G$4,'Size Parameters'!G$3))</f>
        <v>48</v>
      </c>
      <c r="O51" s="10">
        <f>IF(J$5="Inches",IF(B51="Slab Drawer Front",'Size Parameters'!E$5,'Size Parameters'!E$3),(IF(B51="Slab Drawer Front",'Size Parameters'!J$5,'Size Parameters'!J$3)))</f>
        <v>5.5</v>
      </c>
      <c r="P51" s="10">
        <f>IF(J$5="Inches",IF(COUNTIF(B51,"*Door*"),'Size Parameters'!D$4,IF(B51="Slab Drawer Front",'Size Parameters'!D$5,'Size Parameters'!D$3)),IF(COUNTIF(B51,"*Door*"),'Size Parameters'!I$4,IF(B51="Slab Drawer Front",'Size Parameters'!I$5,'Size Parameters'!J$3)))</f>
        <v>30</v>
      </c>
      <c r="U51" s="30">
        <f>IF(B51="Slab Drawer Front",0,C51)</f>
        <v>0</v>
      </c>
      <c r="V51" s="10">
        <f>IF(B51="Slab Drawer Front",0,(MROUND(IF(U51&gt;0,(IF($J$5="Inches",D51+#REF!,(D51+#REF!)/25.4)),0),1/16)))</f>
        <v>0</v>
      </c>
      <c r="W51" s="10">
        <f>IF(B51="Slab Drawer Front",0,(MROUND(IF(U51&gt;0,(IF($J$5="Inches",E51+#REF!,(E51+#REF!)/25.4)),0),1/16)))</f>
        <v>0</v>
      </c>
      <c r="X51" s="10">
        <f>IF(B51="Slab Drawer Front",0,(MROUND(IF(F51&lt;&gt;"",0,IF(U51&gt;0,IF($J$5="Inches",D51-AC51,(D51-AD51)/25.4),0)),1/16)))</f>
        <v>0</v>
      </c>
      <c r="Y51" s="10">
        <f>MROUND(IF(B51="Slab Drawer Front",0,IF(F51&lt;&gt;"",0,IF(U51&gt;0,IF($J$5="Inches",((E51-AC51)-(AL51*AA$5))/AM51,(((E51-AD51)-((AL51)*AA$6))/25.4)/AM51),0))),1/16)</f>
        <v>0</v>
      </c>
      <c r="Z51" s="10">
        <f>(IF(G51="",1,G51))*C51</f>
        <v>0</v>
      </c>
      <c r="AA51" s="48">
        <f t="shared" si="2"/>
        <v>0</v>
      </c>
      <c r="AB51" s="48" t="e">
        <f>MROUND(IF(J$5="Inches",D51-$AB$3,(D51/25.4)-$AB$3),1/16)</f>
        <v>#NUM!</v>
      </c>
      <c r="AC51" s="10">
        <f>IF(ISNA(VLOOKUP($J$4,Finishes!$C$3:$D$107,2,FALSE)),3.625,VLOOKUP($J$4,Finishes!$C$3:$D$107,2,FALSE))</f>
        <v>3.5625</v>
      </c>
      <c r="AD51" s="10">
        <f>IF(ISNA(VLOOKUP($J$4,Finishes!$C$3:$E$107,3,FALSE)),92.08,VLOOKUP($J$4,Finishes!$C$3:$E$107,3,FALSE))</f>
        <v>90.49</v>
      </c>
      <c r="AE51" s="10">
        <f>MROUND(IF(F51="",0,IF(U51&gt;0,IF($J$5="Inches",D51-AC51-AE$5,(D51-AD51-AF$5)/25.4),0)),1/16)</f>
        <v>0</v>
      </c>
      <c r="AF51" s="10">
        <f>MROUND(IF(B51="Slab Drawer Front",0,IF(F51&lt;&gt;"",IF(U51&gt;0,IF($J$5="Inches",(((E51-AC51)-((AM51-1)*AA$5))/AM51)-AE$5,(((E51-AD51-AF$5)-((AM51-1)*AA$6))/25.4)/AM51),0),0)),1/16)</f>
        <v>0</v>
      </c>
      <c r="AG51" s="31">
        <f>F51</f>
        <v>0</v>
      </c>
      <c r="AH51" s="42">
        <f>IFERROR((_xlfn.XLOOKUP(AG51,DATA!$J$3:$J$6,DATA!$K$3:$K$6)*J51*AH$5),0)</f>
        <v>0</v>
      </c>
      <c r="AI51" s="31">
        <f>IF(B51="Slab Drawer Front",C51,0)</f>
        <v>0</v>
      </c>
      <c r="AJ51" s="10">
        <f>IF(B51="Slab Drawer Front",(MROUND(IF(AI51&gt;0,IF($J$5="Inches",D51,D51/25.4),0),1/16)),0)</f>
        <v>0</v>
      </c>
      <c r="AK51" s="10">
        <f>IF(B51="Slab Drawer Front",(MROUND(IF(AI51&gt;0,IF($J$5="Inches",E51,E51/25.4),0),1/16)),0)</f>
        <v>0</v>
      </c>
      <c r="AL51" s="10">
        <f>IF(G51="",0,G51-1)</f>
        <v>0</v>
      </c>
      <c r="AM51" s="10">
        <f>IF(G51="",1,G51)</f>
        <v>1</v>
      </c>
      <c r="AN51" s="48">
        <f>AA51*DATA!N$8</f>
        <v>0</v>
      </c>
    </row>
    <row r="52" spans="1:40" x14ac:dyDescent="0.2">
      <c r="A52" s="1">
        <v>43</v>
      </c>
      <c r="B52" s="35"/>
      <c r="C52" s="36"/>
      <c r="D52" s="37"/>
      <c r="E52" s="37"/>
      <c r="F52" s="38"/>
      <c r="G52" s="38"/>
      <c r="H52" s="38"/>
      <c r="I52" s="38"/>
      <c r="J52" s="28" t="str">
        <f t="shared" si="4"/>
        <v/>
      </c>
      <c r="K52" s="29" t="str">
        <f>IF(J52="","",J52*(_xlfn.XLOOKUP(J$4,Finishes!C$3:C$50,Finishes!I$3:I$50))+(IF(OR(B52="Drawer Front",B52="Slab Drawer Front"),DATA!F$2,0)+AH52+AN52))</f>
        <v/>
      </c>
      <c r="L52" s="29" t="str">
        <f t="shared" si="3"/>
        <v/>
      </c>
      <c r="M52" s="10">
        <f>IF(J$5="Inches",IF(B52="Slab Drawer Front",'Size Parameters'!C$5,'Size Parameters'!C$4),(IF(B52="Slab Drawer Front",'Size Parameters'!H$5,'Size Parameters'!H$4)))</f>
        <v>5.5</v>
      </c>
      <c r="N52" s="10">
        <f>IF(J$5="Inches",IF(COUNTIF(B52,"*Door*"),'Size Parameters'!B$4,'Size Parameters'!B$3),IF(COUNTIF(B52,"*Door*"),'Size Parameters'!G$4,'Size Parameters'!G$3))</f>
        <v>48</v>
      </c>
      <c r="O52" s="10">
        <f>IF(J$5="Inches",IF(B52="Slab Drawer Front",'Size Parameters'!E$5,'Size Parameters'!E$3),(IF(B52="Slab Drawer Front",'Size Parameters'!J$5,'Size Parameters'!J$3)))</f>
        <v>5.5</v>
      </c>
      <c r="P52" s="10">
        <f>IF(J$5="Inches",IF(COUNTIF(B52,"*Door*"),'Size Parameters'!D$4,IF(B52="Slab Drawer Front",'Size Parameters'!D$5,'Size Parameters'!D$3)),IF(COUNTIF(B52,"*Door*"),'Size Parameters'!I$4,IF(B52="Slab Drawer Front",'Size Parameters'!I$5,'Size Parameters'!J$3)))</f>
        <v>30</v>
      </c>
      <c r="U52" s="30">
        <f>IF(B52="Slab Drawer Front",0,C52)</f>
        <v>0</v>
      </c>
      <c r="V52" s="10">
        <f>IF(B52="Slab Drawer Front",0,(MROUND(IF(U52&gt;0,(IF($J$5="Inches",D52+#REF!,(D52+#REF!)/25.4)),0),1/16)))</f>
        <v>0</v>
      </c>
      <c r="W52" s="10">
        <f>IF(B52="Slab Drawer Front",0,(MROUND(IF(U52&gt;0,(IF($J$5="Inches",E52+#REF!,(E52+#REF!)/25.4)),0),1/16)))</f>
        <v>0</v>
      </c>
      <c r="X52" s="10">
        <f>IF(B52="Slab Drawer Front",0,(MROUND(IF(F52&lt;&gt;"",0,IF(U52&gt;0,IF($J$5="Inches",D52-AC52,(D52-AD52)/25.4),0)),1/16)))</f>
        <v>0</v>
      </c>
      <c r="Y52" s="10">
        <f>MROUND(IF(B52="Slab Drawer Front",0,IF(F52&lt;&gt;"",0,IF(U52&gt;0,IF($J$5="Inches",((E52-AC52)-(AL52*AA$5))/AM52,(((E52-AD52)-((AL52)*AA$6))/25.4)/AM52),0))),1/16)</f>
        <v>0</v>
      </c>
      <c r="Z52" s="10">
        <f>(IF(G52="",1,G52))*C52</f>
        <v>0</v>
      </c>
      <c r="AA52" s="48">
        <f t="shared" si="2"/>
        <v>0</v>
      </c>
      <c r="AB52" s="48" t="e">
        <f>MROUND(IF(J$5="Inches",D52-$AB$3,(D52/25.4)-$AB$3),1/16)</f>
        <v>#NUM!</v>
      </c>
      <c r="AC52" s="10">
        <f>IF(ISNA(VLOOKUP($J$4,Finishes!$C$3:$D$107,2,FALSE)),3.625,VLOOKUP($J$4,Finishes!$C$3:$D$107,2,FALSE))</f>
        <v>3.5625</v>
      </c>
      <c r="AD52" s="10">
        <f>IF(ISNA(VLOOKUP($J$4,Finishes!$C$3:$E$107,3,FALSE)),92.08,VLOOKUP($J$4,Finishes!$C$3:$E$107,3,FALSE))</f>
        <v>90.49</v>
      </c>
      <c r="AE52" s="10">
        <f>MROUND(IF(F52="",0,IF(U52&gt;0,IF($J$5="Inches",D52-AC52-AE$5,(D52-AD52-AF$5)/25.4),0)),1/16)</f>
        <v>0</v>
      </c>
      <c r="AF52" s="10">
        <f>MROUND(IF(B52="Slab Drawer Front",0,IF(F52&lt;&gt;"",IF(U52&gt;0,IF($J$5="Inches",(((E52-AC52)-((AM52-1)*AA$5))/AM52)-AE$5,(((E52-AD52-AF$5)-((AM52-1)*AA$6))/25.4)/AM52),0),0)),1/16)</f>
        <v>0</v>
      </c>
      <c r="AG52" s="31">
        <f>F52</f>
        <v>0</v>
      </c>
      <c r="AH52" s="42">
        <f>IFERROR((_xlfn.XLOOKUP(AG52,DATA!$J$3:$J$6,DATA!$K$3:$K$6)*J52*AH$5),0)</f>
        <v>0</v>
      </c>
      <c r="AI52" s="31">
        <f>IF(B52="Slab Drawer Front",C52,0)</f>
        <v>0</v>
      </c>
      <c r="AJ52" s="10">
        <f>IF(B52="Slab Drawer Front",(MROUND(IF(AI52&gt;0,IF($J$5="Inches",D52,D52/25.4),0),1/16)),0)</f>
        <v>0</v>
      </c>
      <c r="AK52" s="10">
        <f>IF(B52="Slab Drawer Front",(MROUND(IF(AI52&gt;0,IF($J$5="Inches",E52,E52/25.4),0),1/16)),0)</f>
        <v>0</v>
      </c>
      <c r="AL52" s="10">
        <f>IF(G52="",0,G52-1)</f>
        <v>0</v>
      </c>
      <c r="AM52" s="10">
        <f>IF(G52="",1,G52)</f>
        <v>1</v>
      </c>
      <c r="AN52" s="48">
        <f>AA52*DATA!N$8</f>
        <v>0</v>
      </c>
    </row>
    <row r="53" spans="1:40" x14ac:dyDescent="0.2">
      <c r="A53" s="1">
        <v>44</v>
      </c>
      <c r="B53" s="35"/>
      <c r="C53" s="36"/>
      <c r="D53" s="37"/>
      <c r="E53" s="37"/>
      <c r="F53" s="38"/>
      <c r="G53" s="38"/>
      <c r="H53" s="38"/>
      <c r="I53" s="38"/>
      <c r="J53" s="28" t="str">
        <f t="shared" si="4"/>
        <v/>
      </c>
      <c r="K53" s="29" t="str">
        <f>IF(J53="","",J53*(_xlfn.XLOOKUP(J$4,Finishes!C$3:C$50,Finishes!I$3:I$50))+(IF(OR(B53="Drawer Front",B53="Slab Drawer Front"),DATA!F$2,0)+AH53+AN53))</f>
        <v/>
      </c>
      <c r="L53" s="29" t="str">
        <f t="shared" ref="L53:L56" si="5">IF(J53="","",C53*K53)</f>
        <v/>
      </c>
      <c r="M53" s="10">
        <f>IF(J$5="Inches",IF(B53="Slab Drawer Front",'Size Parameters'!C$5,'Size Parameters'!C$4),(IF(B53="Slab Drawer Front",'Size Parameters'!H$5,'Size Parameters'!H$4)))</f>
        <v>5.5</v>
      </c>
      <c r="N53" s="10">
        <f>IF(J$5="Inches",IF(COUNTIF(B53,"*Door*"),'Size Parameters'!B$4,'Size Parameters'!B$3),IF(COUNTIF(B53,"*Door*"),'Size Parameters'!G$4,'Size Parameters'!G$3))</f>
        <v>48</v>
      </c>
      <c r="O53" s="10">
        <f>IF(J$5="Inches",IF(B53="Slab Drawer Front",'Size Parameters'!E$5,'Size Parameters'!E$3),(IF(B53="Slab Drawer Front",'Size Parameters'!J$5,'Size Parameters'!J$3)))</f>
        <v>5.5</v>
      </c>
      <c r="P53" s="10">
        <f>IF(J$5="Inches",IF(COUNTIF(B53,"*Door*"),'Size Parameters'!D$4,IF(B53="Slab Drawer Front",'Size Parameters'!D$5,'Size Parameters'!D$3)),IF(COUNTIF(B53,"*Door*"),'Size Parameters'!I$4,IF(B53="Slab Drawer Front",'Size Parameters'!I$5,'Size Parameters'!J$3)))</f>
        <v>30</v>
      </c>
      <c r="U53" s="30">
        <f>IF(B53="Slab Drawer Front",0,C53)</f>
        <v>0</v>
      </c>
      <c r="V53" s="10">
        <f>IF(B53="Slab Drawer Front",0,(MROUND(IF(U53&gt;0,(IF($J$5="Inches",D53+#REF!,(D53+#REF!)/25.4)),0),1/16)))</f>
        <v>0</v>
      </c>
      <c r="W53" s="10">
        <f>IF(B53="Slab Drawer Front",0,(MROUND(IF(U53&gt;0,(IF($J$5="Inches",E53+#REF!,(E53+#REF!)/25.4)),0),1/16)))</f>
        <v>0</v>
      </c>
      <c r="X53" s="10">
        <f>IF(B53="Slab Drawer Front",0,(MROUND(IF(F53&lt;&gt;"",0,IF(U53&gt;0,IF($J$5="Inches",D53-AC53,(D53-AD53)/25.4),0)),1/16)))</f>
        <v>0</v>
      </c>
      <c r="Y53" s="10">
        <f>MROUND(IF(B53="Slab Drawer Front",0,IF(F53&lt;&gt;"",0,IF(U53&gt;0,IF($J$5="Inches",((E53-AC53)-(AL53*AA$5))/AM53,(((E53-AD53)-((AL53)*AA$6))/25.4)/AM53),0))),1/16)</f>
        <v>0</v>
      </c>
      <c r="Z53" s="10">
        <f>(IF(G53="",1,G53))*C53</f>
        <v>0</v>
      </c>
      <c r="AA53" s="48">
        <f t="shared" si="2"/>
        <v>0</v>
      </c>
      <c r="AB53" s="48" t="e">
        <f>MROUND(IF(J$5="Inches",D53-$AB$3,(D53/25.4)-$AB$3),1/16)</f>
        <v>#NUM!</v>
      </c>
      <c r="AC53" s="10">
        <f>IF(ISNA(VLOOKUP($J$4,Finishes!$C$3:$D$107,2,FALSE)),3.625,VLOOKUP($J$4,Finishes!$C$3:$D$107,2,FALSE))</f>
        <v>3.5625</v>
      </c>
      <c r="AD53" s="10">
        <f>IF(ISNA(VLOOKUP($J$4,Finishes!$C$3:$E$107,3,FALSE)),92.08,VLOOKUP($J$4,Finishes!$C$3:$E$107,3,FALSE))</f>
        <v>90.49</v>
      </c>
      <c r="AE53" s="10">
        <f>MROUND(IF(F53="",0,IF(U53&gt;0,IF($J$5="Inches",D53-AC53-AE$5,(D53-AD53-AF$5)/25.4),0)),1/16)</f>
        <v>0</v>
      </c>
      <c r="AF53" s="10">
        <f>MROUND(IF(B53="Slab Drawer Front",0,IF(F53&lt;&gt;"",IF(U53&gt;0,IF($J$5="Inches",(((E53-AC53)-((AM53-1)*AA$5))/AM53)-AE$5,(((E53-AD53-AF$5)-((AM53-1)*AA$6))/25.4)/AM53),0),0)),1/16)</f>
        <v>0</v>
      </c>
      <c r="AG53" s="31">
        <f>F53</f>
        <v>0</v>
      </c>
      <c r="AH53" s="42">
        <f>IFERROR((_xlfn.XLOOKUP(AG53,DATA!$J$3:$J$6,DATA!$K$3:$K$6)*J53*AH$5),0)</f>
        <v>0</v>
      </c>
      <c r="AI53" s="31">
        <f>IF(B53="Slab Drawer Front",C53,0)</f>
        <v>0</v>
      </c>
      <c r="AJ53" s="10">
        <f>IF(B53="Slab Drawer Front",(MROUND(IF(AI53&gt;0,IF($J$5="Inches",D53,D53/25.4),0),1/16)),0)</f>
        <v>0</v>
      </c>
      <c r="AK53" s="10">
        <f>IF(B53="Slab Drawer Front",(MROUND(IF(AI53&gt;0,IF($J$5="Inches",E53,E53/25.4),0),1/16)),0)</f>
        <v>0</v>
      </c>
      <c r="AL53" s="10">
        <f>IF(G53="",0,G53-1)</f>
        <v>0</v>
      </c>
      <c r="AM53" s="10">
        <f>IF(G53="",1,G53)</f>
        <v>1</v>
      </c>
      <c r="AN53" s="48">
        <f>AA53*DATA!N$8</f>
        <v>0</v>
      </c>
    </row>
    <row r="54" spans="1:40" x14ac:dyDescent="0.2">
      <c r="A54" s="1">
        <v>45</v>
      </c>
      <c r="B54" s="35"/>
      <c r="C54" s="36"/>
      <c r="D54" s="37"/>
      <c r="E54" s="37"/>
      <c r="F54" s="38"/>
      <c r="G54" s="38"/>
      <c r="H54" s="38"/>
      <c r="I54" s="38"/>
      <c r="J54" s="28" t="str">
        <f t="shared" si="4"/>
        <v/>
      </c>
      <c r="K54" s="29" t="str">
        <f>IF(J54="","",J54*(_xlfn.XLOOKUP(J$4,Finishes!C$3:C$50,Finishes!I$3:I$50))+(IF(OR(B54="Drawer Front",B54="Slab Drawer Front"),DATA!F$2,0)+AH54+AN54))</f>
        <v/>
      </c>
      <c r="L54" s="29" t="str">
        <f t="shared" si="5"/>
        <v/>
      </c>
      <c r="M54" s="10">
        <f>IF(J$5="Inches",IF(B54="Slab Drawer Front",'Size Parameters'!C$5,'Size Parameters'!C$4),(IF(B54="Slab Drawer Front",'Size Parameters'!H$5,'Size Parameters'!H$4)))</f>
        <v>5.5</v>
      </c>
      <c r="N54" s="10">
        <f>IF(J$5="Inches",IF(COUNTIF(B54,"*Door*"),'Size Parameters'!B$4,'Size Parameters'!B$3),IF(COUNTIF(B54,"*Door*"),'Size Parameters'!G$4,'Size Parameters'!G$3))</f>
        <v>48</v>
      </c>
      <c r="O54" s="10">
        <f>IF(J$5="Inches",IF(B54="Slab Drawer Front",'Size Parameters'!E$5,'Size Parameters'!E$3),(IF(B54="Slab Drawer Front",'Size Parameters'!J$5,'Size Parameters'!J$3)))</f>
        <v>5.5</v>
      </c>
      <c r="P54" s="10">
        <f>IF(J$5="Inches",IF(COUNTIF(B54,"*Door*"),'Size Parameters'!D$4,IF(B54="Slab Drawer Front",'Size Parameters'!D$5,'Size Parameters'!D$3)),IF(COUNTIF(B54,"*Door*"),'Size Parameters'!I$4,IF(B54="Slab Drawer Front",'Size Parameters'!I$5,'Size Parameters'!J$3)))</f>
        <v>30</v>
      </c>
      <c r="U54" s="30">
        <f>IF(B54="Slab Drawer Front",0,C54)</f>
        <v>0</v>
      </c>
      <c r="V54" s="10">
        <f>IF(B54="Slab Drawer Front",0,(MROUND(IF(U54&gt;0,(IF($J$5="Inches",D54+#REF!,(D54+#REF!)/25.4)),0),1/16)))</f>
        <v>0</v>
      </c>
      <c r="W54" s="10">
        <f>IF(B54="Slab Drawer Front",0,(MROUND(IF(U54&gt;0,(IF($J$5="Inches",E54+#REF!,(E54+#REF!)/25.4)),0),1/16)))</f>
        <v>0</v>
      </c>
      <c r="X54" s="10">
        <f>IF(B54="Slab Drawer Front",0,(MROUND(IF(F54&lt;&gt;"",0,IF(U54&gt;0,IF($J$5="Inches",D54-AC54,(D54-AD54)/25.4),0)),1/16)))</f>
        <v>0</v>
      </c>
      <c r="Y54" s="10">
        <f>MROUND(IF(B54="Slab Drawer Front",0,IF(F54&lt;&gt;"",0,IF(U54&gt;0,IF($J$5="Inches",((E54-AC54)-(AL54*AA$5))/AM54,(((E54-AD54)-((AL54)*AA$6))/25.4)/AM54),0))),1/16)</f>
        <v>0</v>
      </c>
      <c r="Z54" s="10">
        <f>(IF(G54="",1,G54))*C54</f>
        <v>0</v>
      </c>
      <c r="AA54" s="48">
        <f t="shared" si="2"/>
        <v>0</v>
      </c>
      <c r="AB54" s="48" t="e">
        <f>MROUND(IF(J$5="Inches",D54-$AB$3,(D54/25.4)-$AB$3),1/16)</f>
        <v>#NUM!</v>
      </c>
      <c r="AC54" s="10">
        <f>IF(ISNA(VLOOKUP($J$4,Finishes!$C$3:$D$107,2,FALSE)),3.625,VLOOKUP($J$4,Finishes!$C$3:$D$107,2,FALSE))</f>
        <v>3.5625</v>
      </c>
      <c r="AD54" s="10">
        <f>IF(ISNA(VLOOKUP($J$4,Finishes!$C$3:$E$107,3,FALSE)),92.08,VLOOKUP($J$4,Finishes!$C$3:$E$107,3,FALSE))</f>
        <v>90.49</v>
      </c>
      <c r="AE54" s="10">
        <f>MROUND(IF(F54="",0,IF(U54&gt;0,IF($J$5="Inches",D54-AC54-AE$5,(D54-AD54-AF$5)/25.4),0)),1/16)</f>
        <v>0</v>
      </c>
      <c r="AF54" s="10">
        <f>MROUND(IF(B54="Slab Drawer Front",0,IF(F54&lt;&gt;"",IF(U54&gt;0,IF($J$5="Inches",(((E54-AC54)-((AM54-1)*AA$5))/AM54)-AE$5,(((E54-AD54-AF$5)-((AM54-1)*AA$6))/25.4)/AM54),0),0)),1/16)</f>
        <v>0</v>
      </c>
      <c r="AG54" s="31">
        <f>F54</f>
        <v>0</v>
      </c>
      <c r="AH54" s="42">
        <f>IFERROR((_xlfn.XLOOKUP(AG54,DATA!$J$3:$J$6,DATA!$K$3:$K$6)*J54*AH$5),0)</f>
        <v>0</v>
      </c>
      <c r="AI54" s="31">
        <f>IF(B54="Slab Drawer Front",C54,0)</f>
        <v>0</v>
      </c>
      <c r="AJ54" s="10">
        <f>IF(B54="Slab Drawer Front",(MROUND(IF(AI54&gt;0,IF($J$5="Inches",D54,D54/25.4),0),1/16)),0)</f>
        <v>0</v>
      </c>
      <c r="AK54" s="10">
        <f>IF(B54="Slab Drawer Front",(MROUND(IF(AI54&gt;0,IF($J$5="Inches",E54,E54/25.4),0),1/16)),0)</f>
        <v>0</v>
      </c>
      <c r="AL54" s="10">
        <f>IF(G54="",0,G54-1)</f>
        <v>0</v>
      </c>
      <c r="AM54" s="10">
        <f>IF(G54="",1,G54)</f>
        <v>1</v>
      </c>
      <c r="AN54" s="48">
        <f>AA54*DATA!N$8</f>
        <v>0</v>
      </c>
    </row>
    <row r="55" spans="1:40" x14ac:dyDescent="0.2">
      <c r="A55" s="1">
        <v>46</v>
      </c>
      <c r="B55" s="35"/>
      <c r="C55" s="36"/>
      <c r="D55" s="37"/>
      <c r="E55" s="37"/>
      <c r="F55" s="38"/>
      <c r="G55" s="38"/>
      <c r="H55" s="38"/>
      <c r="I55" s="38"/>
      <c r="J55" s="28" t="str">
        <f t="shared" si="4"/>
        <v/>
      </c>
      <c r="K55" s="29" t="str">
        <f>IF(J55="","",J55*(_xlfn.XLOOKUP(J$4,Finishes!C$3:C$50,Finishes!I$3:I$50))+(IF(OR(B55="Drawer Front",B55="Slab Drawer Front"),DATA!F$2,0)+AH55+AN55))</f>
        <v/>
      </c>
      <c r="L55" s="29" t="str">
        <f t="shared" si="5"/>
        <v/>
      </c>
      <c r="M55" s="10">
        <f>IF(J$5="Inches",IF(B55="Slab Drawer Front",'Size Parameters'!C$5,'Size Parameters'!C$4),(IF(B55="Slab Drawer Front",'Size Parameters'!H$5,'Size Parameters'!H$4)))</f>
        <v>5.5</v>
      </c>
      <c r="N55" s="10">
        <f>IF(J$5="Inches",IF(COUNTIF(B55,"*Door*"),'Size Parameters'!B$4,'Size Parameters'!B$3),IF(COUNTIF(B55,"*Door*"),'Size Parameters'!G$4,'Size Parameters'!G$3))</f>
        <v>48</v>
      </c>
      <c r="O55" s="10">
        <f>IF(J$5="Inches",IF(B55="Slab Drawer Front",'Size Parameters'!E$5,'Size Parameters'!E$3),(IF(B55="Slab Drawer Front",'Size Parameters'!J$5,'Size Parameters'!J$3)))</f>
        <v>5.5</v>
      </c>
      <c r="P55" s="10">
        <f>IF(J$5="Inches",IF(COUNTIF(B55,"*Door*"),'Size Parameters'!D$4,IF(B55="Slab Drawer Front",'Size Parameters'!D$5,'Size Parameters'!D$3)),IF(COUNTIF(B55,"*Door*"),'Size Parameters'!I$4,IF(B55="Slab Drawer Front",'Size Parameters'!I$5,'Size Parameters'!J$3)))</f>
        <v>30</v>
      </c>
      <c r="U55" s="30">
        <f>IF(B55="Slab Drawer Front",0,C55)</f>
        <v>0</v>
      </c>
      <c r="V55" s="10">
        <f>IF(B55="Slab Drawer Front",0,(MROUND(IF(U55&gt;0,(IF($J$5="Inches",D55+#REF!,(D55+#REF!)/25.4)),0),1/16)))</f>
        <v>0</v>
      </c>
      <c r="W55" s="10">
        <f>IF(B55="Slab Drawer Front",0,(MROUND(IF(U55&gt;0,(IF($J$5="Inches",E55+#REF!,(E55+#REF!)/25.4)),0),1/16)))</f>
        <v>0</v>
      </c>
      <c r="X55" s="10">
        <f>IF(B55="Slab Drawer Front",0,(MROUND(IF(F55&lt;&gt;"",0,IF(U55&gt;0,IF($J$5="Inches",D55-AC55,(D55-AD55)/25.4),0)),1/16)))</f>
        <v>0</v>
      </c>
      <c r="Y55" s="10">
        <f>MROUND(IF(B55="Slab Drawer Front",0,IF(F55&lt;&gt;"",0,IF(U55&gt;0,IF($J$5="Inches",((E55-AC55)-(AL55*AA$5))/AM55,(((E55-AD55)-((AL55)*AA$6))/25.4)/AM55),0))),1/16)</f>
        <v>0</v>
      </c>
      <c r="Z55" s="10">
        <f>(IF(G55="",1,G55))*C55</f>
        <v>0</v>
      </c>
      <c r="AA55" s="48">
        <f t="shared" si="2"/>
        <v>0</v>
      </c>
      <c r="AB55" s="48" t="e">
        <f>MROUND(IF(J$5="Inches",D55-$AB$3,(D55/25.4)-$AB$3),1/16)</f>
        <v>#NUM!</v>
      </c>
      <c r="AC55" s="10">
        <f>IF(ISNA(VLOOKUP($J$4,Finishes!$C$3:$D$107,2,FALSE)),3.625,VLOOKUP($J$4,Finishes!$C$3:$D$107,2,FALSE))</f>
        <v>3.5625</v>
      </c>
      <c r="AD55" s="10">
        <f>IF(ISNA(VLOOKUP($J$4,Finishes!$C$3:$E$107,3,FALSE)),92.08,VLOOKUP($J$4,Finishes!$C$3:$E$107,3,FALSE))</f>
        <v>90.49</v>
      </c>
      <c r="AE55" s="10">
        <f>MROUND(IF(F55="",0,IF(U55&gt;0,IF($J$5="Inches",D55-AC55-AE$5,(D55-AD55-AF$5)/25.4),0)),1/16)</f>
        <v>0</v>
      </c>
      <c r="AF55" s="10">
        <f>MROUND(IF(B55="Slab Drawer Front",0,IF(F55&lt;&gt;"",IF(U55&gt;0,IF($J$5="Inches",(((E55-AC55)-((AM55-1)*AA$5))/AM55)-AE$5,(((E55-AD55-AF$5)-((AM55-1)*AA$6))/25.4)/AM55),0),0)),1/16)</f>
        <v>0</v>
      </c>
      <c r="AG55" s="31">
        <f>F55</f>
        <v>0</v>
      </c>
      <c r="AH55" s="42">
        <f>IFERROR((_xlfn.XLOOKUP(AG55,DATA!$J$3:$J$6,DATA!$K$3:$K$6)*J55*AH$5),0)</f>
        <v>0</v>
      </c>
      <c r="AI55" s="31">
        <f>IF(B55="Slab Drawer Front",C55,0)</f>
        <v>0</v>
      </c>
      <c r="AJ55" s="10">
        <f>IF(B55="Slab Drawer Front",(MROUND(IF(AI55&gt;0,IF($J$5="Inches",D55,D55/25.4),0),1/16)),0)</f>
        <v>0</v>
      </c>
      <c r="AK55" s="10">
        <f>IF(B55="Slab Drawer Front",(MROUND(IF(AI55&gt;0,IF($J$5="Inches",E55,E55/25.4),0),1/16)),0)</f>
        <v>0</v>
      </c>
      <c r="AL55" s="10">
        <f>IF(G55="",0,G55-1)</f>
        <v>0</v>
      </c>
      <c r="AM55" s="10">
        <f>IF(G55="",1,G55)</f>
        <v>1</v>
      </c>
      <c r="AN55" s="48">
        <f>AA55*DATA!N$8</f>
        <v>0</v>
      </c>
    </row>
    <row r="56" spans="1:40" x14ac:dyDescent="0.2">
      <c r="A56" s="1">
        <v>47</v>
      </c>
      <c r="B56" s="35"/>
      <c r="C56" s="36"/>
      <c r="D56" s="37"/>
      <c r="E56" s="37"/>
      <c r="F56" s="38"/>
      <c r="G56" s="38"/>
      <c r="H56" s="38"/>
      <c r="I56" s="38"/>
      <c r="J56" s="28" t="str">
        <f t="shared" si="4"/>
        <v/>
      </c>
      <c r="K56" s="29" t="str">
        <f>IF(J56="","",J56*(_xlfn.XLOOKUP(J$4,Finishes!C$3:C$50,Finishes!I$3:I$50))+(IF(OR(B56="Drawer Front",B56="Slab Drawer Front"),DATA!F$2,0)+AH56+AN56))</f>
        <v/>
      </c>
      <c r="L56" s="29" t="str">
        <f t="shared" si="5"/>
        <v/>
      </c>
      <c r="M56" s="10">
        <f>IF(J$5="Inches",IF(B56="Slab Drawer Front",'Size Parameters'!C$5,'Size Parameters'!C$4),(IF(B56="Slab Drawer Front",'Size Parameters'!H$5,'Size Parameters'!H$4)))</f>
        <v>5.5</v>
      </c>
      <c r="N56" s="10">
        <f>IF(J$5="Inches",IF(COUNTIF(B56,"*Door*"),'Size Parameters'!B$4,'Size Parameters'!B$3),IF(COUNTIF(B56,"*Door*"),'Size Parameters'!G$4,'Size Parameters'!G$3))</f>
        <v>48</v>
      </c>
      <c r="O56" s="10">
        <f>IF(J$5="Inches",IF(B56="Slab Drawer Front",'Size Parameters'!E$5,'Size Parameters'!E$3),(IF(B56="Slab Drawer Front",'Size Parameters'!J$5,'Size Parameters'!J$3)))</f>
        <v>5.5</v>
      </c>
      <c r="P56" s="10">
        <f>IF(J$5="Inches",IF(COUNTIF(B56,"*Door*"),'Size Parameters'!D$4,IF(B56="Slab Drawer Front",'Size Parameters'!D$5,'Size Parameters'!D$3)),IF(COUNTIF(B56,"*Door*"),'Size Parameters'!I$4,IF(B56="Slab Drawer Front",'Size Parameters'!I$5,'Size Parameters'!J$3)))</f>
        <v>30</v>
      </c>
      <c r="U56" s="30">
        <f>IF(B56="Slab Drawer Front",0,C56)</f>
        <v>0</v>
      </c>
      <c r="V56" s="10">
        <f>IF(B56="Slab Drawer Front",0,(MROUND(IF(U56&gt;0,(IF($J$5="Inches",D56+#REF!,(D56+#REF!)/25.4)),0),1/16)))</f>
        <v>0</v>
      </c>
      <c r="W56" s="10">
        <f>IF(B56="Slab Drawer Front",0,(MROUND(IF(U56&gt;0,(IF($J$5="Inches",E56+#REF!,(E56+#REF!)/25.4)),0),1/16)))</f>
        <v>0</v>
      </c>
      <c r="X56" s="10">
        <f>IF(B56="Slab Drawer Front",0,(MROUND(IF(F56&lt;&gt;"",0,IF(U56&gt;0,IF($J$5="Inches",D56-AC56,(D56-AD56)/25.4),0)),1/16)))</f>
        <v>0</v>
      </c>
      <c r="Y56" s="10">
        <f>MROUND(IF(B56="Slab Drawer Front",0,IF(F56&lt;&gt;"",0,IF(U56&gt;0,IF($J$5="Inches",((E56-AC56)-(AL56*AA$5))/AM56,(((E56-AD56)-((AL56)*AA$6))/25.4)/AM56),0))),1/16)</f>
        <v>0</v>
      </c>
      <c r="Z56" s="10">
        <f>(IF(G56="",1,G56))*C56</f>
        <v>0</v>
      </c>
      <c r="AA56" s="48">
        <f t="shared" si="2"/>
        <v>0</v>
      </c>
      <c r="AB56" s="48" t="e">
        <f>MROUND(IF(J$5="Inches",D56-$AB$3,(D56/25.4)-$AB$3),1/16)</f>
        <v>#NUM!</v>
      </c>
      <c r="AC56" s="10">
        <f>IF(ISNA(VLOOKUP($J$4,Finishes!$C$3:$D$107,2,FALSE)),3.625,VLOOKUP($J$4,Finishes!$C$3:$D$107,2,FALSE))</f>
        <v>3.5625</v>
      </c>
      <c r="AD56" s="10">
        <f>IF(ISNA(VLOOKUP($J$4,Finishes!$C$3:$E$107,3,FALSE)),92.08,VLOOKUP($J$4,Finishes!$C$3:$E$107,3,FALSE))</f>
        <v>90.49</v>
      </c>
      <c r="AE56" s="10">
        <f>MROUND(IF(F56="",0,IF(U56&gt;0,IF($J$5="Inches",D56-AC56-AE$5,(D56-AD56-AF$5)/25.4),0)),1/16)</f>
        <v>0</v>
      </c>
      <c r="AF56" s="10">
        <f>MROUND(IF(B56="Slab Drawer Front",0,IF(F56&lt;&gt;"",IF(U56&gt;0,IF($J$5="Inches",(((E56-AC56)-((AM56-1)*AA$5))/AM56)-AE$5,(((E56-AD56-AF$5)-((AM56-1)*AA$6))/25.4)/AM56),0),0)),1/16)</f>
        <v>0</v>
      </c>
      <c r="AG56" s="31">
        <f>F56</f>
        <v>0</v>
      </c>
      <c r="AH56" s="42">
        <f>IFERROR((_xlfn.XLOOKUP(AG56,DATA!$J$3:$J$6,DATA!$K$3:$K$6)*J56*AH$5),0)</f>
        <v>0</v>
      </c>
      <c r="AI56" s="31">
        <f>IF(B56="Slab Drawer Front",C56,0)</f>
        <v>0</v>
      </c>
      <c r="AJ56" s="10">
        <f>IF(B56="Slab Drawer Front",(MROUND(IF(AI56&gt;0,IF($J$5="Inches",D56,D56/25.4),0),1/16)),0)</f>
        <v>0</v>
      </c>
      <c r="AK56" s="10">
        <f>IF(B56="Slab Drawer Front",(MROUND(IF(AI56&gt;0,IF($J$5="Inches",E56,E56/25.4),0),1/16)),0)</f>
        <v>0</v>
      </c>
      <c r="AL56" s="10">
        <f>IF(G56="",0,G56-1)</f>
        <v>0</v>
      </c>
      <c r="AM56" s="10">
        <f>IF(G56="",1,G56)</f>
        <v>1</v>
      </c>
      <c r="AN56" s="48">
        <f>AA56*DATA!N$8</f>
        <v>0</v>
      </c>
    </row>
    <row r="57" spans="1:40" x14ac:dyDescent="0.2">
      <c r="K57" s="33" t="s">
        <v>65</v>
      </c>
      <c r="L57" s="34">
        <f>SUM(L10:L56)</f>
        <v>0</v>
      </c>
    </row>
    <row r="58" spans="1:40" x14ac:dyDescent="0.2">
      <c r="I58" s="11" t="s">
        <v>66</v>
      </c>
      <c r="J58" s="39" t="s">
        <v>186</v>
      </c>
      <c r="K58" s="33" t="s">
        <v>67</v>
      </c>
      <c r="L58" s="33">
        <f>IF(J58="Y",L57*0.08375,0)</f>
        <v>0</v>
      </c>
    </row>
    <row r="59" spans="1:40" x14ac:dyDescent="0.2">
      <c r="K59" s="33" t="s">
        <v>68</v>
      </c>
      <c r="L59" s="33">
        <f>L57+L58</f>
        <v>0</v>
      </c>
    </row>
  </sheetData>
  <sheetProtection selectLockedCells="1"/>
  <mergeCells count="33">
    <mergeCell ref="C6:G6"/>
    <mergeCell ref="H6:I6"/>
    <mergeCell ref="J2:L2"/>
    <mergeCell ref="J4:L4"/>
    <mergeCell ref="J5:L5"/>
    <mergeCell ref="J6:L6"/>
    <mergeCell ref="C1:G1"/>
    <mergeCell ref="C2:G2"/>
    <mergeCell ref="C3:G3"/>
    <mergeCell ref="C4:G4"/>
    <mergeCell ref="C5:G5"/>
    <mergeCell ref="A6:B6"/>
    <mergeCell ref="A1:B1"/>
    <mergeCell ref="A2:B2"/>
    <mergeCell ref="A3:B3"/>
    <mergeCell ref="A5:B5"/>
    <mergeCell ref="J8:J9"/>
    <mergeCell ref="A8:A9"/>
    <mergeCell ref="C8:C9"/>
    <mergeCell ref="L8:L9"/>
    <mergeCell ref="K8:K9"/>
    <mergeCell ref="F8:F9"/>
    <mergeCell ref="H8:H9"/>
    <mergeCell ref="I8:I9"/>
    <mergeCell ref="B8:B9"/>
    <mergeCell ref="G8:G9"/>
    <mergeCell ref="AQ5:AS6"/>
    <mergeCell ref="K1:L1"/>
    <mergeCell ref="H2:I2"/>
    <mergeCell ref="H3:I3"/>
    <mergeCell ref="H4:I4"/>
    <mergeCell ref="H5:I5"/>
    <mergeCell ref="J3:L3"/>
  </mergeCells>
  <conditionalFormatting sqref="D10:E56">
    <cfRule type="expression" dxfId="1" priority="3">
      <formula>$J$5="MM"</formula>
    </cfRule>
  </conditionalFormatting>
  <conditionalFormatting sqref="AQ5 AT5">
    <cfRule type="expression" dxfId="0" priority="1">
      <formula>AS4=TRUE</formula>
    </cfRule>
  </conditionalFormatting>
  <dataValidations count="9">
    <dataValidation operator="greaterThanOrEqual" allowBlank="1" showInputMessage="1" showErrorMessage="1" errorTitle="Size" error="Minimum Size is 7&quot;" sqref="I10:I56" xr:uid="{366122FB-29DD-42AC-9B3B-1D2AE6E08A03}"/>
    <dataValidation type="list" allowBlank="1" showInputMessage="1" showErrorMessage="1" sqref="J5" xr:uid="{F8DC8441-3E5F-4C2E-9C27-9E3A6925FF15}">
      <formula1>"Inches, MM"</formula1>
    </dataValidation>
    <dataValidation type="list" operator="greaterThanOrEqual" allowBlank="1" showInputMessage="1" showErrorMessage="1" errorTitle="Size" error="Minimum Size is 7&quot;" sqref="H21:H56" xr:uid="{017100EB-7418-4778-874C-8D4FFB646546}">
      <formula1>"--,Yes"</formula1>
    </dataValidation>
    <dataValidation type="list" allowBlank="1" showInputMessage="1" showErrorMessage="1" sqref="J6" xr:uid="{CD817533-7D6E-4B0C-87C4-55CFBF8EFB41}">
      <formula1>"Quote, Order"</formula1>
    </dataValidation>
    <dataValidation type="list" allowBlank="1" showInputMessage="1" showErrorMessage="1" sqref="J58" xr:uid="{6B6E4866-3DD0-40F4-8388-82D3176DA3D8}">
      <formula1>"Y, N"</formula1>
    </dataValidation>
    <dataValidation type="list" allowBlank="1" showInputMessage="1" showErrorMessage="1" sqref="J3:L3" xr:uid="{437EB50F-5484-4CC8-924A-A2FEA338C0DD}">
      <formula1>Manufacturers</formula1>
    </dataValidation>
    <dataValidation type="list" allowBlank="1" showInputMessage="1" sqref="J4:L4" xr:uid="{51E77D09-9410-470D-8BE9-A7D9715FD3AA}">
      <formula1>INDIRECT(J3)</formula1>
    </dataValidation>
    <dataValidation type="decimal" allowBlank="1" showInputMessage="1" showErrorMessage="1" errorTitle="Size" error="Shaker Door Width must be between 6&quot;(152.4mm) and 30&quot;(762mm)._x000a_Shaker Drawer Front Width must be between 6&quot;(152.4mm) and 48&quot;(1219.2mm)._x000a_Slab Drawer Front Width must be between 3&quot;(76.2mm) and 48&quot;(1219.2mm)._x000a_" sqref="D10:D56" xr:uid="{E2BEFB31-9018-434A-AA37-BCF0A59F8B46}">
      <formula1>M10</formula1>
      <formula2>N10</formula2>
    </dataValidation>
    <dataValidation type="decimal" allowBlank="1" showInputMessage="1" showErrorMessage="1" error="Shaker Door Height  must be between 6&quot;(152.4mm) and 60&quot;(1524mm)._x000a_Shaker Drawer Front Height must be between 6&quot;(152.4mm) and 60&quot;(1524mm)._x000a_Slab Drawer Front Height must be between 3&quot;(76.2mm) and 96&quot;(2438.4mm)._x000a_" sqref="E10:E56" xr:uid="{C527492B-A6DA-4171-8B81-2571D4D96B16}">
      <formula1>O10</formula1>
      <formula2>P10</formula2>
    </dataValidation>
  </dataValidations>
  <pageMargins left="0.25" right="0.25" top="0.75" bottom="0.75" header="0.3" footer="0.3"/>
  <pageSetup scale="13" orientation="portrait" horizontalDpi="1200" verticalDpi="1200" r:id="rId1"/>
  <headerFooter>
    <oddHeader>&amp;C&amp;G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greaterThanOrEqual" showInputMessage="1" showErrorMessage="1" errorTitle="Size" error="Minimum Size is 7&quot;" xr:uid="{ABF8FAEA-BECF-4BC7-BD00-6BCEE3E4A714}">
          <x14:formula1>
            <xm:f>DATA!$J$2:$J$6</xm:f>
          </x14:formula1>
          <xm:sqref>F10:F56</xm:sqref>
        </x14:dataValidation>
        <x14:dataValidation type="list" allowBlank="1" showInputMessage="1" showErrorMessage="1" xr:uid="{52CDEE21-2814-4ABC-8362-8F965EA6736F}">
          <x14:formula1>
            <xm:f>#REF!</xm:f>
          </x14:formula1>
          <xm:sqref>B10:B56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8B2F-BE1F-4931-BF2A-CFF3AD71CC7A}">
  <sheetPr codeName="Sheet12"/>
  <dimension ref="A1:J39"/>
  <sheetViews>
    <sheetView workbookViewId="0">
      <selection activeCell="E34" sqref="E34"/>
    </sheetView>
  </sheetViews>
  <sheetFormatPr baseColWidth="10" defaultColWidth="8.83203125" defaultRowHeight="15" x14ac:dyDescent="0.2"/>
  <cols>
    <col min="1" max="1" width="15.33203125" bestFit="1" customWidth="1"/>
    <col min="2" max="2" width="10.5" bestFit="1" customWidth="1"/>
    <col min="3" max="3" width="10.33203125" bestFit="1" customWidth="1"/>
    <col min="4" max="4" width="11" bestFit="1" customWidth="1"/>
    <col min="5" max="5" width="10.6640625" bestFit="1" customWidth="1"/>
    <col min="9" max="9" width="11" bestFit="1" customWidth="1"/>
    <col min="10" max="10" width="10.6640625" bestFit="1" customWidth="1"/>
  </cols>
  <sheetData>
    <row r="1" spans="1:10" x14ac:dyDescent="0.2">
      <c r="A1" t="s">
        <v>78</v>
      </c>
      <c r="B1" t="s">
        <v>24</v>
      </c>
      <c r="G1" t="s">
        <v>25</v>
      </c>
    </row>
    <row r="2" spans="1:10" x14ac:dyDescent="0.2">
      <c r="B2" t="s">
        <v>79</v>
      </c>
      <c r="C2" t="s">
        <v>80</v>
      </c>
      <c r="D2" t="s">
        <v>81</v>
      </c>
      <c r="E2" t="s">
        <v>82</v>
      </c>
      <c r="G2" t="s">
        <v>79</v>
      </c>
      <c r="H2" t="s">
        <v>80</v>
      </c>
      <c r="I2" t="s">
        <v>81</v>
      </c>
      <c r="J2" t="s">
        <v>82</v>
      </c>
    </row>
    <row r="3" spans="1:10" x14ac:dyDescent="0.2">
      <c r="A3" t="s">
        <v>83</v>
      </c>
      <c r="B3">
        <v>48</v>
      </c>
      <c r="C3">
        <v>5.5</v>
      </c>
      <c r="D3">
        <v>30</v>
      </c>
      <c r="E3">
        <v>5.5</v>
      </c>
      <c r="G3">
        <f>B3*25.4</f>
        <v>1219.1999999999998</v>
      </c>
      <c r="H3">
        <f>C3*25.4</f>
        <v>139.69999999999999</v>
      </c>
      <c r="I3">
        <f t="shared" ref="I3:J3" si="0">D3*25.4</f>
        <v>762</v>
      </c>
      <c r="J3">
        <f t="shared" si="0"/>
        <v>139.69999999999999</v>
      </c>
    </row>
    <row r="4" spans="1:10" x14ac:dyDescent="0.2">
      <c r="A4" t="s">
        <v>84</v>
      </c>
      <c r="B4">
        <v>48</v>
      </c>
      <c r="C4">
        <v>5.5</v>
      </c>
      <c r="D4">
        <v>102</v>
      </c>
      <c r="E4">
        <v>5.5</v>
      </c>
      <c r="G4">
        <f>B4*25.4</f>
        <v>1219.1999999999998</v>
      </c>
      <c r="H4">
        <f t="shared" ref="H4:H5" si="1">C4*25.4</f>
        <v>139.69999999999999</v>
      </c>
      <c r="I4">
        <f t="shared" ref="I4:I5" si="2">D4*25.4</f>
        <v>2590.7999999999997</v>
      </c>
      <c r="J4">
        <f t="shared" ref="J4:J5" si="3">E4*25.4</f>
        <v>139.69999999999999</v>
      </c>
    </row>
    <row r="5" spans="1:10" x14ac:dyDescent="0.2">
      <c r="A5" t="s">
        <v>85</v>
      </c>
      <c r="B5">
        <v>48</v>
      </c>
      <c r="C5">
        <v>3</v>
      </c>
      <c r="D5">
        <v>96</v>
      </c>
      <c r="E5">
        <v>3</v>
      </c>
      <c r="G5">
        <f t="shared" ref="G5" si="4">B5*25.4</f>
        <v>1219.1999999999998</v>
      </c>
      <c r="H5">
        <f t="shared" si="1"/>
        <v>76.199999999999989</v>
      </c>
      <c r="I5">
        <f t="shared" si="2"/>
        <v>2438.3999999999996</v>
      </c>
      <c r="J5">
        <f t="shared" si="3"/>
        <v>76.199999999999989</v>
      </c>
    </row>
    <row r="11" spans="1:10" x14ac:dyDescent="0.2">
      <c r="A11" t="s">
        <v>180</v>
      </c>
      <c r="B11" t="s">
        <v>24</v>
      </c>
      <c r="G11" t="s">
        <v>25</v>
      </c>
    </row>
    <row r="12" spans="1:10" x14ac:dyDescent="0.2">
      <c r="B12" t="s">
        <v>79</v>
      </c>
      <c r="C12" t="s">
        <v>80</v>
      </c>
      <c r="D12" t="s">
        <v>81</v>
      </c>
      <c r="E12" t="s">
        <v>82</v>
      </c>
      <c r="G12" t="s">
        <v>79</v>
      </c>
      <c r="H12" t="s">
        <v>80</v>
      </c>
      <c r="I12" t="s">
        <v>81</v>
      </c>
      <c r="J12" t="s">
        <v>82</v>
      </c>
    </row>
    <row r="14" spans="1:10" x14ac:dyDescent="0.2">
      <c r="A14" t="s">
        <v>152</v>
      </c>
      <c r="B14">
        <v>48</v>
      </c>
      <c r="C14">
        <v>2</v>
      </c>
      <c r="D14">
        <v>96</v>
      </c>
      <c r="E14">
        <v>2</v>
      </c>
      <c r="G14">
        <v>1219.1999999999998</v>
      </c>
      <c r="H14">
        <v>50.8</v>
      </c>
      <c r="I14">
        <v>2438.3999999999996</v>
      </c>
      <c r="J14">
        <v>50.8</v>
      </c>
    </row>
    <row r="15" spans="1:10" x14ac:dyDescent="0.2">
      <c r="A15" t="s">
        <v>153</v>
      </c>
      <c r="B15">
        <v>48</v>
      </c>
      <c r="C15">
        <v>2</v>
      </c>
      <c r="D15">
        <v>96</v>
      </c>
      <c r="E15">
        <v>2</v>
      </c>
      <c r="G15">
        <v>1219.1999999999998</v>
      </c>
      <c r="H15">
        <v>50.8</v>
      </c>
      <c r="I15">
        <v>2438.3999999999996</v>
      </c>
      <c r="J15">
        <v>50.8</v>
      </c>
    </row>
    <row r="16" spans="1:10" x14ac:dyDescent="0.2">
      <c r="A16" t="s">
        <v>154</v>
      </c>
      <c r="B16">
        <v>48</v>
      </c>
      <c r="C16">
        <v>2</v>
      </c>
      <c r="D16">
        <v>96</v>
      </c>
      <c r="E16">
        <v>2</v>
      </c>
      <c r="G16">
        <v>1219.1999999999998</v>
      </c>
      <c r="H16">
        <v>50.8</v>
      </c>
      <c r="I16">
        <v>2438.3999999999996</v>
      </c>
      <c r="J16">
        <v>50.8</v>
      </c>
    </row>
    <row r="17" spans="1:10" x14ac:dyDescent="0.2">
      <c r="A17" t="s">
        <v>155</v>
      </c>
      <c r="B17">
        <v>48</v>
      </c>
      <c r="C17">
        <v>2</v>
      </c>
      <c r="D17">
        <v>96</v>
      </c>
      <c r="E17">
        <v>2</v>
      </c>
      <c r="G17">
        <v>1219.1999999999998</v>
      </c>
      <c r="H17">
        <v>50.8</v>
      </c>
      <c r="I17">
        <v>2438.3999999999996</v>
      </c>
      <c r="J17">
        <v>50.8</v>
      </c>
    </row>
    <row r="18" spans="1:10" x14ac:dyDescent="0.2">
      <c r="A18" t="s">
        <v>156</v>
      </c>
    </row>
    <row r="19" spans="1:10" x14ac:dyDescent="0.2">
      <c r="A19" t="s">
        <v>157</v>
      </c>
    </row>
    <row r="20" spans="1:10" x14ac:dyDescent="0.2">
      <c r="A20" t="s">
        <v>159</v>
      </c>
    </row>
    <row r="21" spans="1:10" x14ac:dyDescent="0.2">
      <c r="A21" t="s">
        <v>161</v>
      </c>
    </row>
    <row r="22" spans="1:10" x14ac:dyDescent="0.2">
      <c r="A22" t="s">
        <v>162</v>
      </c>
    </row>
    <row r="23" spans="1:10" x14ac:dyDescent="0.2">
      <c r="A23" t="s">
        <v>163</v>
      </c>
    </row>
    <row r="24" spans="1:10" x14ac:dyDescent="0.2">
      <c r="A24" t="s">
        <v>164</v>
      </c>
    </row>
    <row r="25" spans="1:10" x14ac:dyDescent="0.2">
      <c r="A25" t="s">
        <v>165</v>
      </c>
    </row>
    <row r="26" spans="1:10" x14ac:dyDescent="0.2">
      <c r="A26" t="s">
        <v>166</v>
      </c>
    </row>
    <row r="27" spans="1:10" x14ac:dyDescent="0.2">
      <c r="A27" t="s">
        <v>167</v>
      </c>
    </row>
    <row r="28" spans="1:10" x14ac:dyDescent="0.2">
      <c r="A28" t="s">
        <v>168</v>
      </c>
    </row>
    <row r="29" spans="1:10" x14ac:dyDescent="0.2">
      <c r="A29" t="s">
        <v>169</v>
      </c>
    </row>
    <row r="30" spans="1:10" x14ac:dyDescent="0.2">
      <c r="A30" t="s">
        <v>170</v>
      </c>
    </row>
    <row r="31" spans="1:10" x14ac:dyDescent="0.2">
      <c r="A31" t="s">
        <v>171</v>
      </c>
    </row>
    <row r="32" spans="1:10" x14ac:dyDescent="0.2">
      <c r="A32" t="s">
        <v>172</v>
      </c>
    </row>
    <row r="33" spans="1:1" x14ac:dyDescent="0.2">
      <c r="A33" t="s">
        <v>173</v>
      </c>
    </row>
    <row r="34" spans="1:1" x14ac:dyDescent="0.2">
      <c r="A34" t="s">
        <v>174</v>
      </c>
    </row>
    <row r="35" spans="1:1" x14ac:dyDescent="0.2">
      <c r="A35" t="s">
        <v>175</v>
      </c>
    </row>
    <row r="36" spans="1:1" x14ac:dyDescent="0.2">
      <c r="A36" t="s">
        <v>176</v>
      </c>
    </row>
    <row r="37" spans="1:1" x14ac:dyDescent="0.2">
      <c r="A37" t="s">
        <v>177</v>
      </c>
    </row>
    <row r="38" spans="1:1" x14ac:dyDescent="0.2">
      <c r="A38" t="s">
        <v>178</v>
      </c>
    </row>
    <row r="39" spans="1:1" x14ac:dyDescent="0.2">
      <c r="A39" t="s">
        <v>179</v>
      </c>
    </row>
  </sheetData>
  <sheetProtection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6E95-92A8-4FE9-B657-032D5A4F9143}">
  <sheetPr codeName="Sheet13"/>
  <dimension ref="A1:Q107"/>
  <sheetViews>
    <sheetView workbookViewId="0">
      <selection activeCell="I7" sqref="I7"/>
    </sheetView>
  </sheetViews>
  <sheetFormatPr baseColWidth="10" defaultColWidth="8.83203125" defaultRowHeight="15" x14ac:dyDescent="0.2"/>
  <cols>
    <col min="1" max="1" width="13.1640625" bestFit="1" customWidth="1"/>
    <col min="3" max="3" width="18.83203125" style="6" bestFit="1" customWidth="1"/>
    <col min="4" max="5" width="25.83203125" bestFit="1" customWidth="1"/>
    <col min="6" max="6" width="25.83203125" customWidth="1"/>
    <col min="7" max="8" width="18.83203125" customWidth="1"/>
    <col min="9" max="9" width="11.33203125" bestFit="1" customWidth="1"/>
    <col min="10" max="10" width="24.1640625" customWidth="1"/>
    <col min="11" max="11" width="10.5" customWidth="1"/>
    <col min="12" max="12" width="9.33203125" bestFit="1" customWidth="1"/>
    <col min="13" max="13" width="18.83203125" bestFit="1" customWidth="1"/>
    <col min="14" max="14" width="25.83203125" bestFit="1" customWidth="1"/>
    <col min="15" max="15" width="23.5" bestFit="1" customWidth="1"/>
    <col min="16" max="16" width="14.83203125" bestFit="1" customWidth="1"/>
    <col min="21" max="21" width="13.5" bestFit="1" customWidth="1"/>
    <col min="22" max="22" width="25.83203125" bestFit="1" customWidth="1"/>
    <col min="23" max="23" width="23.5" bestFit="1" customWidth="1"/>
    <col min="24" max="24" width="14.83203125" bestFit="1" customWidth="1"/>
  </cols>
  <sheetData>
    <row r="1" spans="1:17" x14ac:dyDescent="0.2">
      <c r="D1" t="s">
        <v>86</v>
      </c>
      <c r="E1" t="s">
        <v>87</v>
      </c>
      <c r="F1" t="s">
        <v>236</v>
      </c>
      <c r="G1" t="s">
        <v>88</v>
      </c>
      <c r="H1" t="s">
        <v>38</v>
      </c>
      <c r="I1" t="s">
        <v>242</v>
      </c>
      <c r="J1" t="s">
        <v>89</v>
      </c>
      <c r="K1" t="s">
        <v>230</v>
      </c>
      <c r="L1" t="s">
        <v>231</v>
      </c>
    </row>
    <row r="2" spans="1:17" x14ac:dyDescent="0.2">
      <c r="A2" t="s">
        <v>90</v>
      </c>
      <c r="C2" s="6" t="s">
        <v>21</v>
      </c>
      <c r="N2" t="s">
        <v>238</v>
      </c>
      <c r="O2" t="s">
        <v>25</v>
      </c>
    </row>
    <row r="3" spans="1:17" x14ac:dyDescent="0.2">
      <c r="A3" t="s">
        <v>91</v>
      </c>
      <c r="C3" s="6" t="s">
        <v>187</v>
      </c>
      <c r="D3">
        <v>3.875</v>
      </c>
      <c r="E3">
        <v>98.424999999999997</v>
      </c>
      <c r="F3">
        <f>IF(D3=N$4,P$4,P$5)</f>
        <v>1.625</v>
      </c>
      <c r="G3">
        <v>108</v>
      </c>
      <c r="H3">
        <v>20</v>
      </c>
      <c r="I3">
        <v>20</v>
      </c>
      <c r="J3" t="s">
        <v>18</v>
      </c>
      <c r="N3" t="s">
        <v>237</v>
      </c>
      <c r="P3" t="s">
        <v>239</v>
      </c>
    </row>
    <row r="4" spans="1:17" x14ac:dyDescent="0.2">
      <c r="A4" t="s">
        <v>21</v>
      </c>
      <c r="C4" s="6" t="s">
        <v>188</v>
      </c>
      <c r="D4">
        <v>3.5625</v>
      </c>
      <c r="E4">
        <v>90.49</v>
      </c>
      <c r="F4">
        <f t="shared" ref="F4:F50" si="0">IF(D4=N$4,P$4,P$5)</f>
        <v>1.3125</v>
      </c>
      <c r="G4">
        <v>108</v>
      </c>
      <c r="H4">
        <v>20</v>
      </c>
      <c r="I4">
        <v>20</v>
      </c>
      <c r="J4" t="s">
        <v>18</v>
      </c>
      <c r="M4" t="s">
        <v>21</v>
      </c>
      <c r="N4">
        <v>3.875</v>
      </c>
      <c r="O4">
        <v>98.424999999999997</v>
      </c>
      <c r="P4">
        <v>1.625</v>
      </c>
      <c r="Q4">
        <v>41.28</v>
      </c>
    </row>
    <row r="5" spans="1:17" x14ac:dyDescent="0.2">
      <c r="A5" t="s">
        <v>184</v>
      </c>
      <c r="C5" s="6" t="s">
        <v>189</v>
      </c>
      <c r="D5">
        <v>3.5625</v>
      </c>
      <c r="E5">
        <v>90.49</v>
      </c>
      <c r="F5">
        <f t="shared" si="0"/>
        <v>1.3125</v>
      </c>
      <c r="G5">
        <v>108</v>
      </c>
      <c r="H5">
        <v>20</v>
      </c>
      <c r="I5">
        <v>20</v>
      </c>
      <c r="J5" t="s">
        <v>18</v>
      </c>
      <c r="M5" t="s">
        <v>183</v>
      </c>
      <c r="N5">
        <v>3.5625</v>
      </c>
      <c r="O5">
        <v>90.49</v>
      </c>
      <c r="P5">
        <v>1.3125</v>
      </c>
      <c r="Q5">
        <v>33.340000000000003</v>
      </c>
    </row>
    <row r="6" spans="1:17" x14ac:dyDescent="0.2">
      <c r="C6" s="6" t="s">
        <v>190</v>
      </c>
      <c r="D6">
        <v>3.5625</v>
      </c>
      <c r="E6">
        <v>90.49</v>
      </c>
      <c r="F6">
        <f t="shared" si="0"/>
        <v>1.3125</v>
      </c>
      <c r="G6">
        <v>108</v>
      </c>
      <c r="H6">
        <v>20</v>
      </c>
      <c r="I6">
        <v>20</v>
      </c>
      <c r="J6" t="s">
        <v>18</v>
      </c>
    </row>
    <row r="7" spans="1:17" x14ac:dyDescent="0.2">
      <c r="C7" s="6" t="s">
        <v>191</v>
      </c>
      <c r="D7">
        <v>3.875</v>
      </c>
      <c r="E7">
        <v>98.424999999999997</v>
      </c>
      <c r="F7">
        <f t="shared" si="0"/>
        <v>1.625</v>
      </c>
      <c r="G7">
        <v>108</v>
      </c>
      <c r="H7">
        <v>20</v>
      </c>
      <c r="I7">
        <v>30</v>
      </c>
      <c r="J7" t="s">
        <v>18</v>
      </c>
    </row>
    <row r="8" spans="1:17" x14ac:dyDescent="0.2">
      <c r="C8" s="6" t="s">
        <v>192</v>
      </c>
      <c r="D8">
        <v>3.5625</v>
      </c>
      <c r="E8">
        <v>90.49</v>
      </c>
      <c r="F8">
        <f t="shared" si="0"/>
        <v>1.3125</v>
      </c>
      <c r="G8">
        <v>108</v>
      </c>
      <c r="H8">
        <v>20</v>
      </c>
      <c r="I8">
        <v>20</v>
      </c>
      <c r="J8" t="s">
        <v>18</v>
      </c>
    </row>
    <row r="9" spans="1:17" x14ac:dyDescent="0.2">
      <c r="C9" s="6" t="s">
        <v>193</v>
      </c>
      <c r="D9">
        <v>3.5625</v>
      </c>
      <c r="E9">
        <v>90.49</v>
      </c>
      <c r="F9">
        <f t="shared" si="0"/>
        <v>1.3125</v>
      </c>
      <c r="G9">
        <v>108</v>
      </c>
      <c r="H9">
        <v>20</v>
      </c>
      <c r="I9">
        <v>20</v>
      </c>
      <c r="J9" t="s">
        <v>18</v>
      </c>
    </row>
    <row r="10" spans="1:17" x14ac:dyDescent="0.2">
      <c r="C10" s="6" t="s">
        <v>194</v>
      </c>
      <c r="D10">
        <v>3.5625</v>
      </c>
      <c r="E10">
        <v>90.49</v>
      </c>
      <c r="F10">
        <f t="shared" si="0"/>
        <v>1.3125</v>
      </c>
      <c r="G10">
        <v>108</v>
      </c>
      <c r="H10">
        <v>20</v>
      </c>
      <c r="I10">
        <v>20</v>
      </c>
      <c r="J10" t="s">
        <v>18</v>
      </c>
    </row>
    <row r="11" spans="1:17" x14ac:dyDescent="0.2">
      <c r="C11" s="6" t="s">
        <v>195</v>
      </c>
      <c r="D11">
        <v>3.5625</v>
      </c>
      <c r="E11">
        <v>90.49</v>
      </c>
      <c r="F11">
        <f t="shared" si="0"/>
        <v>1.3125</v>
      </c>
      <c r="G11">
        <v>108</v>
      </c>
      <c r="H11">
        <v>20</v>
      </c>
      <c r="I11">
        <v>20</v>
      </c>
      <c r="J11" t="s">
        <v>18</v>
      </c>
    </row>
    <row r="12" spans="1:17" x14ac:dyDescent="0.2">
      <c r="C12" s="6" t="s">
        <v>196</v>
      </c>
      <c r="D12">
        <v>3.875</v>
      </c>
      <c r="E12">
        <v>98.424999999999997</v>
      </c>
      <c r="F12">
        <f t="shared" si="0"/>
        <v>1.625</v>
      </c>
      <c r="G12">
        <v>108</v>
      </c>
      <c r="H12">
        <v>20</v>
      </c>
      <c r="I12">
        <v>20</v>
      </c>
      <c r="J12" t="s">
        <v>18</v>
      </c>
    </row>
    <row r="13" spans="1:17" x14ac:dyDescent="0.2">
      <c r="C13" s="6" t="s">
        <v>197</v>
      </c>
      <c r="D13">
        <v>3.875</v>
      </c>
      <c r="E13">
        <v>98.424999999999997</v>
      </c>
      <c r="F13">
        <f t="shared" si="0"/>
        <v>1.625</v>
      </c>
      <c r="G13">
        <v>108</v>
      </c>
      <c r="H13">
        <v>20</v>
      </c>
      <c r="I13">
        <v>20</v>
      </c>
      <c r="J13" t="s">
        <v>18</v>
      </c>
    </row>
    <row r="14" spans="1:17" x14ac:dyDescent="0.2">
      <c r="C14" s="6" t="s">
        <v>198</v>
      </c>
      <c r="D14">
        <v>3.875</v>
      </c>
      <c r="E14">
        <v>98.424999999999997</v>
      </c>
      <c r="F14">
        <f t="shared" si="0"/>
        <v>1.625</v>
      </c>
      <c r="G14">
        <v>108</v>
      </c>
      <c r="H14">
        <v>20</v>
      </c>
      <c r="I14">
        <v>20</v>
      </c>
      <c r="J14" t="s">
        <v>18</v>
      </c>
    </row>
    <row r="15" spans="1:17" x14ac:dyDescent="0.2">
      <c r="C15" s="6" t="s">
        <v>199</v>
      </c>
      <c r="D15">
        <v>3.875</v>
      </c>
      <c r="E15">
        <v>98.424999999999997</v>
      </c>
      <c r="F15">
        <f t="shared" si="0"/>
        <v>1.625</v>
      </c>
      <c r="G15">
        <v>108</v>
      </c>
      <c r="H15">
        <v>20</v>
      </c>
      <c r="I15">
        <v>20</v>
      </c>
      <c r="J15" t="s">
        <v>18</v>
      </c>
    </row>
    <row r="16" spans="1:17" x14ac:dyDescent="0.2">
      <c r="C16" s="6" t="s">
        <v>200</v>
      </c>
      <c r="D16">
        <v>3.5625</v>
      </c>
      <c r="E16">
        <v>90.49</v>
      </c>
      <c r="F16">
        <f t="shared" si="0"/>
        <v>1.3125</v>
      </c>
      <c r="G16">
        <v>108</v>
      </c>
      <c r="H16">
        <v>20</v>
      </c>
      <c r="I16">
        <v>20</v>
      </c>
      <c r="J16" t="s">
        <v>18</v>
      </c>
    </row>
    <row r="17" spans="3:10" x14ac:dyDescent="0.2">
      <c r="C17" s="6" t="s">
        <v>201</v>
      </c>
      <c r="D17">
        <v>3.5625</v>
      </c>
      <c r="E17">
        <v>90.49</v>
      </c>
      <c r="F17">
        <f t="shared" si="0"/>
        <v>1.3125</v>
      </c>
      <c r="G17">
        <v>108</v>
      </c>
      <c r="H17">
        <v>20</v>
      </c>
      <c r="I17">
        <v>20</v>
      </c>
      <c r="J17" t="s">
        <v>18</v>
      </c>
    </row>
    <row r="18" spans="3:10" x14ac:dyDescent="0.2">
      <c r="C18" s="6" t="s">
        <v>202</v>
      </c>
      <c r="D18">
        <v>3.5625</v>
      </c>
      <c r="E18">
        <v>90.49</v>
      </c>
      <c r="F18">
        <f t="shared" si="0"/>
        <v>1.3125</v>
      </c>
      <c r="G18">
        <v>108</v>
      </c>
      <c r="H18">
        <v>20</v>
      </c>
      <c r="I18">
        <v>20</v>
      </c>
      <c r="J18" t="s">
        <v>18</v>
      </c>
    </row>
    <row r="19" spans="3:10" x14ac:dyDescent="0.2">
      <c r="C19" s="6" t="s">
        <v>205</v>
      </c>
      <c r="D19">
        <v>3.875</v>
      </c>
      <c r="E19">
        <v>98.424999999999997</v>
      </c>
      <c r="F19">
        <f t="shared" si="0"/>
        <v>1.625</v>
      </c>
      <c r="G19">
        <v>108</v>
      </c>
      <c r="H19">
        <v>20</v>
      </c>
      <c r="I19">
        <v>20</v>
      </c>
      <c r="J19" t="s">
        <v>18</v>
      </c>
    </row>
    <row r="20" spans="3:10" x14ac:dyDescent="0.2">
      <c r="C20" s="6" t="s">
        <v>204</v>
      </c>
      <c r="D20">
        <v>3.875</v>
      </c>
      <c r="E20">
        <v>98.424999999999997</v>
      </c>
      <c r="F20">
        <f t="shared" si="0"/>
        <v>1.625</v>
      </c>
      <c r="G20">
        <v>108</v>
      </c>
      <c r="H20">
        <v>20</v>
      </c>
      <c r="I20">
        <v>20</v>
      </c>
      <c r="J20" t="s">
        <v>18</v>
      </c>
    </row>
    <row r="21" spans="3:10" x14ac:dyDescent="0.2">
      <c r="C21" s="6" t="s">
        <v>203</v>
      </c>
      <c r="D21">
        <v>3.875</v>
      </c>
      <c r="E21">
        <v>98.424999999999997</v>
      </c>
      <c r="F21">
        <f t="shared" si="0"/>
        <v>1.625</v>
      </c>
      <c r="G21">
        <v>108</v>
      </c>
      <c r="H21">
        <v>20</v>
      </c>
      <c r="I21">
        <v>20</v>
      </c>
      <c r="J21" t="s">
        <v>18</v>
      </c>
    </row>
    <row r="22" spans="3:10" x14ac:dyDescent="0.2">
      <c r="C22" s="6" t="s">
        <v>206</v>
      </c>
      <c r="D22">
        <v>3.875</v>
      </c>
      <c r="E22">
        <v>98.424999999999997</v>
      </c>
      <c r="F22">
        <f t="shared" si="0"/>
        <v>1.625</v>
      </c>
      <c r="G22">
        <v>108</v>
      </c>
      <c r="H22">
        <v>20</v>
      </c>
      <c r="I22">
        <v>20</v>
      </c>
      <c r="J22" t="s">
        <v>18</v>
      </c>
    </row>
    <row r="23" spans="3:10" x14ac:dyDescent="0.2">
      <c r="C23" s="6" t="s">
        <v>207</v>
      </c>
      <c r="D23">
        <v>3.5625</v>
      </c>
      <c r="E23">
        <v>90.49</v>
      </c>
      <c r="F23">
        <f t="shared" si="0"/>
        <v>1.3125</v>
      </c>
      <c r="G23">
        <v>108</v>
      </c>
      <c r="H23">
        <v>20</v>
      </c>
      <c r="I23">
        <v>20</v>
      </c>
      <c r="J23" t="s">
        <v>18</v>
      </c>
    </row>
    <row r="24" spans="3:10" x14ac:dyDescent="0.2">
      <c r="C24" s="6" t="s">
        <v>208</v>
      </c>
      <c r="D24">
        <v>3.875</v>
      </c>
      <c r="E24">
        <v>98.424999999999997</v>
      </c>
      <c r="F24">
        <f t="shared" si="0"/>
        <v>1.625</v>
      </c>
      <c r="G24">
        <v>108</v>
      </c>
      <c r="H24">
        <v>20</v>
      </c>
      <c r="I24">
        <v>20</v>
      </c>
      <c r="J24" t="s">
        <v>18</v>
      </c>
    </row>
    <row r="25" spans="3:10" x14ac:dyDescent="0.2">
      <c r="C25" s="6" t="s">
        <v>209</v>
      </c>
      <c r="D25">
        <v>3.875</v>
      </c>
      <c r="E25">
        <v>98.424999999999997</v>
      </c>
      <c r="F25">
        <f t="shared" si="0"/>
        <v>1.625</v>
      </c>
      <c r="G25">
        <v>108</v>
      </c>
      <c r="H25">
        <v>20</v>
      </c>
      <c r="I25">
        <v>20</v>
      </c>
      <c r="J25" t="s">
        <v>18</v>
      </c>
    </row>
    <row r="26" spans="3:10" x14ac:dyDescent="0.2">
      <c r="C26" s="6" t="s">
        <v>210</v>
      </c>
      <c r="D26">
        <v>3.5625</v>
      </c>
      <c r="E26">
        <v>90.49</v>
      </c>
      <c r="F26">
        <f t="shared" si="0"/>
        <v>1.3125</v>
      </c>
      <c r="G26">
        <v>108</v>
      </c>
      <c r="H26">
        <v>20</v>
      </c>
      <c r="I26">
        <v>20</v>
      </c>
      <c r="J26" t="s">
        <v>18</v>
      </c>
    </row>
    <row r="27" spans="3:10" x14ac:dyDescent="0.2">
      <c r="C27" s="6" t="s">
        <v>211</v>
      </c>
      <c r="D27">
        <v>3.5625</v>
      </c>
      <c r="E27">
        <v>90.49</v>
      </c>
      <c r="F27">
        <f t="shared" si="0"/>
        <v>1.3125</v>
      </c>
      <c r="G27">
        <v>108</v>
      </c>
      <c r="H27">
        <v>20</v>
      </c>
      <c r="I27">
        <v>20</v>
      </c>
      <c r="J27" t="s">
        <v>18</v>
      </c>
    </row>
    <row r="28" spans="3:10" x14ac:dyDescent="0.2">
      <c r="C28" s="6" t="s">
        <v>212</v>
      </c>
      <c r="D28">
        <v>3.5625</v>
      </c>
      <c r="E28">
        <v>90.49</v>
      </c>
      <c r="F28">
        <f t="shared" si="0"/>
        <v>1.3125</v>
      </c>
      <c r="G28">
        <v>108</v>
      </c>
      <c r="H28">
        <v>20</v>
      </c>
      <c r="I28">
        <v>20</v>
      </c>
      <c r="J28" t="s">
        <v>18</v>
      </c>
    </row>
    <row r="29" spans="3:10" x14ac:dyDescent="0.2">
      <c r="C29" s="6" t="s">
        <v>213</v>
      </c>
      <c r="D29">
        <v>3.5625</v>
      </c>
      <c r="E29">
        <v>90.49</v>
      </c>
      <c r="F29">
        <f t="shared" si="0"/>
        <v>1.3125</v>
      </c>
      <c r="G29">
        <v>108</v>
      </c>
      <c r="H29">
        <v>20</v>
      </c>
      <c r="I29">
        <v>20</v>
      </c>
      <c r="J29" t="s">
        <v>18</v>
      </c>
    </row>
    <row r="30" spans="3:10" x14ac:dyDescent="0.2">
      <c r="C30" s="6" t="s">
        <v>214</v>
      </c>
      <c r="D30">
        <v>3.875</v>
      </c>
      <c r="E30">
        <v>98.424999999999997</v>
      </c>
      <c r="F30">
        <f t="shared" si="0"/>
        <v>1.625</v>
      </c>
      <c r="G30">
        <v>108</v>
      </c>
      <c r="H30">
        <v>20</v>
      </c>
      <c r="I30">
        <v>20</v>
      </c>
      <c r="J30" t="s">
        <v>18</v>
      </c>
    </row>
    <row r="31" spans="3:10" x14ac:dyDescent="0.2">
      <c r="C31" s="6" t="s">
        <v>215</v>
      </c>
      <c r="D31">
        <v>3.5625</v>
      </c>
      <c r="E31">
        <v>90.49</v>
      </c>
      <c r="F31">
        <f t="shared" si="0"/>
        <v>1.3125</v>
      </c>
      <c r="G31">
        <v>108</v>
      </c>
      <c r="H31">
        <v>20</v>
      </c>
      <c r="I31">
        <v>20</v>
      </c>
      <c r="J31" t="s">
        <v>18</v>
      </c>
    </row>
    <row r="32" spans="3:10" x14ac:dyDescent="0.2">
      <c r="C32" s="6" t="s">
        <v>216</v>
      </c>
      <c r="D32">
        <v>3.5625</v>
      </c>
      <c r="E32">
        <v>90.49</v>
      </c>
      <c r="F32">
        <f t="shared" si="0"/>
        <v>1.3125</v>
      </c>
      <c r="G32">
        <v>108</v>
      </c>
      <c r="H32">
        <v>20</v>
      </c>
      <c r="I32">
        <v>20</v>
      </c>
      <c r="J32" t="s">
        <v>18</v>
      </c>
    </row>
    <row r="33" spans="1:10" x14ac:dyDescent="0.2">
      <c r="C33" s="6" t="s">
        <v>217</v>
      </c>
      <c r="D33">
        <v>3.5625</v>
      </c>
      <c r="E33">
        <v>90.49</v>
      </c>
      <c r="F33">
        <f t="shared" si="0"/>
        <v>1.3125</v>
      </c>
      <c r="G33">
        <v>108</v>
      </c>
      <c r="H33">
        <v>20</v>
      </c>
      <c r="I33">
        <v>20</v>
      </c>
      <c r="J33" t="s">
        <v>18</v>
      </c>
    </row>
    <row r="34" spans="1:10" x14ac:dyDescent="0.2">
      <c r="C34" s="6" t="s">
        <v>218</v>
      </c>
      <c r="D34">
        <v>3.5625</v>
      </c>
      <c r="E34">
        <v>90.49</v>
      </c>
      <c r="F34">
        <f t="shared" si="0"/>
        <v>1.3125</v>
      </c>
      <c r="G34">
        <v>108</v>
      </c>
      <c r="H34">
        <v>20</v>
      </c>
      <c r="I34">
        <v>20</v>
      </c>
      <c r="J34" t="s">
        <v>18</v>
      </c>
    </row>
    <row r="35" spans="1:10" x14ac:dyDescent="0.2">
      <c r="C35" s="6" t="s">
        <v>219</v>
      </c>
      <c r="D35">
        <v>3.5625</v>
      </c>
      <c r="E35">
        <v>90.49</v>
      </c>
      <c r="F35">
        <f t="shared" si="0"/>
        <v>1.3125</v>
      </c>
      <c r="G35">
        <v>108</v>
      </c>
      <c r="H35">
        <v>20</v>
      </c>
      <c r="I35">
        <v>20</v>
      </c>
      <c r="J35" t="s">
        <v>18</v>
      </c>
    </row>
    <row r="36" spans="1:10" x14ac:dyDescent="0.2">
      <c r="C36" s="6" t="s">
        <v>220</v>
      </c>
      <c r="D36">
        <v>3.875</v>
      </c>
      <c r="E36">
        <v>98.424999999999997</v>
      </c>
      <c r="F36">
        <f t="shared" si="0"/>
        <v>1.625</v>
      </c>
      <c r="G36">
        <v>108</v>
      </c>
      <c r="H36">
        <v>20</v>
      </c>
      <c r="I36">
        <v>20</v>
      </c>
      <c r="J36" t="s">
        <v>18</v>
      </c>
    </row>
    <row r="37" spans="1:10" x14ac:dyDescent="0.2">
      <c r="C37" s="6" t="s">
        <v>221</v>
      </c>
      <c r="D37">
        <v>3.5625</v>
      </c>
      <c r="E37">
        <v>90.49</v>
      </c>
      <c r="F37">
        <f t="shared" si="0"/>
        <v>1.3125</v>
      </c>
      <c r="G37">
        <v>108</v>
      </c>
      <c r="H37">
        <v>20</v>
      </c>
      <c r="I37">
        <v>20</v>
      </c>
      <c r="J37" t="s">
        <v>18</v>
      </c>
    </row>
    <row r="38" spans="1:10" x14ac:dyDescent="0.2">
      <c r="C38" s="6" t="s">
        <v>222</v>
      </c>
      <c r="D38">
        <v>3.875</v>
      </c>
      <c r="E38">
        <v>98.424999999999997</v>
      </c>
      <c r="F38">
        <f t="shared" si="0"/>
        <v>1.625</v>
      </c>
      <c r="G38">
        <v>108</v>
      </c>
      <c r="H38">
        <v>20</v>
      </c>
      <c r="I38">
        <v>20</v>
      </c>
      <c r="J38" t="s">
        <v>18</v>
      </c>
    </row>
    <row r="39" spans="1:10" x14ac:dyDescent="0.2">
      <c r="C39" s="6" t="s">
        <v>223</v>
      </c>
      <c r="D39">
        <v>3.5625</v>
      </c>
      <c r="E39">
        <v>90.49</v>
      </c>
      <c r="F39">
        <f t="shared" si="0"/>
        <v>1.3125</v>
      </c>
      <c r="G39">
        <v>108</v>
      </c>
      <c r="H39">
        <v>20</v>
      </c>
      <c r="I39">
        <v>20</v>
      </c>
      <c r="J39" t="s">
        <v>18</v>
      </c>
    </row>
    <row r="40" spans="1:10" x14ac:dyDescent="0.2">
      <c r="C40" s="6" t="s">
        <v>224</v>
      </c>
      <c r="D40">
        <v>3.5625</v>
      </c>
      <c r="E40">
        <v>90.49</v>
      </c>
      <c r="F40">
        <f t="shared" si="0"/>
        <v>1.3125</v>
      </c>
      <c r="G40">
        <v>108</v>
      </c>
      <c r="H40">
        <v>20</v>
      </c>
      <c r="I40">
        <v>20</v>
      </c>
      <c r="J40" t="s">
        <v>18</v>
      </c>
    </row>
    <row r="41" spans="1:10" x14ac:dyDescent="0.2">
      <c r="C41" s="6" t="s">
        <v>225</v>
      </c>
      <c r="D41">
        <v>3.5625</v>
      </c>
      <c r="E41">
        <v>90.49</v>
      </c>
      <c r="F41">
        <f t="shared" si="0"/>
        <v>1.3125</v>
      </c>
      <c r="G41">
        <v>108</v>
      </c>
      <c r="H41">
        <v>20</v>
      </c>
      <c r="I41">
        <v>20</v>
      </c>
      <c r="J41" t="s">
        <v>18</v>
      </c>
    </row>
    <row r="42" spans="1:10" x14ac:dyDescent="0.2">
      <c r="C42" s="6" t="s">
        <v>226</v>
      </c>
      <c r="D42">
        <v>3.5625</v>
      </c>
      <c r="E42">
        <v>90.49</v>
      </c>
      <c r="F42">
        <f t="shared" si="0"/>
        <v>1.3125</v>
      </c>
      <c r="G42">
        <v>108</v>
      </c>
      <c r="H42">
        <v>20</v>
      </c>
      <c r="I42">
        <v>20</v>
      </c>
      <c r="J42" t="s">
        <v>18</v>
      </c>
    </row>
    <row r="44" spans="1:10" x14ac:dyDescent="0.2">
      <c r="A44" s="55"/>
    </row>
    <row r="45" spans="1:10" x14ac:dyDescent="0.2">
      <c r="A45" s="55"/>
    </row>
    <row r="46" spans="1:10" x14ac:dyDescent="0.2">
      <c r="A46" s="55"/>
      <c r="B46" s="9"/>
      <c r="C46" s="6" t="s">
        <v>227</v>
      </c>
      <c r="D46">
        <v>3.5625</v>
      </c>
      <c r="E46">
        <v>90.49</v>
      </c>
      <c r="F46">
        <f t="shared" si="0"/>
        <v>1.3125</v>
      </c>
      <c r="G46">
        <v>108</v>
      </c>
      <c r="H46">
        <v>20</v>
      </c>
      <c r="I46">
        <v>20</v>
      </c>
      <c r="J46" t="s">
        <v>18</v>
      </c>
    </row>
    <row r="47" spans="1:10" x14ac:dyDescent="0.2">
      <c r="A47" s="55"/>
      <c r="B47" s="9"/>
      <c r="C47" s="6">
        <v>1</v>
      </c>
      <c r="D47">
        <v>3.5625</v>
      </c>
      <c r="E47">
        <v>90.49</v>
      </c>
      <c r="F47">
        <f t="shared" si="0"/>
        <v>1.3125</v>
      </c>
      <c r="G47">
        <v>108</v>
      </c>
      <c r="H47">
        <v>20</v>
      </c>
      <c r="I47">
        <v>20</v>
      </c>
      <c r="J47" t="s">
        <v>18</v>
      </c>
    </row>
    <row r="48" spans="1:10" x14ac:dyDescent="0.2">
      <c r="A48" s="55"/>
      <c r="B48" s="9"/>
      <c r="C48" s="6" t="s">
        <v>228</v>
      </c>
      <c r="D48">
        <v>3.5625</v>
      </c>
      <c r="E48">
        <v>90.49</v>
      </c>
      <c r="F48">
        <f t="shared" si="0"/>
        <v>1.3125</v>
      </c>
      <c r="G48">
        <v>108</v>
      </c>
      <c r="H48">
        <v>20</v>
      </c>
      <c r="I48">
        <v>20</v>
      </c>
      <c r="J48" t="s">
        <v>18</v>
      </c>
    </row>
    <row r="49" spans="1:10" x14ac:dyDescent="0.2">
      <c r="A49" s="55"/>
      <c r="B49" s="9"/>
      <c r="C49" s="6">
        <v>2</v>
      </c>
      <c r="D49">
        <v>3.5625</v>
      </c>
      <c r="E49">
        <v>90.49</v>
      </c>
      <c r="F49">
        <f t="shared" si="0"/>
        <v>1.3125</v>
      </c>
      <c r="G49">
        <v>108</v>
      </c>
      <c r="H49">
        <v>20</v>
      </c>
      <c r="I49">
        <v>20</v>
      </c>
      <c r="J49" t="s">
        <v>18</v>
      </c>
    </row>
    <row r="50" spans="1:10" x14ac:dyDescent="0.2">
      <c r="B50" s="9"/>
      <c r="C50" s="6" t="s">
        <v>229</v>
      </c>
      <c r="D50">
        <v>3.5625</v>
      </c>
      <c r="E50">
        <v>90.49</v>
      </c>
      <c r="F50">
        <f t="shared" si="0"/>
        <v>1.3125</v>
      </c>
      <c r="G50">
        <v>108</v>
      </c>
      <c r="H50">
        <v>20</v>
      </c>
      <c r="I50">
        <v>20</v>
      </c>
      <c r="J50" t="s">
        <v>18</v>
      </c>
    </row>
    <row r="51" spans="1:10" x14ac:dyDescent="0.2">
      <c r="B51" s="9"/>
    </row>
    <row r="62" spans="1:10" x14ac:dyDescent="0.2">
      <c r="C62"/>
    </row>
    <row r="66" spans="3:3" x14ac:dyDescent="0.2">
      <c r="C66" s="56"/>
    </row>
    <row r="87" spans="3:3" x14ac:dyDescent="0.2">
      <c r="C87" s="56"/>
    </row>
    <row r="107" spans="3:3" s="41" customFormat="1" x14ac:dyDescent="0.2">
      <c r="C107" s="57"/>
    </row>
  </sheetData>
  <sheetProtection selectLockedCells="1"/>
  <sortState xmlns:xlrd2="http://schemas.microsoft.com/office/spreadsheetml/2017/richdata2" ref="C3:J42">
    <sortCondition ref="C3:C42"/>
  </sortState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E920-6CF8-46EF-A772-D07F97D5984C}">
  <sheetPr codeName="Sheet15"/>
  <dimension ref="A1:U57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18.83203125" bestFit="1" customWidth="1"/>
    <col min="2" max="2" width="11.1640625" bestFit="1" customWidth="1"/>
    <col min="3" max="3" width="14.5" bestFit="1" customWidth="1"/>
    <col min="4" max="4" width="15" bestFit="1" customWidth="1"/>
    <col min="5" max="5" width="18" bestFit="1" customWidth="1"/>
    <col min="6" max="6" width="29.83203125" bestFit="1" customWidth="1"/>
    <col min="10" max="10" width="16.83203125" bestFit="1" customWidth="1"/>
    <col min="11" max="11" width="12.5" customWidth="1"/>
    <col min="17" max="17" width="16.6640625" bestFit="1" customWidth="1"/>
  </cols>
  <sheetData>
    <row r="1" spans="1:18" x14ac:dyDescent="0.2">
      <c r="A1" t="s">
        <v>109</v>
      </c>
      <c r="B1" t="s">
        <v>77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J1" t="s">
        <v>123</v>
      </c>
      <c r="K1" t="s">
        <v>115</v>
      </c>
      <c r="L1" t="s">
        <v>116</v>
      </c>
      <c r="N1" t="s">
        <v>26</v>
      </c>
      <c r="Q1" t="s">
        <v>117</v>
      </c>
      <c r="R1" t="s">
        <v>118</v>
      </c>
    </row>
    <row r="2" spans="1:18" x14ac:dyDescent="0.2">
      <c r="A2" t="s">
        <v>92</v>
      </c>
      <c r="B2" t="s">
        <v>18</v>
      </c>
      <c r="C2" s="5">
        <f>IF('Order Form'!AS$4,Q$2,R$2)</f>
        <v>16</v>
      </c>
      <c r="D2" t="s">
        <v>24</v>
      </c>
      <c r="E2" t="s">
        <v>232</v>
      </c>
      <c r="F2" s="2">
        <v>10</v>
      </c>
      <c r="G2" s="2">
        <v>2</v>
      </c>
      <c r="N2" s="9" t="e">
        <f>+IF(#REF!=TRUE,1,2.15)</f>
        <v>#REF!</v>
      </c>
      <c r="Q2">
        <v>16</v>
      </c>
      <c r="R2">
        <v>20</v>
      </c>
    </row>
    <row r="3" spans="1:18" x14ac:dyDescent="0.2">
      <c r="A3" t="s">
        <v>93</v>
      </c>
      <c r="B3" t="s">
        <v>108</v>
      </c>
      <c r="C3" s="5">
        <f>IF('Order Form'!AS$4,Q$2,R$2)</f>
        <v>16</v>
      </c>
      <c r="D3" t="s">
        <v>25</v>
      </c>
      <c r="E3" t="s">
        <v>83</v>
      </c>
      <c r="J3" t="s">
        <v>119</v>
      </c>
      <c r="K3">
        <v>5</v>
      </c>
      <c r="L3">
        <v>2</v>
      </c>
    </row>
    <row r="4" spans="1:18" x14ac:dyDescent="0.2">
      <c r="A4" t="s">
        <v>94</v>
      </c>
      <c r="B4" t="s">
        <v>91</v>
      </c>
      <c r="C4" s="5">
        <v>32</v>
      </c>
      <c r="E4" t="s">
        <v>122</v>
      </c>
      <c r="J4" t="s">
        <v>120</v>
      </c>
      <c r="K4">
        <v>10</v>
      </c>
      <c r="L4">
        <v>2</v>
      </c>
    </row>
    <row r="5" spans="1:18" x14ac:dyDescent="0.2">
      <c r="A5" t="s">
        <v>95</v>
      </c>
      <c r="J5" t="s">
        <v>121</v>
      </c>
      <c r="K5">
        <v>7</v>
      </c>
      <c r="L5">
        <v>2</v>
      </c>
    </row>
    <row r="6" spans="1:18" x14ac:dyDescent="0.2">
      <c r="A6" t="s">
        <v>96</v>
      </c>
      <c r="J6" t="s">
        <v>101</v>
      </c>
      <c r="K6">
        <v>7</v>
      </c>
      <c r="L6">
        <v>2</v>
      </c>
    </row>
    <row r="7" spans="1:18" x14ac:dyDescent="0.2">
      <c r="A7" t="s">
        <v>97</v>
      </c>
      <c r="N7" t="s">
        <v>131</v>
      </c>
    </row>
    <row r="8" spans="1:18" x14ac:dyDescent="0.2">
      <c r="A8" t="s">
        <v>98</v>
      </c>
      <c r="N8" s="4">
        <v>10</v>
      </c>
    </row>
    <row r="9" spans="1:18" x14ac:dyDescent="0.2">
      <c r="A9" t="s">
        <v>99</v>
      </c>
    </row>
    <row r="10" spans="1:18" x14ac:dyDescent="0.2">
      <c r="A10" t="s">
        <v>100</v>
      </c>
    </row>
    <row r="11" spans="1:18" x14ac:dyDescent="0.2">
      <c r="A11" t="s">
        <v>70</v>
      </c>
      <c r="J11" t="s">
        <v>136</v>
      </c>
      <c r="K11">
        <v>0.125</v>
      </c>
      <c r="L11">
        <v>0.1875</v>
      </c>
      <c r="M11">
        <v>0.25</v>
      </c>
      <c r="N11">
        <v>0.375</v>
      </c>
      <c r="O11">
        <v>0.5</v>
      </c>
      <c r="P11">
        <v>0.625</v>
      </c>
      <c r="Q11">
        <v>0.75</v>
      </c>
    </row>
    <row r="12" spans="1:18" x14ac:dyDescent="0.2">
      <c r="A12" t="s">
        <v>71</v>
      </c>
      <c r="I12" t="s">
        <v>137</v>
      </c>
      <c r="J12" t="s">
        <v>69</v>
      </c>
      <c r="K12">
        <v>0.06</v>
      </c>
      <c r="L12">
        <v>0.06</v>
      </c>
      <c r="M12">
        <v>0.06</v>
      </c>
      <c r="N12">
        <v>0.08</v>
      </c>
      <c r="O12">
        <v>0.09</v>
      </c>
      <c r="P12">
        <v>0.23</v>
      </c>
      <c r="Q12">
        <v>0.23</v>
      </c>
    </row>
    <row r="13" spans="1:18" x14ac:dyDescent="0.2">
      <c r="A13" t="s">
        <v>72</v>
      </c>
      <c r="I13" t="s">
        <v>138</v>
      </c>
      <c r="J13" t="s">
        <v>139</v>
      </c>
      <c r="K13">
        <v>0.1</v>
      </c>
      <c r="L13">
        <v>0.1</v>
      </c>
      <c r="M13">
        <v>0.1</v>
      </c>
      <c r="N13">
        <v>0.13</v>
      </c>
      <c r="O13">
        <v>0.17</v>
      </c>
      <c r="P13">
        <v>0.44</v>
      </c>
      <c r="Q13">
        <v>0.44</v>
      </c>
    </row>
    <row r="14" spans="1:18" x14ac:dyDescent="0.2">
      <c r="A14" t="s">
        <v>73</v>
      </c>
      <c r="I14" t="s">
        <v>140</v>
      </c>
      <c r="J14" t="s">
        <v>141</v>
      </c>
      <c r="K14">
        <v>0.17</v>
      </c>
      <c r="L14">
        <v>0.17</v>
      </c>
      <c r="M14">
        <v>0.17</v>
      </c>
      <c r="N14">
        <v>0.28000000000000003</v>
      </c>
      <c r="O14">
        <v>0.55000000000000004</v>
      </c>
      <c r="P14">
        <v>0.94</v>
      </c>
      <c r="Q14">
        <v>0.94</v>
      </c>
    </row>
    <row r="15" spans="1:18" x14ac:dyDescent="0.2">
      <c r="A15" t="s">
        <v>101</v>
      </c>
      <c r="I15" t="s">
        <v>142</v>
      </c>
      <c r="J15" t="s">
        <v>143</v>
      </c>
      <c r="K15">
        <v>0.17</v>
      </c>
      <c r="L15">
        <v>0.17</v>
      </c>
      <c r="M15">
        <v>0.17</v>
      </c>
      <c r="N15">
        <v>0.28000000000000003</v>
      </c>
      <c r="O15">
        <v>0.55000000000000004</v>
      </c>
      <c r="P15">
        <v>0.94</v>
      </c>
      <c r="Q15">
        <v>0.94</v>
      </c>
    </row>
    <row r="16" spans="1:18" x14ac:dyDescent="0.2">
      <c r="A16" t="s">
        <v>102</v>
      </c>
      <c r="I16" t="s">
        <v>144</v>
      </c>
      <c r="J16" t="s">
        <v>145</v>
      </c>
      <c r="K16">
        <v>0.19</v>
      </c>
      <c r="L16">
        <v>0.19</v>
      </c>
      <c r="M16">
        <v>0.19</v>
      </c>
      <c r="N16">
        <v>0.31</v>
      </c>
      <c r="O16">
        <v>0.61</v>
      </c>
      <c r="P16">
        <v>0.99</v>
      </c>
      <c r="Q16">
        <v>0.99</v>
      </c>
    </row>
    <row r="17" spans="1:21" x14ac:dyDescent="0.2">
      <c r="A17" t="s">
        <v>103</v>
      </c>
      <c r="I17" t="s">
        <v>146</v>
      </c>
      <c r="J17" t="s">
        <v>147</v>
      </c>
      <c r="K17">
        <v>0.2</v>
      </c>
      <c r="L17">
        <v>0.2</v>
      </c>
      <c r="M17">
        <v>0.2</v>
      </c>
      <c r="N17">
        <v>0.36</v>
      </c>
      <c r="O17">
        <v>0.69</v>
      </c>
      <c r="P17">
        <v>1.05</v>
      </c>
      <c r="Q17">
        <v>1.05</v>
      </c>
    </row>
    <row r="18" spans="1:21" x14ac:dyDescent="0.2">
      <c r="A18" t="s">
        <v>104</v>
      </c>
      <c r="I18" t="s">
        <v>148</v>
      </c>
      <c r="J18" t="s">
        <v>149</v>
      </c>
      <c r="K18">
        <v>0.28000000000000003</v>
      </c>
      <c r="L18">
        <v>0.28000000000000003</v>
      </c>
      <c r="M18">
        <v>0.28000000000000003</v>
      </c>
      <c r="N18">
        <v>0.53</v>
      </c>
      <c r="O18">
        <v>0.72</v>
      </c>
      <c r="P18">
        <v>1.21</v>
      </c>
      <c r="Q18">
        <v>1.21</v>
      </c>
    </row>
    <row r="19" spans="1:21" x14ac:dyDescent="0.2">
      <c r="A19" t="s">
        <v>105</v>
      </c>
      <c r="I19" t="s">
        <v>150</v>
      </c>
      <c r="J19" t="s">
        <v>151</v>
      </c>
      <c r="K19">
        <v>0.39</v>
      </c>
      <c r="L19">
        <v>0.39</v>
      </c>
      <c r="M19">
        <v>0.39</v>
      </c>
      <c r="N19">
        <v>0.66</v>
      </c>
      <c r="O19">
        <v>0.88</v>
      </c>
      <c r="P19">
        <v>1.27</v>
      </c>
      <c r="Q19">
        <v>1.27</v>
      </c>
    </row>
    <row r="20" spans="1:21" x14ac:dyDescent="0.2">
      <c r="A20" t="s">
        <v>106</v>
      </c>
      <c r="K20" s="54"/>
    </row>
    <row r="21" spans="1:21" x14ac:dyDescent="0.2">
      <c r="A21" t="s">
        <v>107</v>
      </c>
    </row>
    <row r="22" spans="1:21" x14ac:dyDescent="0.2">
      <c r="A22" t="s">
        <v>74</v>
      </c>
    </row>
    <row r="23" spans="1:21" x14ac:dyDescent="0.2">
      <c r="A23" t="s">
        <v>75</v>
      </c>
    </row>
    <row r="24" spans="1:21" x14ac:dyDescent="0.2">
      <c r="A24" t="s">
        <v>76</v>
      </c>
    </row>
    <row r="30" spans="1:21" x14ac:dyDescent="0.2">
      <c r="L30" t="s">
        <v>134</v>
      </c>
      <c r="M30" t="s">
        <v>135</v>
      </c>
    </row>
    <row r="31" spans="1:21" x14ac:dyDescent="0.2">
      <c r="J31" t="s">
        <v>124</v>
      </c>
      <c r="K31" t="s">
        <v>125</v>
      </c>
      <c r="L31" t="s">
        <v>133</v>
      </c>
      <c r="M31" t="s">
        <v>133</v>
      </c>
      <c r="N31" t="s">
        <v>137</v>
      </c>
      <c r="O31" t="s">
        <v>138</v>
      </c>
      <c r="P31" t="s">
        <v>140</v>
      </c>
      <c r="Q31" t="s">
        <v>142</v>
      </c>
      <c r="R31" t="s">
        <v>144</v>
      </c>
      <c r="S31" t="s">
        <v>146</v>
      </c>
      <c r="T31" t="s">
        <v>148</v>
      </c>
      <c r="U31" t="s">
        <v>150</v>
      </c>
    </row>
    <row r="32" spans="1:21" x14ac:dyDescent="0.2">
      <c r="J32" t="s">
        <v>152</v>
      </c>
      <c r="K32" t="s">
        <v>126</v>
      </c>
      <c r="L32">
        <v>3.61</v>
      </c>
      <c r="M32">
        <v>4.63</v>
      </c>
      <c r="N32">
        <v>0.06</v>
      </c>
      <c r="O32">
        <v>0.1</v>
      </c>
      <c r="P32">
        <v>0.17</v>
      </c>
      <c r="Q32">
        <v>0.17</v>
      </c>
      <c r="R32">
        <v>0.19</v>
      </c>
      <c r="S32">
        <v>0.2</v>
      </c>
      <c r="T32">
        <v>0.28000000000000003</v>
      </c>
      <c r="U32">
        <v>0.39</v>
      </c>
    </row>
    <row r="33" spans="10:21" x14ac:dyDescent="0.2">
      <c r="J33" t="s">
        <v>153</v>
      </c>
      <c r="K33" t="s">
        <v>127</v>
      </c>
      <c r="L33">
        <v>3.87</v>
      </c>
      <c r="M33">
        <v>4.8099999999999996</v>
      </c>
      <c r="N33">
        <v>0.06</v>
      </c>
      <c r="O33">
        <v>0.1</v>
      </c>
      <c r="P33">
        <v>0.17</v>
      </c>
      <c r="Q33">
        <v>0.17</v>
      </c>
      <c r="R33">
        <v>0.19</v>
      </c>
      <c r="S33">
        <v>0.2</v>
      </c>
      <c r="T33">
        <v>0.28000000000000003</v>
      </c>
      <c r="U33">
        <v>0.39</v>
      </c>
    </row>
    <row r="34" spans="10:21" x14ac:dyDescent="0.2">
      <c r="J34" t="s">
        <v>154</v>
      </c>
      <c r="K34" t="s">
        <v>128</v>
      </c>
      <c r="L34">
        <v>4.09</v>
      </c>
      <c r="M34">
        <v>5.19</v>
      </c>
      <c r="N34">
        <v>0.06</v>
      </c>
      <c r="O34">
        <v>0.1</v>
      </c>
      <c r="P34">
        <v>0.17</v>
      </c>
      <c r="Q34">
        <v>0.17</v>
      </c>
      <c r="R34">
        <v>0.19</v>
      </c>
      <c r="S34">
        <v>0.2</v>
      </c>
      <c r="T34">
        <v>0.28000000000000003</v>
      </c>
      <c r="U34">
        <v>0.39</v>
      </c>
    </row>
    <row r="35" spans="10:21" x14ac:dyDescent="0.2">
      <c r="J35" t="s">
        <v>155</v>
      </c>
      <c r="K35" t="s">
        <v>129</v>
      </c>
      <c r="L35">
        <v>7.2</v>
      </c>
      <c r="M35">
        <v>8.64</v>
      </c>
      <c r="N35">
        <v>0.08</v>
      </c>
      <c r="O35">
        <v>0.13</v>
      </c>
      <c r="P35">
        <v>0.28000000000000003</v>
      </c>
      <c r="Q35">
        <v>0.28000000000000003</v>
      </c>
      <c r="R35">
        <v>0.31</v>
      </c>
      <c r="S35">
        <v>0.36</v>
      </c>
      <c r="T35">
        <v>0.53</v>
      </c>
      <c r="U35">
        <v>0.66</v>
      </c>
    </row>
    <row r="36" spans="10:21" x14ac:dyDescent="0.2">
      <c r="J36" t="s">
        <v>156</v>
      </c>
      <c r="K36" t="s">
        <v>130</v>
      </c>
      <c r="L36">
        <v>9.34</v>
      </c>
      <c r="M36">
        <v>10.56</v>
      </c>
      <c r="N36">
        <v>0.09</v>
      </c>
      <c r="O36">
        <v>0.17</v>
      </c>
      <c r="P36">
        <v>0.55000000000000004</v>
      </c>
      <c r="Q36">
        <v>0.55000000000000004</v>
      </c>
      <c r="R36">
        <v>0.61</v>
      </c>
      <c r="S36">
        <v>0.69</v>
      </c>
      <c r="T36">
        <v>0.72</v>
      </c>
      <c r="U36">
        <v>0.88</v>
      </c>
    </row>
    <row r="37" spans="10:21" x14ac:dyDescent="0.2">
      <c r="J37" t="s">
        <v>157</v>
      </c>
      <c r="K37" t="s">
        <v>158</v>
      </c>
      <c r="L37">
        <v>28.4</v>
      </c>
      <c r="M37">
        <v>33.76</v>
      </c>
      <c r="N37">
        <v>0.23</v>
      </c>
      <c r="O37">
        <v>0.44</v>
      </c>
      <c r="P37">
        <v>0.94</v>
      </c>
      <c r="Q37">
        <v>0.94</v>
      </c>
      <c r="R37">
        <v>0.99</v>
      </c>
      <c r="S37">
        <v>1.05</v>
      </c>
      <c r="T37">
        <v>1.21</v>
      </c>
      <c r="U37">
        <v>1.27</v>
      </c>
    </row>
    <row r="38" spans="10:21" x14ac:dyDescent="0.2">
      <c r="J38" t="s">
        <v>159</v>
      </c>
      <c r="K38" t="s">
        <v>160</v>
      </c>
      <c r="L38">
        <v>35.15</v>
      </c>
      <c r="M38">
        <v>41.05</v>
      </c>
      <c r="N38">
        <v>0.23</v>
      </c>
      <c r="O38">
        <v>0.44</v>
      </c>
      <c r="P38">
        <v>0.94</v>
      </c>
      <c r="Q38">
        <v>0.94</v>
      </c>
      <c r="R38">
        <v>0.99</v>
      </c>
      <c r="S38">
        <v>1.05</v>
      </c>
      <c r="T38">
        <v>1.21</v>
      </c>
      <c r="U38">
        <v>1.27</v>
      </c>
    </row>
    <row r="39" spans="10:21" x14ac:dyDescent="0.2">
      <c r="J39" t="s">
        <v>161</v>
      </c>
      <c r="L39">
        <v>8.75</v>
      </c>
      <c r="M39">
        <v>10.89</v>
      </c>
      <c r="N39">
        <v>0.06</v>
      </c>
      <c r="O39">
        <v>0.1</v>
      </c>
      <c r="P39">
        <v>0.17</v>
      </c>
      <c r="Q39">
        <v>0.17</v>
      </c>
      <c r="R39">
        <v>0.19</v>
      </c>
      <c r="S39">
        <v>0.2</v>
      </c>
      <c r="T39">
        <v>0.28000000000000003</v>
      </c>
      <c r="U39">
        <v>0.39</v>
      </c>
    </row>
    <row r="40" spans="10:21" x14ac:dyDescent="0.2">
      <c r="J40" t="s">
        <v>162</v>
      </c>
      <c r="L40">
        <v>11.07</v>
      </c>
      <c r="M40">
        <v>13.92</v>
      </c>
      <c r="N40">
        <v>0.06</v>
      </c>
      <c r="O40">
        <v>0.1</v>
      </c>
      <c r="P40">
        <v>0.17</v>
      </c>
      <c r="Q40">
        <v>0.17</v>
      </c>
      <c r="R40">
        <v>0.19</v>
      </c>
      <c r="S40">
        <v>0.2</v>
      </c>
      <c r="T40">
        <v>0.28000000000000003</v>
      </c>
      <c r="U40">
        <v>0.39</v>
      </c>
    </row>
    <row r="41" spans="10:21" x14ac:dyDescent="0.2">
      <c r="J41" t="s">
        <v>163</v>
      </c>
      <c r="L41">
        <v>15.67</v>
      </c>
      <c r="M41">
        <v>17.14</v>
      </c>
      <c r="N41">
        <v>0.08</v>
      </c>
      <c r="O41">
        <v>0.13</v>
      </c>
      <c r="P41">
        <v>0.28000000000000003</v>
      </c>
      <c r="Q41">
        <v>0.28000000000000003</v>
      </c>
      <c r="R41">
        <v>0.31</v>
      </c>
      <c r="S41">
        <v>0.36</v>
      </c>
      <c r="T41">
        <v>0.53</v>
      </c>
      <c r="U41">
        <v>0.66</v>
      </c>
    </row>
    <row r="42" spans="10:21" x14ac:dyDescent="0.2">
      <c r="J42" t="s">
        <v>164</v>
      </c>
      <c r="L42">
        <v>18.850000000000001</v>
      </c>
      <c r="M42">
        <v>21.35</v>
      </c>
      <c r="N42">
        <v>0.09</v>
      </c>
      <c r="O42">
        <v>0.17</v>
      </c>
      <c r="P42">
        <v>0.55000000000000004</v>
      </c>
      <c r="Q42">
        <v>0.55000000000000004</v>
      </c>
      <c r="R42">
        <v>0.61</v>
      </c>
      <c r="S42">
        <v>0.69</v>
      </c>
      <c r="T42">
        <v>0.72</v>
      </c>
      <c r="U42">
        <v>0.88</v>
      </c>
    </row>
    <row r="43" spans="10:21" x14ac:dyDescent="0.2">
      <c r="J43" t="s">
        <v>165</v>
      </c>
      <c r="L43">
        <v>6.45</v>
      </c>
      <c r="M43">
        <v>6.45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0:21" x14ac:dyDescent="0.2">
      <c r="J44" t="s">
        <v>166</v>
      </c>
      <c r="L44">
        <v>6.45</v>
      </c>
      <c r="M44">
        <v>6.45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0:21" x14ac:dyDescent="0.2">
      <c r="J45" t="s">
        <v>167</v>
      </c>
      <c r="L45">
        <v>6.45</v>
      </c>
      <c r="M45">
        <v>6.45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0:21" x14ac:dyDescent="0.2">
      <c r="J46" t="s">
        <v>168</v>
      </c>
      <c r="L46">
        <v>4.71</v>
      </c>
      <c r="M46">
        <v>5.65</v>
      </c>
      <c r="N46">
        <v>0.06</v>
      </c>
      <c r="O46">
        <v>0.1</v>
      </c>
      <c r="P46">
        <v>0.17</v>
      </c>
      <c r="Q46">
        <v>0.17</v>
      </c>
      <c r="R46">
        <v>0.19</v>
      </c>
      <c r="S46">
        <v>0.2</v>
      </c>
      <c r="T46">
        <v>0.28000000000000003</v>
      </c>
      <c r="U46">
        <v>0.39</v>
      </c>
    </row>
    <row r="47" spans="10:21" x14ac:dyDescent="0.2">
      <c r="J47" t="s">
        <v>169</v>
      </c>
      <c r="L47">
        <v>5.38</v>
      </c>
      <c r="M47">
        <v>6.34</v>
      </c>
      <c r="N47">
        <v>0.06</v>
      </c>
      <c r="O47">
        <v>0.1</v>
      </c>
      <c r="P47">
        <v>0.17</v>
      </c>
      <c r="Q47">
        <v>0.17</v>
      </c>
      <c r="R47">
        <v>0.19</v>
      </c>
      <c r="S47">
        <v>0.2</v>
      </c>
      <c r="T47">
        <v>0.28000000000000003</v>
      </c>
      <c r="U47">
        <v>0.39</v>
      </c>
    </row>
    <row r="48" spans="10:21" x14ac:dyDescent="0.2">
      <c r="J48" t="s">
        <v>170</v>
      </c>
      <c r="L48">
        <v>5.38</v>
      </c>
      <c r="M48">
        <v>6.53</v>
      </c>
      <c r="N48">
        <v>0.06</v>
      </c>
      <c r="O48">
        <v>0.1</v>
      </c>
      <c r="P48">
        <v>0.17</v>
      </c>
      <c r="Q48">
        <v>0.17</v>
      </c>
      <c r="R48">
        <v>0.19</v>
      </c>
      <c r="S48">
        <v>0.2</v>
      </c>
      <c r="T48">
        <v>0.28000000000000003</v>
      </c>
      <c r="U48">
        <v>0.39</v>
      </c>
    </row>
    <row r="49" spans="10:21" x14ac:dyDescent="0.2">
      <c r="J49" t="s">
        <v>171</v>
      </c>
      <c r="L49">
        <v>4.71</v>
      </c>
      <c r="M49">
        <v>5.65</v>
      </c>
      <c r="N49">
        <v>0.06</v>
      </c>
      <c r="O49">
        <v>0.1</v>
      </c>
      <c r="P49">
        <v>0.17</v>
      </c>
      <c r="Q49">
        <v>0.17</v>
      </c>
      <c r="R49">
        <v>0.19</v>
      </c>
      <c r="S49">
        <v>0.2</v>
      </c>
      <c r="T49">
        <v>0.28000000000000003</v>
      </c>
      <c r="U49">
        <v>0.39</v>
      </c>
    </row>
    <row r="50" spans="10:21" x14ac:dyDescent="0.2">
      <c r="J50" t="s">
        <v>172</v>
      </c>
      <c r="L50">
        <v>5.38</v>
      </c>
      <c r="M50">
        <v>6.34</v>
      </c>
      <c r="N50">
        <v>0.06</v>
      </c>
      <c r="O50">
        <v>0.1</v>
      </c>
      <c r="P50">
        <v>0.17</v>
      </c>
      <c r="Q50">
        <v>0.17</v>
      </c>
      <c r="R50">
        <v>0.19</v>
      </c>
      <c r="S50">
        <v>0.2</v>
      </c>
      <c r="T50">
        <v>0.28000000000000003</v>
      </c>
      <c r="U50">
        <v>0.39</v>
      </c>
    </row>
    <row r="51" spans="10:21" x14ac:dyDescent="0.2">
      <c r="J51" t="s">
        <v>173</v>
      </c>
      <c r="L51">
        <v>5.38</v>
      </c>
      <c r="M51">
        <v>6.53</v>
      </c>
      <c r="N51">
        <v>0.06</v>
      </c>
      <c r="O51">
        <v>0.1</v>
      </c>
      <c r="P51">
        <v>0.17</v>
      </c>
      <c r="Q51">
        <v>0.17</v>
      </c>
      <c r="R51">
        <v>0.19</v>
      </c>
      <c r="S51">
        <v>0.2</v>
      </c>
      <c r="T51">
        <v>0.28000000000000003</v>
      </c>
      <c r="U51">
        <v>0.39</v>
      </c>
    </row>
    <row r="52" spans="10:21" x14ac:dyDescent="0.2">
      <c r="J52" t="s">
        <v>174</v>
      </c>
      <c r="L52">
        <v>11.26</v>
      </c>
      <c r="M52">
        <v>12.41</v>
      </c>
      <c r="N52">
        <v>0.06</v>
      </c>
      <c r="O52">
        <v>0.1</v>
      </c>
      <c r="P52">
        <v>0.17</v>
      </c>
      <c r="Q52">
        <v>0.17</v>
      </c>
      <c r="R52">
        <v>0.19</v>
      </c>
      <c r="S52">
        <v>0.2</v>
      </c>
      <c r="T52">
        <v>0.28000000000000003</v>
      </c>
      <c r="U52">
        <v>0.39</v>
      </c>
    </row>
    <row r="53" spans="10:21" x14ac:dyDescent="0.2">
      <c r="J53" t="s">
        <v>175</v>
      </c>
      <c r="L53">
        <v>12.55</v>
      </c>
      <c r="M53">
        <v>13.98</v>
      </c>
      <c r="N53">
        <v>0.06</v>
      </c>
      <c r="O53">
        <v>0.1</v>
      </c>
      <c r="P53">
        <v>0.17</v>
      </c>
      <c r="Q53">
        <v>0.17</v>
      </c>
      <c r="R53">
        <v>0.19</v>
      </c>
      <c r="S53">
        <v>0.2</v>
      </c>
      <c r="T53">
        <v>0.28000000000000003</v>
      </c>
      <c r="U53">
        <v>0.39</v>
      </c>
    </row>
    <row r="54" spans="10:21" x14ac:dyDescent="0.2">
      <c r="J54" t="s">
        <v>176</v>
      </c>
      <c r="L54">
        <v>14.92</v>
      </c>
      <c r="M54">
        <v>16.45</v>
      </c>
      <c r="N54">
        <v>0.08</v>
      </c>
      <c r="O54">
        <v>0.13</v>
      </c>
      <c r="P54">
        <v>0.28000000000000003</v>
      </c>
      <c r="Q54">
        <v>0.28000000000000003</v>
      </c>
      <c r="R54">
        <v>0.31</v>
      </c>
      <c r="S54">
        <v>0.36</v>
      </c>
      <c r="T54">
        <v>0.53</v>
      </c>
      <c r="U54">
        <v>0.66</v>
      </c>
    </row>
    <row r="55" spans="10:21" x14ac:dyDescent="0.2">
      <c r="J55" t="s">
        <v>177</v>
      </c>
      <c r="L55">
        <v>19.25</v>
      </c>
      <c r="M55">
        <v>21.18</v>
      </c>
      <c r="N55">
        <v>0.09</v>
      </c>
      <c r="O55">
        <v>0.17</v>
      </c>
      <c r="P55">
        <v>0.55000000000000004</v>
      </c>
      <c r="Q55">
        <v>0.55000000000000004</v>
      </c>
      <c r="R55">
        <v>0.61</v>
      </c>
      <c r="S55">
        <v>0.69</v>
      </c>
      <c r="T55">
        <v>0.72</v>
      </c>
      <c r="U55">
        <v>0.88</v>
      </c>
    </row>
    <row r="56" spans="10:21" x14ac:dyDescent="0.2">
      <c r="J56" t="s">
        <v>178</v>
      </c>
      <c r="L56">
        <v>55.76</v>
      </c>
      <c r="M56">
        <v>60.6</v>
      </c>
      <c r="N56">
        <v>0.23</v>
      </c>
      <c r="O56">
        <v>0.44</v>
      </c>
      <c r="P56">
        <v>0.94</v>
      </c>
      <c r="Q56">
        <v>0.94</v>
      </c>
      <c r="R56">
        <v>0.99</v>
      </c>
      <c r="S56">
        <v>1.05</v>
      </c>
      <c r="T56">
        <v>1.21</v>
      </c>
      <c r="U56">
        <v>1.27</v>
      </c>
    </row>
    <row r="57" spans="10:21" x14ac:dyDescent="0.2">
      <c r="J57" t="s">
        <v>179</v>
      </c>
      <c r="L57">
        <v>52.12</v>
      </c>
      <c r="M57">
        <v>60.79</v>
      </c>
      <c r="N57">
        <v>0.23</v>
      </c>
      <c r="O57">
        <v>0.44</v>
      </c>
      <c r="P57">
        <v>0.94</v>
      </c>
      <c r="Q57">
        <v>0.94</v>
      </c>
      <c r="R57">
        <v>0.99</v>
      </c>
      <c r="S57">
        <v>1.05</v>
      </c>
      <c r="T57">
        <v>1.21</v>
      </c>
      <c r="U57">
        <v>1.27</v>
      </c>
    </row>
  </sheetData>
  <sheetProtection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Order Form</vt:lpstr>
      <vt:lpstr>Size Parameters</vt:lpstr>
      <vt:lpstr>Finishes</vt:lpstr>
      <vt:lpstr>DATA</vt:lpstr>
      <vt:lpstr>Manufacturers</vt:lpstr>
      <vt:lpstr>Other</vt:lpstr>
      <vt:lpstr>'Order Form'!Print_Area</vt:lpstr>
      <vt:lpstr>Stevenswood</vt:lpstr>
      <vt:lpstr>Tafisa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Hance Hardy</dc:creator>
  <cp:keywords/>
  <dc:description/>
  <cp:lastModifiedBy>Hance Hardy</cp:lastModifiedBy>
  <cp:revision/>
  <cp:lastPrinted>2024-11-06T03:47:31Z</cp:lastPrinted>
  <dcterms:created xsi:type="dcterms:W3CDTF">2022-08-13T21:39:04Z</dcterms:created>
  <dcterms:modified xsi:type="dcterms:W3CDTF">2025-03-14T04:37:14Z</dcterms:modified>
  <cp:category/>
  <cp:contentStatus/>
</cp:coreProperties>
</file>