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itleen\Documents\"/>
    </mc:Choice>
  </mc:AlternateContent>
  <xr:revisionPtr revIDLastSave="0" documentId="13_ncr:1_{CD23DDDC-9A9B-4B8F-A922-79CD9B36E31C}" xr6:coauthVersionLast="47" xr6:coauthVersionMax="47" xr10:uidLastSave="{00000000-0000-0000-0000-000000000000}"/>
  <bookViews>
    <workbookView xWindow="-120" yWindow="-120" windowWidth="29040" windowHeight="15840" activeTab="3" xr2:uid="{F36ADF05-F61C-4526-86F2-ED0FFBC28FB9}"/>
  </bookViews>
  <sheets>
    <sheet name="Afleiding_Tapwater_schema" sheetId="3" r:id="rId1"/>
    <sheet name="Tapwater" sheetId="4" r:id="rId2"/>
    <sheet name="Globaal model" sheetId="1" r:id="rId3"/>
    <sheet name="Radiator" sheetId="6" r:id="rId4"/>
    <sheet name="Interne lasten" sheetId="7" r:id="rId5"/>
    <sheet name="Blad3" sheetId="5" state="hidden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4" l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6" i="4"/>
  <c r="F116" i="1"/>
  <c r="F99" i="1"/>
  <c r="F96" i="1"/>
  <c r="F94" i="1"/>
  <c r="O7" i="6" l="1"/>
  <c r="O8" i="6"/>
  <c r="P8" i="6" s="1"/>
  <c r="Q8" i="6" s="1"/>
  <c r="O9" i="6"/>
  <c r="P9" i="6" s="1"/>
  <c r="Q9" i="6" s="1"/>
  <c r="O10" i="6"/>
  <c r="P10" i="6" s="1"/>
  <c r="Q10" i="6" s="1"/>
  <c r="O11" i="6"/>
  <c r="O12" i="6"/>
  <c r="P12" i="6" s="1"/>
  <c r="Q12" i="6" s="1"/>
  <c r="O13" i="6"/>
  <c r="P13" i="6" s="1"/>
  <c r="Q13" i="6" s="1"/>
  <c r="O14" i="6"/>
  <c r="P14" i="6" s="1"/>
  <c r="Q14" i="6" s="1"/>
  <c r="O15" i="6"/>
  <c r="O16" i="6"/>
  <c r="O17" i="6"/>
  <c r="O18" i="6"/>
  <c r="P18" i="6" s="1"/>
  <c r="Q18" i="6" s="1"/>
  <c r="O19" i="6"/>
  <c r="P19" i="6" s="1"/>
  <c r="Q19" i="6" s="1"/>
  <c r="O20" i="6"/>
  <c r="P20" i="6" s="1"/>
  <c r="Q20" i="6" s="1"/>
  <c r="O21" i="6"/>
  <c r="P21" i="6" s="1"/>
  <c r="Q21" i="6" s="1"/>
  <c r="O22" i="6"/>
  <c r="P22" i="6" s="1"/>
  <c r="Q22" i="6" s="1"/>
  <c r="O23" i="6"/>
  <c r="O24" i="6"/>
  <c r="O25" i="6"/>
  <c r="O26" i="6"/>
  <c r="P26" i="6" s="1"/>
  <c r="Q26" i="6" s="1"/>
  <c r="O27" i="6"/>
  <c r="P27" i="6" s="1"/>
  <c r="Q27" i="6" s="1"/>
  <c r="O28" i="6"/>
  <c r="P28" i="6" s="1"/>
  <c r="Q28" i="6" s="1"/>
  <c r="O29" i="6"/>
  <c r="O30" i="6"/>
  <c r="O31" i="6"/>
  <c r="P31" i="6" s="1"/>
  <c r="Q31" i="6" s="1"/>
  <c r="O32" i="6"/>
  <c r="P32" i="6" s="1"/>
  <c r="Q32" i="6" s="1"/>
  <c r="O33" i="6"/>
  <c r="P33" i="6" s="1"/>
  <c r="Q33" i="6" s="1"/>
  <c r="O34" i="6"/>
  <c r="P34" i="6" s="1"/>
  <c r="Q34" i="6" s="1"/>
  <c r="O6" i="6"/>
  <c r="P6" i="6" s="1"/>
  <c r="Q6" i="6" s="1"/>
  <c r="P11" i="6"/>
  <c r="Q11" i="6" s="1"/>
  <c r="P29" i="6"/>
  <c r="Q29" i="6" s="1"/>
  <c r="P30" i="6"/>
  <c r="Q30" i="6" s="1"/>
  <c r="P7" i="6"/>
  <c r="Q7" i="6" s="1"/>
  <c r="P15" i="6"/>
  <c r="Q15" i="6" s="1"/>
  <c r="P16" i="6"/>
  <c r="Q16" i="6" s="1"/>
  <c r="P17" i="6"/>
  <c r="Q17" i="6" s="1"/>
  <c r="P23" i="6"/>
  <c r="Q23" i="6" s="1"/>
  <c r="P24" i="6"/>
  <c r="Q24" i="6" s="1"/>
  <c r="P25" i="6"/>
  <c r="Q25" i="6" s="1"/>
  <c r="V3" i="6" l="1"/>
  <c r="V4" i="6" s="1"/>
  <c r="W3" i="6"/>
  <c r="K6" i="6"/>
  <c r="G88" i="3"/>
  <c r="D6" i="4"/>
  <c r="G84" i="3"/>
  <c r="G75" i="3"/>
  <c r="F123" i="1"/>
  <c r="G78" i="3"/>
  <c r="B8" i="7"/>
  <c r="F84" i="1"/>
  <c r="B11" i="7" l="1"/>
  <c r="B12" i="7" s="1"/>
  <c r="B9" i="7"/>
  <c r="B6" i="7"/>
  <c r="I70" i="3"/>
  <c r="K7" i="6"/>
  <c r="K8" i="6"/>
  <c r="K9" i="6"/>
  <c r="K10" i="6"/>
  <c r="K11" i="6"/>
  <c r="K12" i="6"/>
  <c r="K13" i="6"/>
  <c r="K14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15" i="6"/>
  <c r="C6" i="4"/>
  <c r="A7" i="4"/>
  <c r="A8" i="4" s="1"/>
  <c r="D8" i="4" s="1"/>
  <c r="K4" i="4" l="1"/>
  <c r="C7" i="4"/>
  <c r="C8" i="4"/>
  <c r="D7" i="4"/>
  <c r="A9" i="4"/>
  <c r="C9" i="4" s="1"/>
  <c r="D10" i="6"/>
  <c r="L15" i="6" s="1"/>
  <c r="J41" i="1"/>
  <c r="L11" i="6" l="1"/>
  <c r="M11" i="6" s="1"/>
  <c r="L29" i="6"/>
  <c r="M29" i="6" s="1"/>
  <c r="L19" i="6"/>
  <c r="L12" i="6"/>
  <c r="M12" i="6" s="1"/>
  <c r="L13" i="6"/>
  <c r="M13" i="6" s="1"/>
  <c r="L7" i="6"/>
  <c r="M7" i="6" s="1"/>
  <c r="L8" i="6"/>
  <c r="M8" i="6" s="1"/>
  <c r="L28" i="6"/>
  <c r="M28" i="6" s="1"/>
  <c r="L30" i="6"/>
  <c r="L31" i="6"/>
  <c r="M31" i="6" s="1"/>
  <c r="L32" i="6"/>
  <c r="M32" i="6" s="1"/>
  <c r="L24" i="6"/>
  <c r="M24" i="6" s="1"/>
  <c r="L33" i="6"/>
  <c r="M33" i="6" s="1"/>
  <c r="L25" i="6"/>
  <c r="M25" i="6" s="1"/>
  <c r="L6" i="6"/>
  <c r="M6" i="6" s="1"/>
  <c r="L26" i="6"/>
  <c r="M26" i="6" s="1"/>
  <c r="L21" i="6"/>
  <c r="L14" i="6"/>
  <c r="M14" i="6" s="1"/>
  <c r="L22" i="6"/>
  <c r="L23" i="6"/>
  <c r="L16" i="6"/>
  <c r="M16" i="6" s="1"/>
  <c r="L17" i="6"/>
  <c r="M17" i="6" s="1"/>
  <c r="L34" i="6"/>
  <c r="M34" i="6" s="1"/>
  <c r="L10" i="6"/>
  <c r="M10" i="6" s="1"/>
  <c r="L18" i="6"/>
  <c r="L9" i="6"/>
  <c r="M9" i="6" s="1"/>
  <c r="L20" i="6"/>
  <c r="M20" i="6" s="1"/>
  <c r="L27" i="6"/>
  <c r="M27" i="6" s="1"/>
  <c r="M21" i="6"/>
  <c r="M22" i="6"/>
  <c r="M23" i="6"/>
  <c r="M15" i="6"/>
  <c r="D12" i="6"/>
  <c r="D14" i="6" s="1"/>
  <c r="M19" i="6"/>
  <c r="M18" i="6"/>
  <c r="M30" i="6"/>
  <c r="D9" i="4"/>
  <c r="A10" i="4"/>
  <c r="C10" i="4" s="1"/>
  <c r="F69" i="1"/>
  <c r="F62" i="1"/>
  <c r="F63" i="1"/>
  <c r="F42" i="1"/>
  <c r="F51" i="1"/>
  <c r="F76" i="1" s="1"/>
  <c r="F77" i="1" s="1"/>
  <c r="F80" i="1" s="1"/>
  <c r="D10" i="4" l="1"/>
  <c r="A11" i="4"/>
  <c r="C11" i="4" s="1"/>
  <c r="D11" i="4" l="1"/>
  <c r="A12" i="4"/>
  <c r="C12" i="4" s="1"/>
  <c r="H120" i="3"/>
  <c r="K16" i="3"/>
  <c r="L16" i="3" s="1"/>
  <c r="O16" i="3" s="1"/>
  <c r="K17" i="3"/>
  <c r="L17" i="3" s="1"/>
  <c r="K18" i="3"/>
  <c r="L18" i="3" s="1"/>
  <c r="K19" i="3"/>
  <c r="L19" i="3" s="1"/>
  <c r="K20" i="3"/>
  <c r="L20" i="3" s="1"/>
  <c r="K21" i="3"/>
  <c r="L21" i="3" s="1"/>
  <c r="K22" i="3"/>
  <c r="L22" i="3" s="1"/>
  <c r="K23" i="3"/>
  <c r="L23" i="3" s="1"/>
  <c r="K24" i="3"/>
  <c r="L24" i="3" s="1"/>
  <c r="K25" i="3"/>
  <c r="L25" i="3" s="1"/>
  <c r="K26" i="3"/>
  <c r="L26" i="3" s="1"/>
  <c r="K27" i="3"/>
  <c r="L27" i="3" s="1"/>
  <c r="K28" i="3"/>
  <c r="L28" i="3" s="1"/>
  <c r="K29" i="3"/>
  <c r="L29" i="3" s="1"/>
  <c r="K30" i="3"/>
  <c r="L30" i="3" s="1"/>
  <c r="K31" i="3"/>
  <c r="L31" i="3" s="1"/>
  <c r="K32" i="3"/>
  <c r="L32" i="3" s="1"/>
  <c r="K33" i="3"/>
  <c r="L33" i="3" s="1"/>
  <c r="K34" i="3"/>
  <c r="L34" i="3" s="1"/>
  <c r="K35" i="3"/>
  <c r="L35" i="3" s="1"/>
  <c r="K36" i="3"/>
  <c r="L36" i="3" s="1"/>
  <c r="K37" i="3"/>
  <c r="L37" i="3" s="1"/>
  <c r="K38" i="3"/>
  <c r="L38" i="3" s="1"/>
  <c r="K39" i="3"/>
  <c r="L39" i="3" s="1"/>
  <c r="K40" i="3"/>
  <c r="L40" i="3" s="1"/>
  <c r="K41" i="3"/>
  <c r="L41" i="3" s="1"/>
  <c r="K42" i="3"/>
  <c r="L42" i="3" s="1"/>
  <c r="K43" i="3"/>
  <c r="L43" i="3" s="1"/>
  <c r="K44" i="3"/>
  <c r="L44" i="3" s="1"/>
  <c r="K45" i="3"/>
  <c r="L45" i="3" s="1"/>
  <c r="K46" i="3"/>
  <c r="L46" i="3" s="1"/>
  <c r="K47" i="3"/>
  <c r="L47" i="3" s="1"/>
  <c r="K48" i="3"/>
  <c r="L48" i="3" s="1"/>
  <c r="K49" i="3"/>
  <c r="L49" i="3" s="1"/>
  <c r="K50" i="3"/>
  <c r="L50" i="3" s="1"/>
  <c r="K51" i="3"/>
  <c r="L51" i="3" s="1"/>
  <c r="K52" i="3"/>
  <c r="L52" i="3" s="1"/>
  <c r="K53" i="3"/>
  <c r="L53" i="3" s="1"/>
  <c r="K54" i="3"/>
  <c r="L54" i="3" s="1"/>
  <c r="K55" i="3"/>
  <c r="L55" i="3" s="1"/>
  <c r="K56" i="3"/>
  <c r="L56" i="3" s="1"/>
  <c r="K57" i="3"/>
  <c r="L57" i="3" s="1"/>
  <c r="K58" i="3"/>
  <c r="L58" i="3" s="1"/>
  <c r="K59" i="3"/>
  <c r="L59" i="3" s="1"/>
  <c r="K60" i="3"/>
  <c r="L60" i="3" s="1"/>
  <c r="K61" i="3"/>
  <c r="L61" i="3" s="1"/>
  <c r="K62" i="3"/>
  <c r="L62" i="3" s="1"/>
  <c r="O62" i="3" s="1"/>
  <c r="K63" i="3"/>
  <c r="L63" i="3" s="1"/>
  <c r="K15" i="3"/>
  <c r="L15" i="3" s="1"/>
  <c r="J15" i="3"/>
  <c r="J16" i="3"/>
  <c r="M16" i="3" s="1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M62" i="3" s="1"/>
  <c r="J63" i="3"/>
  <c r="J14" i="3"/>
  <c r="M14" i="3" s="1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15" i="3"/>
  <c r="F125" i="1"/>
  <c r="I125" i="1" s="1"/>
  <c r="F113" i="1"/>
  <c r="F112" i="1"/>
  <c r="F109" i="1"/>
  <c r="F111" i="1" s="1"/>
  <c r="F56" i="1"/>
  <c r="F55" i="1"/>
  <c r="F53" i="1"/>
  <c r="F54" i="1" s="1"/>
  <c r="F105" i="1" s="1"/>
  <c r="F107" i="1" s="1"/>
  <c r="F50" i="1"/>
  <c r="F52" i="1" s="1"/>
  <c r="F59" i="1" s="1"/>
  <c r="F60" i="1" l="1"/>
  <c r="A13" i="4"/>
  <c r="C13" i="4" s="1"/>
  <c r="D12" i="4"/>
  <c r="M56" i="3"/>
  <c r="N56" i="3" s="1"/>
  <c r="M48" i="3"/>
  <c r="N48" i="3" s="1"/>
  <c r="M40" i="3"/>
  <c r="N40" i="3" s="1"/>
  <c r="M32" i="3"/>
  <c r="N32" i="3" s="1"/>
  <c r="M24" i="3"/>
  <c r="N24" i="3" s="1"/>
  <c r="G74" i="3"/>
  <c r="M61" i="3"/>
  <c r="N61" i="3" s="1"/>
  <c r="M53" i="3"/>
  <c r="N53" i="3" s="1"/>
  <c r="M45" i="3"/>
  <c r="N45" i="3" s="1"/>
  <c r="M37" i="3"/>
  <c r="N37" i="3" s="1"/>
  <c r="M29" i="3"/>
  <c r="N29" i="3" s="1"/>
  <c r="M21" i="3"/>
  <c r="N21" i="3" s="1"/>
  <c r="M57" i="3"/>
  <c r="N57" i="3" s="1"/>
  <c r="M49" i="3"/>
  <c r="N49" i="3" s="1"/>
  <c r="M41" i="3"/>
  <c r="N41" i="3" s="1"/>
  <c r="M33" i="3"/>
  <c r="N33" i="3" s="1"/>
  <c r="M25" i="3"/>
  <c r="N25" i="3" s="1"/>
  <c r="M17" i="3"/>
  <c r="N17" i="3" s="1"/>
  <c r="M55" i="3"/>
  <c r="N55" i="3" s="1"/>
  <c r="M39" i="3"/>
  <c r="N39" i="3" s="1"/>
  <c r="M31" i="3"/>
  <c r="N31" i="3" s="1"/>
  <c r="M44" i="3"/>
  <c r="N44" i="3" s="1"/>
  <c r="M36" i="3"/>
  <c r="N36" i="3" s="1"/>
  <c r="M20" i="3"/>
  <c r="N20" i="3" s="1"/>
  <c r="M28" i="3"/>
  <c r="N28" i="3" s="1"/>
  <c r="M47" i="3"/>
  <c r="N47" i="3" s="1"/>
  <c r="M23" i="3"/>
  <c r="N23" i="3" s="1"/>
  <c r="M63" i="3"/>
  <c r="N63" i="3" s="1"/>
  <c r="M52" i="3"/>
  <c r="N52" i="3" s="1"/>
  <c r="M60" i="3"/>
  <c r="N60" i="3" s="1"/>
  <c r="M54" i="3"/>
  <c r="N54" i="3" s="1"/>
  <c r="M46" i="3"/>
  <c r="N46" i="3" s="1"/>
  <c r="M38" i="3"/>
  <c r="N38" i="3" s="1"/>
  <c r="M30" i="3"/>
  <c r="N30" i="3" s="1"/>
  <c r="M22" i="3"/>
  <c r="N22" i="3" s="1"/>
  <c r="M59" i="3"/>
  <c r="N59" i="3" s="1"/>
  <c r="M51" i="3"/>
  <c r="N51" i="3" s="1"/>
  <c r="M43" i="3"/>
  <c r="N43" i="3" s="1"/>
  <c r="M35" i="3"/>
  <c r="N35" i="3" s="1"/>
  <c r="M27" i="3"/>
  <c r="N27" i="3" s="1"/>
  <c r="M19" i="3"/>
  <c r="N19" i="3" s="1"/>
  <c r="M58" i="3"/>
  <c r="N58" i="3" s="1"/>
  <c r="M50" i="3"/>
  <c r="N50" i="3" s="1"/>
  <c r="M42" i="3"/>
  <c r="N42" i="3" s="1"/>
  <c r="M34" i="3"/>
  <c r="N34" i="3" s="1"/>
  <c r="M26" i="3"/>
  <c r="N26" i="3" s="1"/>
  <c r="M18" i="3"/>
  <c r="N18" i="3" s="1"/>
  <c r="M15" i="3"/>
  <c r="N15" i="3" s="1"/>
  <c r="F101" i="1"/>
  <c r="F103" i="1" s="1"/>
  <c r="F66" i="1" l="1"/>
  <c r="F67" i="1" s="1"/>
  <c r="F95" i="1"/>
  <c r="F97" i="1" s="1"/>
  <c r="F98" i="1" s="1"/>
  <c r="F64" i="1"/>
  <c r="F65" i="1" s="1"/>
  <c r="F68" i="1" s="1"/>
  <c r="F71" i="1" s="1"/>
  <c r="F81" i="1"/>
  <c r="F82" i="1" s="1"/>
  <c r="F85" i="1" s="1"/>
  <c r="D13" i="4"/>
  <c r="A14" i="4"/>
  <c r="C14" i="4" s="1"/>
  <c r="I69" i="3"/>
  <c r="G69" i="3"/>
  <c r="A15" i="4" l="1"/>
  <c r="C15" i="4" s="1"/>
  <c r="D14" i="4"/>
  <c r="G76" i="3"/>
  <c r="G77" i="3" s="1"/>
  <c r="G81" i="3" s="1"/>
  <c r="I71" i="3"/>
  <c r="G96" i="3" s="1"/>
  <c r="G71" i="3"/>
  <c r="G85" i="3" l="1"/>
  <c r="G87" i="3" s="1"/>
  <c r="G95" i="3" s="1"/>
  <c r="E8" i="4"/>
  <c r="G8" i="4" s="1"/>
  <c r="K8" i="4" s="1"/>
  <c r="E9" i="4"/>
  <c r="E12" i="4"/>
  <c r="H12" i="4" s="1"/>
  <c r="A16" i="4"/>
  <c r="C16" i="4" s="1"/>
  <c r="D15" i="4"/>
  <c r="G83" i="3"/>
  <c r="E13" i="4" l="1"/>
  <c r="E7" i="4"/>
  <c r="H7" i="4" s="1"/>
  <c r="E16" i="4"/>
  <c r="E15" i="4"/>
  <c r="E6" i="4"/>
  <c r="H6" i="4" s="1"/>
  <c r="E10" i="4"/>
  <c r="G10" i="4" s="1"/>
  <c r="E14" i="4"/>
  <c r="H14" i="4" s="1"/>
  <c r="E11" i="4"/>
  <c r="G7" i="4"/>
  <c r="I7" i="4" s="1"/>
  <c r="J7" i="4" s="1"/>
  <c r="G6" i="4"/>
  <c r="K6" i="4" s="1"/>
  <c r="H8" i="4"/>
  <c r="I8" i="4" s="1"/>
  <c r="J8" i="4" s="1"/>
  <c r="G9" i="4"/>
  <c r="H9" i="4"/>
  <c r="G13" i="4"/>
  <c r="H13" i="4"/>
  <c r="G12" i="4"/>
  <c r="K12" i="4" s="1"/>
  <c r="H15" i="4"/>
  <c r="G15" i="4"/>
  <c r="A17" i="4"/>
  <c r="D16" i="4"/>
  <c r="C17" i="4" l="1"/>
  <c r="E17" i="4"/>
  <c r="H10" i="4"/>
  <c r="G14" i="4"/>
  <c r="K14" i="4" s="1"/>
  <c r="G11" i="4"/>
  <c r="K11" i="4" s="1"/>
  <c r="H11" i="4"/>
  <c r="K7" i="4"/>
  <c r="I6" i="4"/>
  <c r="J6" i="4" s="1"/>
  <c r="K9" i="4"/>
  <c r="I9" i="4"/>
  <c r="J9" i="4" s="1"/>
  <c r="K10" i="4"/>
  <c r="I10" i="4"/>
  <c r="J10" i="4" s="1"/>
  <c r="I12" i="4"/>
  <c r="J12" i="4" s="1"/>
  <c r="K13" i="4"/>
  <c r="I13" i="4"/>
  <c r="J13" i="4" s="1"/>
  <c r="K15" i="4"/>
  <c r="I15" i="4"/>
  <c r="J15" i="4" s="1"/>
  <c r="H16" i="4"/>
  <c r="G16" i="4"/>
  <c r="D17" i="4"/>
  <c r="A18" i="4"/>
  <c r="C18" i="4" l="1"/>
  <c r="E18" i="4"/>
  <c r="I14" i="4"/>
  <c r="J14" i="4" s="1"/>
  <c r="I11" i="4"/>
  <c r="J11" i="4" s="1"/>
  <c r="K16" i="4"/>
  <c r="I16" i="4"/>
  <c r="J16" i="4" s="1"/>
  <c r="H17" i="4"/>
  <c r="D18" i="4"/>
  <c r="A19" i="4"/>
  <c r="G17" i="4"/>
  <c r="C19" i="4" l="1"/>
  <c r="E19" i="4"/>
  <c r="K17" i="4"/>
  <c r="I17" i="4"/>
  <c r="J17" i="4" s="1"/>
  <c r="H18" i="4"/>
  <c r="G18" i="4"/>
  <c r="D19" i="4"/>
  <c r="A20" i="4"/>
  <c r="C20" i="4" l="1"/>
  <c r="E20" i="4"/>
  <c r="K18" i="4"/>
  <c r="I18" i="4"/>
  <c r="J18" i="4" s="1"/>
  <c r="H19" i="4"/>
  <c r="G19" i="4"/>
  <c r="A21" i="4"/>
  <c r="D20" i="4"/>
  <c r="C21" i="4" l="1"/>
  <c r="E21" i="4"/>
  <c r="K19" i="4"/>
  <c r="I19" i="4"/>
  <c r="J19" i="4" s="1"/>
  <c r="H20" i="4"/>
  <c r="G20" i="4"/>
  <c r="A22" i="4"/>
  <c r="D21" i="4"/>
  <c r="C22" i="4" l="1"/>
  <c r="E22" i="4"/>
  <c r="H21" i="4"/>
  <c r="K20" i="4"/>
  <c r="I20" i="4"/>
  <c r="J20" i="4" s="1"/>
  <c r="G21" i="4"/>
  <c r="A23" i="4"/>
  <c r="D22" i="4"/>
  <c r="C23" i="4" l="1"/>
  <c r="E23" i="4"/>
  <c r="K21" i="4"/>
  <c r="I21" i="4"/>
  <c r="J21" i="4" s="1"/>
  <c r="H22" i="4"/>
  <c r="G22" i="4"/>
  <c r="A24" i="4"/>
  <c r="D23" i="4"/>
  <c r="C24" i="4" l="1"/>
  <c r="E24" i="4"/>
  <c r="H23" i="4"/>
  <c r="K22" i="4"/>
  <c r="I22" i="4"/>
  <c r="J22" i="4" s="1"/>
  <c r="A25" i="4"/>
  <c r="D24" i="4"/>
  <c r="G23" i="4"/>
  <c r="C25" i="4" l="1"/>
  <c r="E25" i="4"/>
  <c r="K23" i="4"/>
  <c r="I23" i="4"/>
  <c r="J23" i="4" s="1"/>
  <c r="H24" i="4"/>
  <c r="G24" i="4"/>
  <c r="D25" i="4"/>
  <c r="A26" i="4"/>
  <c r="C26" i="4" l="1"/>
  <c r="E26" i="4"/>
  <c r="K24" i="4"/>
  <c r="I24" i="4"/>
  <c r="J24" i="4" s="1"/>
  <c r="H25" i="4"/>
  <c r="D26" i="4"/>
  <c r="A27" i="4"/>
  <c r="G25" i="4"/>
  <c r="C27" i="4" l="1"/>
  <c r="E27" i="4"/>
  <c r="K25" i="4"/>
  <c r="I25" i="4"/>
  <c r="J25" i="4" s="1"/>
  <c r="H26" i="4"/>
  <c r="D27" i="4"/>
  <c r="A28" i="4"/>
  <c r="G26" i="4"/>
  <c r="C28" i="4" l="1"/>
  <c r="E28" i="4"/>
  <c r="K26" i="4"/>
  <c r="I26" i="4"/>
  <c r="J26" i="4" s="1"/>
  <c r="G27" i="4"/>
  <c r="H27" i="4"/>
  <c r="A29" i="4"/>
  <c r="D28" i="4"/>
  <c r="C29" i="4" l="1"/>
  <c r="E29" i="4"/>
  <c r="H28" i="4"/>
  <c r="K27" i="4"/>
  <c r="I27" i="4"/>
  <c r="J27" i="4" s="1"/>
  <c r="D29" i="4"/>
  <c r="A30" i="4"/>
  <c r="G28" i="4"/>
  <c r="C30" i="4" l="1"/>
  <c r="E30" i="4"/>
  <c r="K28" i="4"/>
  <c r="I28" i="4"/>
  <c r="J28" i="4" s="1"/>
  <c r="H29" i="4"/>
  <c r="A31" i="4"/>
  <c r="D30" i="4"/>
  <c r="G29" i="4"/>
  <c r="C31" i="4" l="1"/>
  <c r="E31" i="4"/>
  <c r="K29" i="4"/>
  <c r="I29" i="4"/>
  <c r="J29" i="4" s="1"/>
  <c r="H30" i="4"/>
  <c r="G30" i="4"/>
  <c r="A32" i="4"/>
  <c r="D31" i="4"/>
  <c r="C32" i="4" l="1"/>
  <c r="E32" i="4"/>
  <c r="K30" i="4"/>
  <c r="I30" i="4"/>
  <c r="J30" i="4" s="1"/>
  <c r="H31" i="4"/>
  <c r="A33" i="4"/>
  <c r="D32" i="4"/>
  <c r="G31" i="4"/>
  <c r="C33" i="4" l="1"/>
  <c r="E33" i="4"/>
  <c r="K31" i="4"/>
  <c r="I31" i="4"/>
  <c r="J31" i="4" s="1"/>
  <c r="H32" i="4"/>
  <c r="D33" i="4"/>
  <c r="A34" i="4"/>
  <c r="G32" i="4"/>
  <c r="C34" i="4" l="1"/>
  <c r="E34" i="4"/>
  <c r="K32" i="4"/>
  <c r="I32" i="4"/>
  <c r="J32" i="4" s="1"/>
  <c r="H33" i="4"/>
  <c r="G33" i="4"/>
  <c r="D34" i="4"/>
  <c r="A35" i="4"/>
  <c r="C35" i="4" l="1"/>
  <c r="E35" i="4"/>
  <c r="K33" i="4"/>
  <c r="I33" i="4"/>
  <c r="J33" i="4" s="1"/>
  <c r="H34" i="4"/>
  <c r="G34" i="4"/>
  <c r="D35" i="4"/>
  <c r="A36" i="4"/>
  <c r="C36" i="4" l="1"/>
  <c r="E36" i="4"/>
  <c r="K34" i="4"/>
  <c r="I34" i="4"/>
  <c r="J34" i="4" s="1"/>
  <c r="H35" i="4"/>
  <c r="G35" i="4"/>
  <c r="A37" i="4"/>
  <c r="D36" i="4"/>
  <c r="C37" i="4" l="1"/>
  <c r="E37" i="4"/>
  <c r="K35" i="4"/>
  <c r="I35" i="4"/>
  <c r="J35" i="4" s="1"/>
  <c r="H36" i="4"/>
  <c r="G36" i="4"/>
  <c r="A38" i="4"/>
  <c r="D37" i="4"/>
  <c r="C38" i="4" l="1"/>
  <c r="E38" i="4"/>
  <c r="K36" i="4"/>
  <c r="I36" i="4"/>
  <c r="J36" i="4" s="1"/>
  <c r="H37" i="4"/>
  <c r="G37" i="4"/>
  <c r="A39" i="4"/>
  <c r="D38" i="4"/>
  <c r="C39" i="4" l="1"/>
  <c r="E39" i="4"/>
  <c r="K37" i="4"/>
  <c r="I37" i="4"/>
  <c r="J37" i="4" s="1"/>
  <c r="H38" i="4"/>
  <c r="G38" i="4"/>
  <c r="A40" i="4"/>
  <c r="D39" i="4"/>
  <c r="C40" i="4" l="1"/>
  <c r="E40" i="4"/>
  <c r="H39" i="4"/>
  <c r="K38" i="4"/>
  <c r="I38" i="4"/>
  <c r="J38" i="4" s="1"/>
  <c r="G39" i="4"/>
  <c r="A41" i="4"/>
  <c r="D40" i="4"/>
  <c r="C41" i="4" l="1"/>
  <c r="E41" i="4"/>
  <c r="K39" i="4"/>
  <c r="I39" i="4"/>
  <c r="J39" i="4" s="1"/>
  <c r="H40" i="4"/>
  <c r="G40" i="4"/>
  <c r="A42" i="4"/>
  <c r="D41" i="4"/>
  <c r="C42" i="4" l="1"/>
  <c r="E42" i="4"/>
  <c r="K40" i="4"/>
  <c r="I40" i="4"/>
  <c r="J40" i="4" s="1"/>
  <c r="H41" i="4"/>
  <c r="G41" i="4"/>
  <c r="A43" i="4"/>
  <c r="D42" i="4"/>
  <c r="C43" i="4" l="1"/>
  <c r="E43" i="4"/>
  <c r="K41" i="4"/>
  <c r="I41" i="4"/>
  <c r="J41" i="4" s="1"/>
  <c r="H42" i="4"/>
  <c r="G42" i="4"/>
  <c r="D43" i="4"/>
  <c r="A44" i="4"/>
  <c r="C44" i="4" l="1"/>
  <c r="E44" i="4"/>
  <c r="K42" i="4"/>
  <c r="I42" i="4"/>
  <c r="J42" i="4" s="1"/>
  <c r="H43" i="4"/>
  <c r="G43" i="4"/>
  <c r="A45" i="4"/>
  <c r="D44" i="4"/>
  <c r="C45" i="4" l="1"/>
  <c r="E45" i="4"/>
  <c r="H44" i="4"/>
  <c r="K43" i="4"/>
  <c r="I43" i="4"/>
  <c r="J43" i="4" s="1"/>
  <c r="G44" i="4"/>
  <c r="A46" i="4"/>
  <c r="D45" i="4"/>
  <c r="C46" i="4" l="1"/>
  <c r="E46" i="4"/>
  <c r="H45" i="4"/>
  <c r="K44" i="4"/>
  <c r="I44" i="4"/>
  <c r="J44" i="4" s="1"/>
  <c r="G45" i="4"/>
  <c r="A47" i="4"/>
  <c r="D46" i="4"/>
  <c r="C47" i="4" l="1"/>
  <c r="E47" i="4"/>
  <c r="K45" i="4"/>
  <c r="I45" i="4"/>
  <c r="J45" i="4" s="1"/>
  <c r="H46" i="4"/>
  <c r="G46" i="4"/>
  <c r="A48" i="4"/>
  <c r="D47" i="4"/>
  <c r="C48" i="4" l="1"/>
  <c r="E48" i="4"/>
  <c r="K46" i="4"/>
  <c r="I46" i="4"/>
  <c r="J46" i="4" s="1"/>
  <c r="H47" i="4"/>
  <c r="G47" i="4"/>
  <c r="A49" i="4"/>
  <c r="D48" i="4"/>
  <c r="C49" i="4" l="1"/>
  <c r="E49" i="4"/>
  <c r="K47" i="4"/>
  <c r="I47" i="4"/>
  <c r="J47" i="4" s="1"/>
  <c r="H48" i="4"/>
  <c r="G48" i="4"/>
  <c r="A50" i="4"/>
  <c r="D49" i="4"/>
  <c r="C50" i="4" l="1"/>
  <c r="E50" i="4"/>
  <c r="K48" i="4"/>
  <c r="I48" i="4"/>
  <c r="J48" i="4" s="1"/>
  <c r="H49" i="4"/>
  <c r="G49" i="4"/>
  <c r="A51" i="4"/>
  <c r="D50" i="4"/>
  <c r="C51" i="4" l="1"/>
  <c r="E51" i="4"/>
  <c r="K49" i="4"/>
  <c r="I49" i="4"/>
  <c r="J49" i="4" s="1"/>
  <c r="H50" i="4"/>
  <c r="G50" i="4"/>
  <c r="D51" i="4"/>
  <c r="A52" i="4"/>
  <c r="C52" i="4" l="1"/>
  <c r="E52" i="4"/>
  <c r="H51" i="4"/>
  <c r="K50" i="4"/>
  <c r="I50" i="4"/>
  <c r="J50" i="4" s="1"/>
  <c r="G51" i="4"/>
  <c r="A53" i="4"/>
  <c r="D52" i="4"/>
  <c r="C53" i="4" l="1"/>
  <c r="E53" i="4"/>
  <c r="H52" i="4"/>
  <c r="K51" i="4"/>
  <c r="I51" i="4"/>
  <c r="J51" i="4" s="1"/>
  <c r="G52" i="4"/>
  <c r="D53" i="4"/>
  <c r="A54" i="4"/>
  <c r="C54" i="4" l="1"/>
  <c r="E54" i="4"/>
  <c r="H53" i="4"/>
  <c r="K52" i="4"/>
  <c r="I52" i="4"/>
  <c r="J52" i="4" s="1"/>
  <c r="G53" i="4"/>
  <c r="A55" i="4"/>
  <c r="D54" i="4"/>
  <c r="C55" i="4" l="1"/>
  <c r="E55" i="4"/>
  <c r="K53" i="4"/>
  <c r="I53" i="4"/>
  <c r="J53" i="4" s="1"/>
  <c r="H54" i="4"/>
  <c r="G54" i="4"/>
  <c r="A56" i="4"/>
  <c r="D55" i="4"/>
  <c r="C56" i="4" l="1"/>
  <c r="E56" i="4"/>
  <c r="K54" i="4"/>
  <c r="I54" i="4"/>
  <c r="J54" i="4" s="1"/>
  <c r="H55" i="4"/>
  <c r="G55" i="4"/>
  <c r="A57" i="4"/>
  <c r="D56" i="4"/>
  <c r="C57" i="4" l="1"/>
  <c r="E57" i="4"/>
  <c r="K55" i="4"/>
  <c r="I55" i="4"/>
  <c r="J55" i="4" s="1"/>
  <c r="H56" i="4"/>
  <c r="G56" i="4"/>
  <c r="A58" i="4"/>
  <c r="D57" i="4"/>
  <c r="C58" i="4" l="1"/>
  <c r="E58" i="4"/>
  <c r="K56" i="4"/>
  <c r="I56" i="4"/>
  <c r="J56" i="4" s="1"/>
  <c r="H57" i="4"/>
  <c r="G57" i="4"/>
  <c r="A59" i="4"/>
  <c r="D58" i="4"/>
  <c r="C59" i="4" l="1"/>
  <c r="E59" i="4"/>
  <c r="K57" i="4"/>
  <c r="I57" i="4"/>
  <c r="J57" i="4" s="1"/>
  <c r="H58" i="4"/>
  <c r="G58" i="4"/>
  <c r="D59" i="4"/>
  <c r="A60" i="4"/>
  <c r="C60" i="4" l="1"/>
  <c r="E60" i="4"/>
  <c r="K58" i="4"/>
  <c r="I58" i="4"/>
  <c r="J58" i="4" s="1"/>
  <c r="G59" i="4"/>
  <c r="H59" i="4"/>
  <c r="A61" i="4"/>
  <c r="D60" i="4"/>
  <c r="C61" i="4" l="1"/>
  <c r="E61" i="4"/>
  <c r="H60" i="4"/>
  <c r="K59" i="4"/>
  <c r="I59" i="4"/>
  <c r="J59" i="4" s="1"/>
  <c r="G60" i="4"/>
  <c r="D61" i="4"/>
  <c r="A62" i="4"/>
  <c r="C62" i="4" l="1"/>
  <c r="E62" i="4"/>
  <c r="H61" i="4"/>
  <c r="K60" i="4"/>
  <c r="I60" i="4"/>
  <c r="J60" i="4" s="1"/>
  <c r="G61" i="4"/>
  <c r="A63" i="4"/>
  <c r="D62" i="4"/>
  <c r="C63" i="4" l="1"/>
  <c r="E63" i="4"/>
  <c r="K61" i="4"/>
  <c r="I61" i="4"/>
  <c r="J61" i="4" s="1"/>
  <c r="H62" i="4"/>
  <c r="G62" i="4"/>
  <c r="A64" i="4"/>
  <c r="D63" i="4"/>
  <c r="C64" i="4" l="1"/>
  <c r="E64" i="4"/>
  <c r="K62" i="4"/>
  <c r="I62" i="4"/>
  <c r="J62" i="4" s="1"/>
  <c r="H63" i="4"/>
  <c r="G63" i="4"/>
  <c r="A65" i="4"/>
  <c r="D64" i="4"/>
  <c r="C65" i="4" l="1"/>
  <c r="E65" i="4"/>
  <c r="K63" i="4"/>
  <c r="I63" i="4"/>
  <c r="J63" i="4" s="1"/>
  <c r="H64" i="4"/>
  <c r="G64" i="4"/>
  <c r="A66" i="4"/>
  <c r="D65" i="4"/>
  <c r="C66" i="4" l="1"/>
  <c r="E66" i="4"/>
  <c r="K64" i="4"/>
  <c r="I64" i="4"/>
  <c r="J64" i="4" s="1"/>
  <c r="H65" i="4"/>
  <c r="G65" i="4"/>
  <c r="A67" i="4"/>
  <c r="D66" i="4"/>
  <c r="C67" i="4" l="1"/>
  <c r="E67" i="4"/>
  <c r="K65" i="4"/>
  <c r="I65" i="4"/>
  <c r="J65" i="4" s="1"/>
  <c r="H66" i="4"/>
  <c r="G66" i="4"/>
  <c r="D67" i="4"/>
  <c r="A68" i="4"/>
  <c r="C68" i="4" l="1"/>
  <c r="E68" i="4"/>
  <c r="K66" i="4"/>
  <c r="I66" i="4"/>
  <c r="J66" i="4" s="1"/>
  <c r="H67" i="4"/>
  <c r="G67" i="4"/>
  <c r="A69" i="4"/>
  <c r="D68" i="4"/>
  <c r="C69" i="4" l="1"/>
  <c r="E69" i="4"/>
  <c r="K67" i="4"/>
  <c r="I67" i="4"/>
  <c r="J67" i="4" s="1"/>
  <c r="G68" i="4"/>
  <c r="H68" i="4"/>
  <c r="A70" i="4"/>
  <c r="D69" i="4"/>
  <c r="C70" i="4" l="1"/>
  <c r="E70" i="4"/>
  <c r="K68" i="4"/>
  <c r="I68" i="4"/>
  <c r="J68" i="4" s="1"/>
  <c r="H69" i="4"/>
  <c r="G69" i="4"/>
  <c r="A71" i="4"/>
  <c r="D70" i="4"/>
  <c r="C71" i="4" l="1"/>
  <c r="E71" i="4"/>
  <c r="K69" i="4"/>
  <c r="I69" i="4"/>
  <c r="J69" i="4" s="1"/>
  <c r="H70" i="4"/>
  <c r="G70" i="4"/>
  <c r="A72" i="4"/>
  <c r="D71" i="4"/>
  <c r="C72" i="4" l="1"/>
  <c r="E72" i="4"/>
  <c r="K70" i="4"/>
  <c r="I70" i="4"/>
  <c r="J70" i="4" s="1"/>
  <c r="H71" i="4"/>
  <c r="G71" i="4"/>
  <c r="A73" i="4"/>
  <c r="D72" i="4"/>
  <c r="C73" i="4" l="1"/>
  <c r="E73" i="4"/>
  <c r="H72" i="4"/>
  <c r="K71" i="4"/>
  <c r="I71" i="4"/>
  <c r="J71" i="4" s="1"/>
  <c r="G72" i="4"/>
  <c r="A74" i="4"/>
  <c r="D73" i="4"/>
  <c r="C74" i="4" l="1"/>
  <c r="E74" i="4"/>
  <c r="K72" i="4"/>
  <c r="I72" i="4"/>
  <c r="J72" i="4" s="1"/>
  <c r="H73" i="4"/>
  <c r="G73" i="4"/>
  <c r="A75" i="4"/>
  <c r="D74" i="4"/>
  <c r="C75" i="4" l="1"/>
  <c r="E75" i="4"/>
  <c r="K73" i="4"/>
  <c r="I73" i="4"/>
  <c r="J73" i="4" s="1"/>
  <c r="H74" i="4"/>
  <c r="G74" i="4"/>
  <c r="A76" i="4"/>
  <c r="D75" i="4"/>
  <c r="C76" i="4" l="1"/>
  <c r="E76" i="4"/>
  <c r="H75" i="4"/>
  <c r="K74" i="4"/>
  <c r="I74" i="4"/>
  <c r="J74" i="4" s="1"/>
  <c r="G75" i="4"/>
  <c r="A77" i="4"/>
  <c r="D76" i="4"/>
  <c r="C77" i="4" l="1"/>
  <c r="E77" i="4"/>
  <c r="H76" i="4"/>
  <c r="K75" i="4"/>
  <c r="I75" i="4"/>
  <c r="J75" i="4" s="1"/>
  <c r="G76" i="4"/>
  <c r="A78" i="4"/>
  <c r="D77" i="4"/>
  <c r="C78" i="4" l="1"/>
  <c r="E78" i="4"/>
  <c r="K76" i="4"/>
  <c r="I76" i="4"/>
  <c r="J76" i="4" s="1"/>
  <c r="G77" i="4"/>
  <c r="H77" i="4"/>
  <c r="A79" i="4"/>
  <c r="D78" i="4"/>
  <c r="C79" i="4" l="1"/>
  <c r="E79" i="4"/>
  <c r="K77" i="4"/>
  <c r="I77" i="4"/>
  <c r="J77" i="4" s="1"/>
  <c r="H78" i="4"/>
  <c r="G78" i="4"/>
  <c r="A80" i="4"/>
  <c r="D79" i="4"/>
  <c r="C80" i="4" l="1"/>
  <c r="E80" i="4"/>
  <c r="K78" i="4"/>
  <c r="I78" i="4"/>
  <c r="J78" i="4" s="1"/>
  <c r="G79" i="4"/>
  <c r="H79" i="4"/>
  <c r="A81" i="4"/>
  <c r="D80" i="4"/>
  <c r="C81" i="4" l="1"/>
  <c r="E81" i="4"/>
  <c r="H80" i="4"/>
  <c r="K79" i="4"/>
  <c r="I79" i="4"/>
  <c r="J79" i="4" s="1"/>
  <c r="G80" i="4"/>
  <c r="A82" i="4"/>
  <c r="D81" i="4"/>
  <c r="C82" i="4" l="1"/>
  <c r="E82" i="4"/>
  <c r="H81" i="4"/>
  <c r="K80" i="4"/>
  <c r="I80" i="4"/>
  <c r="J80" i="4" s="1"/>
  <c r="G81" i="4"/>
  <c r="A83" i="4"/>
  <c r="D82" i="4"/>
  <c r="C83" i="4" l="1"/>
  <c r="E83" i="4"/>
  <c r="K81" i="4"/>
  <c r="I81" i="4"/>
  <c r="J81" i="4" s="1"/>
  <c r="H82" i="4"/>
  <c r="G82" i="4"/>
  <c r="D83" i="4"/>
  <c r="A84" i="4"/>
  <c r="C84" i="4" l="1"/>
  <c r="E84" i="4"/>
  <c r="H83" i="4"/>
  <c r="K82" i="4"/>
  <c r="I82" i="4"/>
  <c r="J82" i="4" s="1"/>
  <c r="G83" i="4"/>
  <c r="A85" i="4"/>
  <c r="D84" i="4"/>
  <c r="C85" i="4" l="1"/>
  <c r="E85" i="4"/>
  <c r="H84" i="4"/>
  <c r="K83" i="4"/>
  <c r="I83" i="4"/>
  <c r="J83" i="4" s="1"/>
  <c r="G84" i="4"/>
  <c r="D85" i="4"/>
  <c r="A86" i="4"/>
  <c r="C86" i="4" l="1"/>
  <c r="E86" i="4"/>
  <c r="H85" i="4"/>
  <c r="K84" i="4"/>
  <c r="I84" i="4"/>
  <c r="J84" i="4" s="1"/>
  <c r="G85" i="4"/>
  <c r="A87" i="4"/>
  <c r="D86" i="4"/>
  <c r="C87" i="4" l="1"/>
  <c r="E87" i="4"/>
  <c r="K85" i="4"/>
  <c r="I85" i="4"/>
  <c r="J85" i="4" s="1"/>
  <c r="H86" i="4"/>
  <c r="G86" i="4"/>
  <c r="A88" i="4"/>
  <c r="D87" i="4"/>
  <c r="C88" i="4" l="1"/>
  <c r="E88" i="4"/>
  <c r="K86" i="4"/>
  <c r="I86" i="4"/>
  <c r="J86" i="4" s="1"/>
  <c r="H87" i="4"/>
  <c r="G87" i="4"/>
  <c r="A89" i="4"/>
  <c r="D88" i="4"/>
  <c r="C89" i="4" l="1"/>
  <c r="E89" i="4"/>
  <c r="K87" i="4"/>
  <c r="I87" i="4"/>
  <c r="J87" i="4" s="1"/>
  <c r="H88" i="4"/>
  <c r="G88" i="4"/>
  <c r="A90" i="4"/>
  <c r="D89" i="4"/>
  <c r="C90" i="4" l="1"/>
  <c r="E90" i="4"/>
  <c r="K88" i="4"/>
  <c r="I88" i="4"/>
  <c r="J88" i="4" s="1"/>
  <c r="H89" i="4"/>
  <c r="G89" i="4"/>
  <c r="A91" i="4"/>
  <c r="D90" i="4"/>
  <c r="C91" i="4" l="1"/>
  <c r="E91" i="4"/>
  <c r="K89" i="4"/>
  <c r="I89" i="4"/>
  <c r="J89" i="4" s="1"/>
  <c r="H90" i="4"/>
  <c r="G90" i="4"/>
  <c r="D91" i="4"/>
  <c r="A92" i="4"/>
  <c r="C92" i="4" l="1"/>
  <c r="E92" i="4"/>
  <c r="H91" i="4"/>
  <c r="K90" i="4"/>
  <c r="I90" i="4"/>
  <c r="J90" i="4" s="1"/>
  <c r="G91" i="4"/>
  <c r="A93" i="4"/>
  <c r="D92" i="4"/>
  <c r="C93" i="4" l="1"/>
  <c r="E93" i="4"/>
  <c r="K91" i="4"/>
  <c r="I91" i="4"/>
  <c r="J91" i="4" s="1"/>
  <c r="G92" i="4"/>
  <c r="H92" i="4"/>
  <c r="D93" i="4"/>
  <c r="A94" i="4"/>
  <c r="C94" i="4" l="1"/>
  <c r="E94" i="4"/>
  <c r="K92" i="4"/>
  <c r="I92" i="4"/>
  <c r="J92" i="4" s="1"/>
  <c r="G93" i="4"/>
  <c r="H93" i="4"/>
  <c r="A95" i="4"/>
  <c r="D94" i="4"/>
  <c r="C95" i="4" l="1"/>
  <c r="E95" i="4"/>
  <c r="K93" i="4"/>
  <c r="I93" i="4"/>
  <c r="J93" i="4" s="1"/>
  <c r="H94" i="4"/>
  <c r="G94" i="4"/>
  <c r="A96" i="4"/>
  <c r="D95" i="4"/>
  <c r="C96" i="4" l="1"/>
  <c r="E96" i="4"/>
  <c r="H95" i="4"/>
  <c r="K94" i="4"/>
  <c r="I94" i="4"/>
  <c r="J94" i="4" s="1"/>
  <c r="G95" i="4"/>
  <c r="A97" i="4"/>
  <c r="D96" i="4"/>
  <c r="C97" i="4" l="1"/>
  <c r="E97" i="4"/>
  <c r="K95" i="4"/>
  <c r="I95" i="4"/>
  <c r="J95" i="4" s="1"/>
  <c r="G96" i="4"/>
  <c r="H96" i="4"/>
  <c r="A98" i="4"/>
  <c r="D97" i="4"/>
  <c r="C98" i="4" l="1"/>
  <c r="E98" i="4"/>
  <c r="K96" i="4"/>
  <c r="I96" i="4"/>
  <c r="J96" i="4" s="1"/>
  <c r="H97" i="4"/>
  <c r="G97" i="4"/>
  <c r="A99" i="4"/>
  <c r="D98" i="4"/>
  <c r="C99" i="4" l="1"/>
  <c r="E99" i="4"/>
  <c r="K97" i="4"/>
  <c r="I97" i="4"/>
  <c r="J97" i="4" s="1"/>
  <c r="H98" i="4"/>
  <c r="G98" i="4"/>
  <c r="D99" i="4"/>
  <c r="A100" i="4"/>
  <c r="C100" i="4" l="1"/>
  <c r="E100" i="4"/>
  <c r="K98" i="4"/>
  <c r="I98" i="4"/>
  <c r="J98" i="4" s="1"/>
  <c r="G99" i="4"/>
  <c r="H99" i="4"/>
  <c r="A101" i="4"/>
  <c r="D100" i="4"/>
  <c r="C101" i="4" l="1"/>
  <c r="E101" i="4"/>
  <c r="K99" i="4"/>
  <c r="I99" i="4"/>
  <c r="J99" i="4" s="1"/>
  <c r="G100" i="4"/>
  <c r="H100" i="4"/>
  <c r="A102" i="4"/>
  <c r="D101" i="4"/>
  <c r="C102" i="4" l="1"/>
  <c r="E102" i="4"/>
  <c r="H101" i="4"/>
  <c r="K100" i="4"/>
  <c r="I100" i="4"/>
  <c r="J100" i="4" s="1"/>
  <c r="G101" i="4"/>
  <c r="A103" i="4"/>
  <c r="D102" i="4"/>
  <c r="C103" i="4" l="1"/>
  <c r="E103" i="4"/>
  <c r="H102" i="4"/>
  <c r="K101" i="4"/>
  <c r="I101" i="4"/>
  <c r="J101" i="4" s="1"/>
  <c r="G102" i="4"/>
  <c r="A104" i="4"/>
  <c r="D103" i="4"/>
  <c r="C104" i="4" l="1"/>
  <c r="E104" i="4"/>
  <c r="K102" i="4"/>
  <c r="I102" i="4"/>
  <c r="J102" i="4" s="1"/>
  <c r="H103" i="4"/>
  <c r="G103" i="4"/>
  <c r="A105" i="4"/>
  <c r="D104" i="4"/>
  <c r="C105" i="4" l="1"/>
  <c r="E105" i="4"/>
  <c r="H104" i="4"/>
  <c r="K103" i="4"/>
  <c r="I103" i="4"/>
  <c r="J103" i="4" s="1"/>
  <c r="G104" i="4"/>
  <c r="A106" i="4"/>
  <c r="D105" i="4"/>
  <c r="C106" i="4" l="1"/>
  <c r="E106" i="4"/>
  <c r="K104" i="4"/>
  <c r="I104" i="4"/>
  <c r="J104" i="4" s="1"/>
  <c r="H105" i="4"/>
  <c r="G105" i="4"/>
  <c r="A107" i="4"/>
  <c r="D106" i="4"/>
  <c r="C107" i="4" l="1"/>
  <c r="E107" i="4"/>
  <c r="K105" i="4"/>
  <c r="I105" i="4"/>
  <c r="J105" i="4" s="1"/>
  <c r="H106" i="4"/>
  <c r="G106" i="4"/>
  <c r="A108" i="4"/>
  <c r="D107" i="4"/>
  <c r="C108" i="4" l="1"/>
  <c r="E108" i="4"/>
  <c r="H107" i="4"/>
  <c r="K106" i="4"/>
  <c r="I106" i="4"/>
  <c r="J106" i="4" s="1"/>
  <c r="G107" i="4"/>
  <c r="A109" i="4"/>
  <c r="D108" i="4"/>
  <c r="C109" i="4" l="1"/>
  <c r="E109" i="4"/>
  <c r="H108" i="4"/>
  <c r="K107" i="4"/>
  <c r="I107" i="4"/>
  <c r="J107" i="4" s="1"/>
  <c r="G108" i="4"/>
  <c r="D109" i="4"/>
  <c r="A110" i="4"/>
  <c r="C110" i="4" l="1"/>
  <c r="E110" i="4"/>
  <c r="H109" i="4"/>
  <c r="K108" i="4"/>
  <c r="I108" i="4"/>
  <c r="J108" i="4" s="1"/>
  <c r="G109" i="4"/>
  <c r="A111" i="4"/>
  <c r="D110" i="4"/>
  <c r="C111" i="4" l="1"/>
  <c r="E111" i="4"/>
  <c r="K109" i="4"/>
  <c r="I109" i="4"/>
  <c r="J109" i="4" s="1"/>
  <c r="H110" i="4"/>
  <c r="G110" i="4"/>
  <c r="A112" i="4"/>
  <c r="D111" i="4"/>
  <c r="C112" i="4" l="1"/>
  <c r="E112" i="4"/>
  <c r="K110" i="4"/>
  <c r="I110" i="4"/>
  <c r="J110" i="4" s="1"/>
  <c r="H111" i="4"/>
  <c r="G111" i="4"/>
  <c r="A113" i="4"/>
  <c r="D112" i="4"/>
  <c r="C113" i="4" l="1"/>
  <c r="E113" i="4"/>
  <c r="K111" i="4"/>
  <c r="I111" i="4"/>
  <c r="J111" i="4" s="1"/>
  <c r="H112" i="4"/>
  <c r="G112" i="4"/>
  <c r="A114" i="4"/>
  <c r="D113" i="4"/>
  <c r="C114" i="4" l="1"/>
  <c r="E114" i="4"/>
  <c r="K112" i="4"/>
  <c r="I112" i="4"/>
  <c r="J112" i="4" s="1"/>
  <c r="G113" i="4"/>
  <c r="H113" i="4"/>
  <c r="A115" i="4"/>
  <c r="D114" i="4"/>
  <c r="C115" i="4" l="1"/>
  <c r="E115" i="4"/>
  <c r="K113" i="4"/>
  <c r="I113" i="4"/>
  <c r="J113" i="4" s="1"/>
  <c r="H114" i="4"/>
  <c r="G114" i="4"/>
  <c r="D115" i="4"/>
  <c r="A116" i="4"/>
  <c r="C116" i="4" l="1"/>
  <c r="E116" i="4"/>
  <c r="K114" i="4"/>
  <c r="I114" i="4"/>
  <c r="J114" i="4" s="1"/>
  <c r="G115" i="4"/>
  <c r="H115" i="4"/>
  <c r="A117" i="4"/>
  <c r="D116" i="4"/>
  <c r="C117" i="4" l="1"/>
  <c r="E117" i="4"/>
  <c r="H116" i="4"/>
  <c r="K115" i="4"/>
  <c r="I115" i="4"/>
  <c r="J115" i="4" s="1"/>
  <c r="G116" i="4"/>
  <c r="D117" i="4"/>
  <c r="A118" i="4"/>
  <c r="C118" i="4" l="1"/>
  <c r="E118" i="4"/>
  <c r="H117" i="4"/>
  <c r="K116" i="4"/>
  <c r="I116" i="4"/>
  <c r="J116" i="4" s="1"/>
  <c r="A119" i="4"/>
  <c r="D118" i="4"/>
  <c r="G117" i="4"/>
  <c r="C119" i="4" l="1"/>
  <c r="E119" i="4"/>
  <c r="H118" i="4"/>
  <c r="K117" i="4"/>
  <c r="I117" i="4"/>
  <c r="J117" i="4" s="1"/>
  <c r="G118" i="4"/>
  <c r="A120" i="4"/>
  <c r="D119" i="4"/>
  <c r="C120" i="4" l="1"/>
  <c r="E120" i="4"/>
  <c r="K118" i="4"/>
  <c r="I118" i="4"/>
  <c r="J118" i="4" s="1"/>
  <c r="H119" i="4"/>
  <c r="G119" i="4"/>
  <c r="A121" i="4"/>
  <c r="D120" i="4"/>
  <c r="C121" i="4" l="1"/>
  <c r="E121" i="4"/>
  <c r="H120" i="4"/>
  <c r="K119" i="4"/>
  <c r="I119" i="4"/>
  <c r="J119" i="4" s="1"/>
  <c r="G120" i="4"/>
  <c r="A122" i="4"/>
  <c r="D121" i="4"/>
  <c r="C122" i="4" l="1"/>
  <c r="E122" i="4"/>
  <c r="K120" i="4"/>
  <c r="I120" i="4"/>
  <c r="J120" i="4" s="1"/>
  <c r="G121" i="4"/>
  <c r="H121" i="4"/>
  <c r="A123" i="4"/>
  <c r="D122" i="4"/>
  <c r="C123" i="4" l="1"/>
  <c r="E123" i="4"/>
  <c r="K121" i="4"/>
  <c r="I121" i="4"/>
  <c r="J121" i="4" s="1"/>
  <c r="H122" i="4"/>
  <c r="G122" i="4"/>
  <c r="D123" i="4"/>
  <c r="A124" i="4"/>
  <c r="C124" i="4" l="1"/>
  <c r="E124" i="4"/>
  <c r="H123" i="4"/>
  <c r="K122" i="4"/>
  <c r="I122" i="4"/>
  <c r="J122" i="4" s="1"/>
  <c r="A125" i="4"/>
  <c r="D124" i="4"/>
  <c r="G123" i="4"/>
  <c r="C125" i="4" l="1"/>
  <c r="E125" i="4"/>
  <c r="H124" i="4"/>
  <c r="K123" i="4"/>
  <c r="I123" i="4"/>
  <c r="J123" i="4" s="1"/>
  <c r="G124" i="4"/>
  <c r="D125" i="4"/>
  <c r="A126" i="4"/>
  <c r="C126" i="4" l="1"/>
  <c r="E126" i="4"/>
  <c r="H125" i="4"/>
  <c r="K124" i="4"/>
  <c r="I124" i="4"/>
  <c r="J124" i="4" s="1"/>
  <c r="G125" i="4"/>
  <c r="A127" i="4"/>
  <c r="D126" i="4"/>
  <c r="C127" i="4" l="1"/>
  <c r="E127" i="4"/>
  <c r="K125" i="4"/>
  <c r="I125" i="4"/>
  <c r="J125" i="4" s="1"/>
  <c r="H126" i="4"/>
  <c r="G126" i="4"/>
  <c r="A128" i="4"/>
  <c r="D127" i="4"/>
  <c r="C128" i="4" l="1"/>
  <c r="E128" i="4"/>
  <c r="K126" i="4"/>
  <c r="I126" i="4"/>
  <c r="J126" i="4" s="1"/>
  <c r="G127" i="4"/>
  <c r="H127" i="4"/>
  <c r="A129" i="4"/>
  <c r="D128" i="4"/>
  <c r="C129" i="4" l="1"/>
  <c r="E129" i="4"/>
  <c r="K127" i="4"/>
  <c r="I127" i="4"/>
  <c r="J127" i="4" s="1"/>
  <c r="H128" i="4"/>
  <c r="G128" i="4"/>
  <c r="A130" i="4"/>
  <c r="D129" i="4"/>
  <c r="C130" i="4" l="1"/>
  <c r="E130" i="4"/>
  <c r="K128" i="4"/>
  <c r="I128" i="4"/>
  <c r="J128" i="4" s="1"/>
  <c r="G129" i="4"/>
  <c r="H129" i="4"/>
  <c r="A131" i="4"/>
  <c r="D130" i="4"/>
  <c r="C131" i="4" l="1"/>
  <c r="E131" i="4"/>
  <c r="K129" i="4"/>
  <c r="I129" i="4"/>
  <c r="J129" i="4" s="1"/>
  <c r="H130" i="4"/>
  <c r="G130" i="4"/>
  <c r="D131" i="4"/>
  <c r="A132" i="4"/>
  <c r="C132" i="4" l="1"/>
  <c r="E132" i="4"/>
  <c r="K130" i="4"/>
  <c r="I130" i="4"/>
  <c r="J130" i="4" s="1"/>
  <c r="G131" i="4"/>
  <c r="H131" i="4"/>
  <c r="A133" i="4"/>
  <c r="D132" i="4"/>
  <c r="C133" i="4" l="1"/>
  <c r="E133" i="4"/>
  <c r="H132" i="4"/>
  <c r="K131" i="4"/>
  <c r="I131" i="4"/>
  <c r="J131" i="4" s="1"/>
  <c r="G132" i="4"/>
  <c r="A134" i="4"/>
  <c r="D133" i="4"/>
  <c r="C134" i="4" l="1"/>
  <c r="E134" i="4"/>
  <c r="K132" i="4"/>
  <c r="I132" i="4"/>
  <c r="J132" i="4" s="1"/>
  <c r="G133" i="4"/>
  <c r="H133" i="4"/>
  <c r="A135" i="4"/>
  <c r="D134" i="4"/>
  <c r="C135" i="4" l="1"/>
  <c r="E135" i="4"/>
  <c r="K133" i="4"/>
  <c r="I133" i="4"/>
  <c r="J133" i="4" s="1"/>
  <c r="G134" i="4"/>
  <c r="H134" i="4"/>
  <c r="A136" i="4"/>
  <c r="D135" i="4"/>
  <c r="C136" i="4" l="1"/>
  <c r="E136" i="4"/>
  <c r="K134" i="4"/>
  <c r="I134" i="4"/>
  <c r="J134" i="4" s="1"/>
  <c r="G135" i="4"/>
  <c r="H135" i="4"/>
  <c r="A137" i="4"/>
  <c r="D136" i="4"/>
  <c r="C137" i="4" l="1"/>
  <c r="E137" i="4"/>
  <c r="K135" i="4"/>
  <c r="I135" i="4"/>
  <c r="J135" i="4" s="1"/>
  <c r="G136" i="4"/>
  <c r="H136" i="4"/>
  <c r="A138" i="4"/>
  <c r="D137" i="4"/>
  <c r="C138" i="4" l="1"/>
  <c r="E138" i="4"/>
  <c r="K136" i="4"/>
  <c r="I136" i="4"/>
  <c r="J136" i="4" s="1"/>
  <c r="G137" i="4"/>
  <c r="H137" i="4"/>
  <c r="A139" i="4"/>
  <c r="D138" i="4"/>
  <c r="C139" i="4" l="1"/>
  <c r="E139" i="4"/>
  <c r="K137" i="4"/>
  <c r="I137" i="4"/>
  <c r="J137" i="4" s="1"/>
  <c r="H138" i="4"/>
  <c r="G138" i="4"/>
  <c r="A140" i="4"/>
  <c r="D139" i="4"/>
  <c r="C140" i="4" l="1"/>
  <c r="E140" i="4"/>
  <c r="H139" i="4"/>
  <c r="K138" i="4"/>
  <c r="I138" i="4"/>
  <c r="J138" i="4" s="1"/>
  <c r="G139" i="4"/>
  <c r="A141" i="4"/>
  <c r="D140" i="4"/>
  <c r="C141" i="4" l="1"/>
  <c r="E141" i="4"/>
  <c r="K139" i="4"/>
  <c r="I139" i="4"/>
  <c r="J139" i="4" s="1"/>
  <c r="G140" i="4"/>
  <c r="H140" i="4"/>
  <c r="A142" i="4"/>
  <c r="D141" i="4"/>
  <c r="C142" i="4" l="1"/>
  <c r="E142" i="4"/>
  <c r="K140" i="4"/>
  <c r="I140" i="4"/>
  <c r="J140" i="4" s="1"/>
  <c r="G141" i="4"/>
  <c r="H141" i="4"/>
  <c r="A143" i="4"/>
  <c r="D142" i="4"/>
  <c r="C143" i="4" l="1"/>
  <c r="E143" i="4"/>
  <c r="H142" i="4"/>
  <c r="K141" i="4"/>
  <c r="I141" i="4"/>
  <c r="J141" i="4" s="1"/>
  <c r="G142" i="4"/>
  <c r="A144" i="4"/>
  <c r="D143" i="4"/>
  <c r="C144" i="4" l="1"/>
  <c r="E144" i="4"/>
  <c r="K142" i="4"/>
  <c r="I142" i="4"/>
  <c r="J142" i="4" s="1"/>
  <c r="G143" i="4"/>
  <c r="H143" i="4"/>
  <c r="A145" i="4"/>
  <c r="D144" i="4"/>
  <c r="C145" i="4" l="1"/>
  <c r="E145" i="4"/>
  <c r="K143" i="4"/>
  <c r="I143" i="4"/>
  <c r="J143" i="4" s="1"/>
  <c r="G144" i="4"/>
  <c r="H144" i="4"/>
  <c r="A146" i="4"/>
  <c r="D145" i="4"/>
  <c r="C146" i="4" l="1"/>
  <c r="E146" i="4"/>
  <c r="K144" i="4"/>
  <c r="I144" i="4"/>
  <c r="J144" i="4" s="1"/>
  <c r="G145" i="4"/>
  <c r="H145" i="4"/>
  <c r="A147" i="4"/>
  <c r="D146" i="4"/>
  <c r="C147" i="4" l="1"/>
  <c r="E147" i="4"/>
  <c r="K145" i="4"/>
  <c r="I145" i="4"/>
  <c r="J145" i="4" s="1"/>
  <c r="H146" i="4"/>
  <c r="G146" i="4"/>
  <c r="D147" i="4"/>
  <c r="A148" i="4"/>
  <c r="C148" i="4" l="1"/>
  <c r="E148" i="4"/>
  <c r="K146" i="4"/>
  <c r="I146" i="4"/>
  <c r="J146" i="4" s="1"/>
  <c r="G147" i="4"/>
  <c r="H147" i="4"/>
  <c r="A149" i="4"/>
  <c r="D148" i="4"/>
  <c r="C149" i="4" l="1"/>
  <c r="E149" i="4"/>
  <c r="K147" i="4"/>
  <c r="I147" i="4"/>
  <c r="J147" i="4" s="1"/>
  <c r="G148" i="4"/>
  <c r="H148" i="4"/>
  <c r="D149" i="4"/>
  <c r="A150" i="4"/>
  <c r="C150" i="4" l="1"/>
  <c r="E150" i="4"/>
  <c r="K148" i="4"/>
  <c r="I148" i="4"/>
  <c r="J148" i="4" s="1"/>
  <c r="G149" i="4"/>
  <c r="H149" i="4"/>
  <c r="D150" i="4"/>
  <c r="A151" i="4"/>
  <c r="C151" i="4" l="1"/>
  <c r="E151" i="4"/>
  <c r="K149" i="4"/>
  <c r="I149" i="4"/>
  <c r="J149" i="4" s="1"/>
  <c r="G150" i="4"/>
  <c r="H150" i="4"/>
  <c r="A152" i="4"/>
  <c r="D151" i="4"/>
  <c r="C152" i="4" l="1"/>
  <c r="E152" i="4"/>
  <c r="K150" i="4"/>
  <c r="I150" i="4"/>
  <c r="J150" i="4" s="1"/>
  <c r="G151" i="4"/>
  <c r="H151" i="4"/>
  <c r="A153" i="4"/>
  <c r="D152" i="4"/>
  <c r="C153" i="4" l="1"/>
  <c r="E153" i="4"/>
  <c r="K151" i="4"/>
  <c r="I151" i="4"/>
  <c r="J151" i="4" s="1"/>
  <c r="G152" i="4"/>
  <c r="H152" i="4"/>
  <c r="A154" i="4"/>
  <c r="D153" i="4"/>
  <c r="C154" i="4" l="1"/>
  <c r="E154" i="4"/>
  <c r="K152" i="4"/>
  <c r="I152" i="4"/>
  <c r="J152" i="4" s="1"/>
  <c r="G153" i="4"/>
  <c r="H153" i="4"/>
  <c r="A155" i="4"/>
  <c r="D154" i="4"/>
  <c r="C155" i="4" l="1"/>
  <c r="E155" i="4"/>
  <c r="K153" i="4"/>
  <c r="I153" i="4"/>
  <c r="J153" i="4" s="1"/>
  <c r="G154" i="4"/>
  <c r="H154" i="4"/>
  <c r="D155" i="4"/>
  <c r="A156" i="4"/>
  <c r="C156" i="4" l="1"/>
  <c r="E156" i="4"/>
  <c r="K154" i="4"/>
  <c r="I154" i="4"/>
  <c r="J154" i="4" s="1"/>
  <c r="H155" i="4"/>
  <c r="G155" i="4"/>
  <c r="A157" i="4"/>
  <c r="D156" i="4"/>
  <c r="C157" i="4" l="1"/>
  <c r="E157" i="4"/>
  <c r="K155" i="4"/>
  <c r="I155" i="4"/>
  <c r="J155" i="4" s="1"/>
  <c r="G156" i="4"/>
  <c r="H156" i="4"/>
  <c r="A158" i="4"/>
  <c r="D157" i="4"/>
  <c r="C158" i="4" l="1"/>
  <c r="E158" i="4"/>
  <c r="K156" i="4"/>
  <c r="I156" i="4"/>
  <c r="J156" i="4" s="1"/>
  <c r="G157" i="4"/>
  <c r="H157" i="4"/>
  <c r="A159" i="4"/>
  <c r="D158" i="4"/>
  <c r="C159" i="4" l="1"/>
  <c r="E159" i="4"/>
  <c r="K157" i="4"/>
  <c r="I157" i="4"/>
  <c r="J157" i="4" s="1"/>
  <c r="H158" i="4"/>
  <c r="G158" i="4"/>
  <c r="A160" i="4"/>
  <c r="D159" i="4"/>
  <c r="C160" i="4" l="1"/>
  <c r="E160" i="4"/>
  <c r="K158" i="4"/>
  <c r="I158" i="4"/>
  <c r="J158" i="4" s="1"/>
  <c r="G159" i="4"/>
  <c r="H159" i="4"/>
  <c r="A161" i="4"/>
  <c r="D160" i="4"/>
  <c r="C161" i="4" l="1"/>
  <c r="E161" i="4"/>
  <c r="K159" i="4"/>
  <c r="I159" i="4"/>
  <c r="J159" i="4" s="1"/>
  <c r="G160" i="4"/>
  <c r="H160" i="4"/>
  <c r="A162" i="4"/>
  <c r="D161" i="4"/>
  <c r="C162" i="4" l="1"/>
  <c r="E162" i="4"/>
  <c r="K160" i="4"/>
  <c r="I160" i="4"/>
  <c r="J160" i="4" s="1"/>
  <c r="G161" i="4"/>
  <c r="H161" i="4"/>
  <c r="A163" i="4"/>
  <c r="D162" i="4"/>
  <c r="C163" i="4" l="1"/>
  <c r="E163" i="4"/>
  <c r="K161" i="4"/>
  <c r="I161" i="4"/>
  <c r="J161" i="4" s="1"/>
  <c r="G162" i="4"/>
  <c r="H162" i="4"/>
  <c r="D163" i="4"/>
  <c r="A164" i="4"/>
  <c r="C164" i="4" l="1"/>
  <c r="E164" i="4"/>
  <c r="H163" i="4"/>
  <c r="K162" i="4"/>
  <c r="I162" i="4"/>
  <c r="J162" i="4" s="1"/>
  <c r="G163" i="4"/>
  <c r="A165" i="4"/>
  <c r="D164" i="4"/>
  <c r="C165" i="4" l="1"/>
  <c r="E165" i="4"/>
  <c r="H164" i="4"/>
  <c r="K163" i="4"/>
  <c r="I163" i="4"/>
  <c r="J163" i="4" s="1"/>
  <c r="G164" i="4"/>
  <c r="D165" i="4"/>
  <c r="A166" i="4"/>
  <c r="C166" i="4" l="1"/>
  <c r="E166" i="4"/>
  <c r="K164" i="4"/>
  <c r="I164" i="4"/>
  <c r="J164" i="4" s="1"/>
  <c r="G165" i="4"/>
  <c r="H165" i="4"/>
  <c r="A167" i="4"/>
  <c r="D166" i="4"/>
  <c r="C167" i="4" l="1"/>
  <c r="E167" i="4"/>
  <c r="K165" i="4"/>
  <c r="I165" i="4"/>
  <c r="J165" i="4" s="1"/>
  <c r="G166" i="4"/>
  <c r="H166" i="4"/>
  <c r="A168" i="4"/>
  <c r="D167" i="4"/>
  <c r="C168" i="4" l="1"/>
  <c r="E168" i="4"/>
  <c r="K166" i="4"/>
  <c r="I166" i="4"/>
  <c r="J166" i="4" s="1"/>
  <c r="G167" i="4"/>
  <c r="H167" i="4"/>
  <c r="A169" i="4"/>
  <c r="D168" i="4"/>
  <c r="C169" i="4" l="1"/>
  <c r="E169" i="4"/>
  <c r="K167" i="4"/>
  <c r="I167" i="4"/>
  <c r="J167" i="4" s="1"/>
  <c r="H168" i="4"/>
  <c r="G168" i="4"/>
  <c r="A170" i="4"/>
  <c r="D169" i="4"/>
  <c r="C170" i="4" l="1"/>
  <c r="E170" i="4"/>
  <c r="K168" i="4"/>
  <c r="I168" i="4"/>
  <c r="J168" i="4" s="1"/>
  <c r="G169" i="4"/>
  <c r="H169" i="4"/>
  <c r="A171" i="4"/>
  <c r="D170" i="4"/>
  <c r="C171" i="4" l="1"/>
  <c r="E171" i="4"/>
  <c r="K169" i="4"/>
  <c r="I169" i="4"/>
  <c r="J169" i="4" s="1"/>
  <c r="G170" i="4"/>
  <c r="H170" i="4"/>
  <c r="D171" i="4"/>
  <c r="A172" i="4"/>
  <c r="C172" i="4" l="1"/>
  <c r="E172" i="4"/>
  <c r="K170" i="4"/>
  <c r="I170" i="4"/>
  <c r="J170" i="4" s="1"/>
  <c r="H171" i="4"/>
  <c r="G171" i="4"/>
  <c r="A173" i="4"/>
  <c r="D172" i="4"/>
  <c r="C173" i="4" l="1"/>
  <c r="E173" i="4"/>
  <c r="K171" i="4"/>
  <c r="I171" i="4"/>
  <c r="J171" i="4" s="1"/>
  <c r="G172" i="4"/>
  <c r="H172" i="4"/>
  <c r="D173" i="4"/>
  <c r="A174" i="4"/>
  <c r="C174" i="4" l="1"/>
  <c r="E174" i="4"/>
  <c r="K172" i="4"/>
  <c r="I172" i="4"/>
  <c r="J172" i="4" s="1"/>
  <c r="G173" i="4"/>
  <c r="H173" i="4"/>
  <c r="D174" i="4"/>
  <c r="A175" i="4"/>
  <c r="C175" i="4" l="1"/>
  <c r="E175" i="4"/>
  <c r="K173" i="4"/>
  <c r="I173" i="4"/>
  <c r="J173" i="4" s="1"/>
  <c r="H174" i="4"/>
  <c r="A176" i="4"/>
  <c r="D175" i="4"/>
  <c r="G174" i="4"/>
  <c r="C176" i="4" l="1"/>
  <c r="E176" i="4"/>
  <c r="K174" i="4"/>
  <c r="I174" i="4"/>
  <c r="J174" i="4" s="1"/>
  <c r="G175" i="4"/>
  <c r="H175" i="4"/>
  <c r="A177" i="4"/>
  <c r="D176" i="4"/>
  <c r="C177" i="4" l="1"/>
  <c r="E177" i="4"/>
  <c r="K175" i="4"/>
  <c r="I175" i="4"/>
  <c r="J175" i="4" s="1"/>
  <c r="H176" i="4"/>
  <c r="G176" i="4"/>
  <c r="A178" i="4"/>
  <c r="D177" i="4"/>
  <c r="C178" i="4" l="1"/>
  <c r="E178" i="4"/>
  <c r="K176" i="4"/>
  <c r="I176" i="4"/>
  <c r="J176" i="4" s="1"/>
  <c r="G177" i="4"/>
  <c r="H177" i="4"/>
  <c r="A179" i="4"/>
  <c r="D178" i="4"/>
  <c r="C179" i="4" l="1"/>
  <c r="E179" i="4"/>
  <c r="K177" i="4"/>
  <c r="I177" i="4"/>
  <c r="J177" i="4" s="1"/>
  <c r="H178" i="4"/>
  <c r="G178" i="4"/>
  <c r="A180" i="4"/>
  <c r="D179" i="4"/>
  <c r="C180" i="4" l="1"/>
  <c r="E180" i="4"/>
  <c r="K178" i="4"/>
  <c r="I178" i="4"/>
  <c r="J178" i="4" s="1"/>
  <c r="G179" i="4"/>
  <c r="H179" i="4"/>
  <c r="A181" i="4"/>
  <c r="D180" i="4"/>
  <c r="C181" i="4" l="1"/>
  <c r="E181" i="4"/>
  <c r="H180" i="4"/>
  <c r="K179" i="4"/>
  <c r="I179" i="4"/>
  <c r="J179" i="4" s="1"/>
  <c r="G180" i="4"/>
  <c r="A182" i="4"/>
  <c r="D181" i="4"/>
  <c r="C182" i="4" l="1"/>
  <c r="E182" i="4"/>
  <c r="K180" i="4"/>
  <c r="I180" i="4"/>
  <c r="J180" i="4" s="1"/>
  <c r="G181" i="4"/>
  <c r="H181" i="4"/>
  <c r="A183" i="4"/>
  <c r="D182" i="4"/>
  <c r="C183" i="4" l="1"/>
  <c r="E183" i="4"/>
  <c r="K181" i="4"/>
  <c r="I181" i="4"/>
  <c r="J181" i="4" s="1"/>
  <c r="G182" i="4"/>
  <c r="H182" i="4"/>
  <c r="A184" i="4"/>
  <c r="D183" i="4"/>
  <c r="C184" i="4" l="1"/>
  <c r="E184" i="4"/>
  <c r="K182" i="4"/>
  <c r="I182" i="4"/>
  <c r="J182" i="4" s="1"/>
  <c r="G183" i="4"/>
  <c r="H183" i="4"/>
  <c r="A185" i="4"/>
  <c r="D184" i="4"/>
  <c r="C185" i="4" l="1"/>
  <c r="E185" i="4"/>
  <c r="H184" i="4"/>
  <c r="K183" i="4"/>
  <c r="I183" i="4"/>
  <c r="J183" i="4" s="1"/>
  <c r="G184" i="4"/>
  <c r="A186" i="4"/>
  <c r="D185" i="4"/>
  <c r="C186" i="4" l="1"/>
  <c r="E186" i="4"/>
  <c r="H185" i="4"/>
  <c r="K184" i="4"/>
  <c r="I184" i="4"/>
  <c r="J184" i="4" s="1"/>
  <c r="G185" i="4"/>
  <c r="D186" i="4"/>
  <c r="A187" i="4"/>
  <c r="C187" i="4" l="1"/>
  <c r="E187" i="4"/>
  <c r="K185" i="4"/>
  <c r="I185" i="4"/>
  <c r="J185" i="4" s="1"/>
  <c r="H186" i="4"/>
  <c r="D187" i="4"/>
  <c r="A188" i="4"/>
  <c r="G186" i="4"/>
  <c r="C188" i="4" l="1"/>
  <c r="E188" i="4"/>
  <c r="K186" i="4"/>
  <c r="I186" i="4"/>
  <c r="J186" i="4" s="1"/>
  <c r="G187" i="4"/>
  <c r="H187" i="4"/>
  <c r="A189" i="4"/>
  <c r="D188" i="4"/>
  <c r="C189" i="4" l="1"/>
  <c r="E189" i="4"/>
  <c r="K187" i="4"/>
  <c r="I187" i="4"/>
  <c r="J187" i="4" s="1"/>
  <c r="G188" i="4"/>
  <c r="H188" i="4"/>
  <c r="D189" i="4"/>
  <c r="A190" i="4"/>
  <c r="C190" i="4" l="1"/>
  <c r="E190" i="4"/>
  <c r="K188" i="4"/>
  <c r="I188" i="4"/>
  <c r="J188" i="4" s="1"/>
  <c r="G189" i="4"/>
  <c r="H189" i="4"/>
  <c r="D190" i="4"/>
  <c r="A191" i="4"/>
  <c r="C191" i="4" l="1"/>
  <c r="E191" i="4"/>
  <c r="K189" i="4"/>
  <c r="I189" i="4"/>
  <c r="J189" i="4" s="1"/>
  <c r="H190" i="4"/>
  <c r="A192" i="4"/>
  <c r="D191" i="4"/>
  <c r="G190" i="4"/>
  <c r="C192" i="4" l="1"/>
  <c r="E192" i="4"/>
  <c r="H191" i="4"/>
  <c r="K190" i="4"/>
  <c r="I190" i="4"/>
  <c r="J190" i="4" s="1"/>
  <c r="G191" i="4"/>
  <c r="A193" i="4"/>
  <c r="D192" i="4"/>
  <c r="C193" i="4" l="1"/>
  <c r="E193" i="4"/>
  <c r="K191" i="4"/>
  <c r="I191" i="4"/>
  <c r="J191" i="4" s="1"/>
  <c r="G192" i="4"/>
  <c r="H192" i="4"/>
  <c r="A194" i="4"/>
  <c r="D193" i="4"/>
  <c r="C194" i="4" l="1"/>
  <c r="E194" i="4"/>
  <c r="K192" i="4"/>
  <c r="I192" i="4"/>
  <c r="J192" i="4" s="1"/>
  <c r="G193" i="4"/>
  <c r="H193" i="4"/>
  <c r="D194" i="4"/>
  <c r="A195" i="4"/>
  <c r="C195" i="4" l="1"/>
  <c r="E195" i="4"/>
  <c r="K193" i="4"/>
  <c r="I193" i="4"/>
  <c r="J193" i="4" s="1"/>
  <c r="H194" i="4"/>
  <c r="A196" i="4"/>
  <c r="D195" i="4"/>
  <c r="G194" i="4"/>
  <c r="C196" i="4" l="1"/>
  <c r="E196" i="4"/>
  <c r="K194" i="4"/>
  <c r="I194" i="4"/>
  <c r="J194" i="4" s="1"/>
  <c r="G195" i="4"/>
  <c r="H195" i="4"/>
  <c r="A197" i="4"/>
  <c r="D196" i="4"/>
  <c r="C197" i="4" l="1"/>
  <c r="E197" i="4"/>
  <c r="K195" i="4"/>
  <c r="I195" i="4"/>
  <c r="J195" i="4" s="1"/>
  <c r="G196" i="4"/>
  <c r="H196" i="4"/>
  <c r="A198" i="4"/>
  <c r="D197" i="4"/>
  <c r="C198" i="4" l="1"/>
  <c r="E198" i="4"/>
  <c r="K196" i="4"/>
  <c r="I196" i="4"/>
  <c r="J196" i="4" s="1"/>
  <c r="G197" i="4"/>
  <c r="H197" i="4"/>
  <c r="A199" i="4"/>
  <c r="D198" i="4"/>
  <c r="C199" i="4" l="1"/>
  <c r="E199" i="4"/>
  <c r="K197" i="4"/>
  <c r="I197" i="4"/>
  <c r="J197" i="4" s="1"/>
  <c r="G198" i="4"/>
  <c r="H198" i="4"/>
  <c r="A200" i="4"/>
  <c r="D199" i="4"/>
  <c r="C200" i="4" l="1"/>
  <c r="E200" i="4"/>
  <c r="K198" i="4"/>
  <c r="I198" i="4"/>
  <c r="J198" i="4" s="1"/>
  <c r="G199" i="4"/>
  <c r="H199" i="4"/>
  <c r="A201" i="4"/>
  <c r="D200" i="4"/>
  <c r="C201" i="4" l="1"/>
  <c r="E201" i="4"/>
  <c r="K199" i="4"/>
  <c r="I199" i="4"/>
  <c r="J199" i="4" s="1"/>
  <c r="G200" i="4"/>
  <c r="H200" i="4"/>
  <c r="A202" i="4"/>
  <c r="D201" i="4"/>
  <c r="C202" i="4" l="1"/>
  <c r="E202" i="4"/>
  <c r="K200" i="4"/>
  <c r="I200" i="4"/>
  <c r="J200" i="4" s="1"/>
  <c r="G201" i="4"/>
  <c r="H201" i="4"/>
  <c r="A203" i="4"/>
  <c r="D202" i="4"/>
  <c r="C203" i="4" l="1"/>
  <c r="E203" i="4"/>
  <c r="K201" i="4"/>
  <c r="I201" i="4"/>
  <c r="J201" i="4" s="1"/>
  <c r="H202" i="4"/>
  <c r="G202" i="4"/>
  <c r="D203" i="4"/>
  <c r="A204" i="4"/>
  <c r="C204" i="4" l="1"/>
  <c r="E204" i="4"/>
  <c r="K202" i="4"/>
  <c r="I202" i="4"/>
  <c r="J202" i="4" s="1"/>
  <c r="G203" i="4"/>
  <c r="H203" i="4"/>
  <c r="A205" i="4"/>
  <c r="D204" i="4"/>
  <c r="C205" i="4" l="1"/>
  <c r="E205" i="4"/>
  <c r="K203" i="4"/>
  <c r="I203" i="4"/>
  <c r="J203" i="4" s="1"/>
  <c r="G204" i="4"/>
  <c r="H204" i="4"/>
  <c r="D205" i="4"/>
  <c r="A206" i="4"/>
  <c r="C206" i="4" l="1"/>
  <c r="E206" i="4"/>
  <c r="H205" i="4"/>
  <c r="K204" i="4"/>
  <c r="I204" i="4"/>
  <c r="J204" i="4" s="1"/>
  <c r="G205" i="4"/>
  <c r="D206" i="4"/>
  <c r="A207" i="4"/>
  <c r="C207" i="4" l="1"/>
  <c r="E207" i="4"/>
  <c r="K205" i="4"/>
  <c r="I205" i="4"/>
  <c r="J205" i="4" s="1"/>
  <c r="H206" i="4"/>
  <c r="A208" i="4"/>
  <c r="D207" i="4"/>
  <c r="G206" i="4"/>
  <c r="C208" i="4" l="1"/>
  <c r="E208" i="4"/>
  <c r="K206" i="4"/>
  <c r="I206" i="4"/>
  <c r="J206" i="4" s="1"/>
  <c r="G207" i="4"/>
  <c r="H207" i="4"/>
  <c r="A209" i="4"/>
  <c r="D208" i="4"/>
  <c r="C209" i="4" l="1"/>
  <c r="E209" i="4"/>
  <c r="K207" i="4"/>
  <c r="I207" i="4"/>
  <c r="J207" i="4" s="1"/>
  <c r="H208" i="4"/>
  <c r="G208" i="4"/>
  <c r="A210" i="4"/>
  <c r="D209" i="4"/>
  <c r="C210" i="4" l="1"/>
  <c r="E210" i="4"/>
  <c r="K208" i="4"/>
  <c r="I208" i="4"/>
  <c r="J208" i="4" s="1"/>
  <c r="G209" i="4"/>
  <c r="H209" i="4"/>
  <c r="D210" i="4"/>
  <c r="A211" i="4"/>
  <c r="C211" i="4" l="1"/>
  <c r="E211" i="4"/>
  <c r="K209" i="4"/>
  <c r="I209" i="4"/>
  <c r="J209" i="4" s="1"/>
  <c r="G210" i="4"/>
  <c r="H210" i="4"/>
  <c r="A212" i="4"/>
  <c r="D211" i="4"/>
  <c r="C212" i="4" l="1"/>
  <c r="E212" i="4"/>
  <c r="K210" i="4"/>
  <c r="I210" i="4"/>
  <c r="J210" i="4" s="1"/>
  <c r="G211" i="4"/>
  <c r="H211" i="4"/>
  <c r="A213" i="4"/>
  <c r="D212" i="4"/>
  <c r="C213" i="4" l="1"/>
  <c r="E213" i="4"/>
  <c r="K211" i="4"/>
  <c r="I211" i="4"/>
  <c r="J211" i="4" s="1"/>
  <c r="G212" i="4"/>
  <c r="H212" i="4"/>
  <c r="A214" i="4"/>
  <c r="D213" i="4"/>
  <c r="C214" i="4" l="1"/>
  <c r="E214" i="4"/>
  <c r="K212" i="4"/>
  <c r="I212" i="4"/>
  <c r="J212" i="4" s="1"/>
  <c r="G213" i="4"/>
  <c r="H213" i="4"/>
  <c r="A215" i="4"/>
  <c r="D214" i="4"/>
  <c r="C215" i="4" l="1"/>
  <c r="E215" i="4"/>
  <c r="K213" i="4"/>
  <c r="I213" i="4"/>
  <c r="J213" i="4" s="1"/>
  <c r="G214" i="4"/>
  <c r="H214" i="4"/>
  <c r="A216" i="4"/>
  <c r="D215" i="4"/>
  <c r="C216" i="4" l="1"/>
  <c r="E216" i="4"/>
  <c r="K214" i="4"/>
  <c r="I214" i="4"/>
  <c r="J214" i="4" s="1"/>
  <c r="H215" i="4"/>
  <c r="G215" i="4"/>
  <c r="A217" i="4"/>
  <c r="D216" i="4"/>
  <c r="C217" i="4" l="1"/>
  <c r="E217" i="4"/>
  <c r="K215" i="4"/>
  <c r="I215" i="4"/>
  <c r="J215" i="4" s="1"/>
  <c r="G216" i="4"/>
  <c r="H216" i="4"/>
  <c r="A218" i="4"/>
  <c r="D217" i="4"/>
  <c r="C218" i="4" l="1"/>
  <c r="E218" i="4"/>
  <c r="K216" i="4"/>
  <c r="I216" i="4"/>
  <c r="J216" i="4" s="1"/>
  <c r="G217" i="4"/>
  <c r="H217" i="4"/>
  <c r="D218" i="4"/>
  <c r="A219" i="4"/>
  <c r="C219" i="4" l="1"/>
  <c r="E219" i="4"/>
  <c r="K217" i="4"/>
  <c r="I217" i="4"/>
  <c r="J217" i="4" s="1"/>
  <c r="H218" i="4"/>
  <c r="D219" i="4"/>
  <c r="A220" i="4"/>
  <c r="G218" i="4"/>
  <c r="C220" i="4" l="1"/>
  <c r="E220" i="4"/>
  <c r="K218" i="4"/>
  <c r="I218" i="4"/>
  <c r="J218" i="4" s="1"/>
  <c r="G219" i="4"/>
  <c r="H219" i="4"/>
  <c r="A221" i="4"/>
  <c r="D220" i="4"/>
  <c r="C221" i="4" l="1"/>
  <c r="E221" i="4"/>
  <c r="K219" i="4"/>
  <c r="I219" i="4"/>
  <c r="J219" i="4" s="1"/>
  <c r="G220" i="4"/>
  <c r="H220" i="4"/>
  <c r="D221" i="4"/>
  <c r="A222" i="4"/>
  <c r="C222" i="4" l="1"/>
  <c r="E222" i="4"/>
  <c r="K220" i="4"/>
  <c r="I220" i="4"/>
  <c r="J220" i="4" s="1"/>
  <c r="G221" i="4"/>
  <c r="H221" i="4"/>
  <c r="D222" i="4"/>
  <c r="A223" i="4"/>
  <c r="C223" i="4" l="1"/>
  <c r="E223" i="4"/>
  <c r="K221" i="4"/>
  <c r="I221" i="4"/>
  <c r="J221" i="4" s="1"/>
  <c r="H222" i="4"/>
  <c r="A224" i="4"/>
  <c r="D223" i="4"/>
  <c r="G222" i="4"/>
  <c r="C224" i="4" l="1"/>
  <c r="E224" i="4"/>
  <c r="K222" i="4"/>
  <c r="I222" i="4"/>
  <c r="J222" i="4" s="1"/>
  <c r="G223" i="4"/>
  <c r="H223" i="4"/>
  <c r="A225" i="4"/>
  <c r="D224" i="4"/>
  <c r="C225" i="4" l="1"/>
  <c r="E225" i="4"/>
  <c r="K223" i="4"/>
  <c r="I223" i="4"/>
  <c r="J223" i="4" s="1"/>
  <c r="G224" i="4"/>
  <c r="H224" i="4"/>
  <c r="A226" i="4"/>
  <c r="D225" i="4"/>
  <c r="C226" i="4" l="1"/>
  <c r="E226" i="4"/>
  <c r="K224" i="4"/>
  <c r="I224" i="4"/>
  <c r="J224" i="4" s="1"/>
  <c r="G225" i="4"/>
  <c r="H225" i="4"/>
  <c r="A227" i="4"/>
  <c r="D226" i="4"/>
  <c r="C227" i="4" l="1"/>
  <c r="E227" i="4"/>
  <c r="K225" i="4"/>
  <c r="I225" i="4"/>
  <c r="J225" i="4" s="1"/>
  <c r="G226" i="4"/>
  <c r="H226" i="4"/>
  <c r="A228" i="4"/>
  <c r="D227" i="4"/>
  <c r="C228" i="4" l="1"/>
  <c r="E228" i="4"/>
  <c r="K226" i="4"/>
  <c r="I226" i="4"/>
  <c r="J226" i="4" s="1"/>
  <c r="G227" i="4"/>
  <c r="H227" i="4"/>
  <c r="A229" i="4"/>
  <c r="D228" i="4"/>
  <c r="C229" i="4" l="1"/>
  <c r="E229" i="4"/>
  <c r="K227" i="4"/>
  <c r="I227" i="4"/>
  <c r="J227" i="4" s="1"/>
  <c r="G228" i="4"/>
  <c r="H228" i="4"/>
  <c r="A230" i="4"/>
  <c r="D229" i="4"/>
  <c r="C230" i="4" l="1"/>
  <c r="E230" i="4"/>
  <c r="K228" i="4"/>
  <c r="I228" i="4"/>
  <c r="J228" i="4" s="1"/>
  <c r="G229" i="4"/>
  <c r="H229" i="4"/>
  <c r="A231" i="4"/>
  <c r="D230" i="4"/>
  <c r="C231" i="4" l="1"/>
  <c r="E231" i="4"/>
  <c r="K229" i="4"/>
  <c r="I229" i="4"/>
  <c r="J229" i="4" s="1"/>
  <c r="G230" i="4"/>
  <c r="H230" i="4"/>
  <c r="A232" i="4"/>
  <c r="D231" i="4"/>
  <c r="C232" i="4" l="1"/>
  <c r="E232" i="4"/>
  <c r="K230" i="4"/>
  <c r="I230" i="4"/>
  <c r="J230" i="4" s="1"/>
  <c r="G231" i="4"/>
  <c r="H231" i="4"/>
  <c r="A233" i="4"/>
  <c r="D232" i="4"/>
  <c r="C233" i="4" l="1"/>
  <c r="E233" i="4"/>
  <c r="K231" i="4"/>
  <c r="I231" i="4"/>
  <c r="J231" i="4" s="1"/>
  <c r="H232" i="4"/>
  <c r="G232" i="4"/>
  <c r="A234" i="4"/>
  <c r="D233" i="4"/>
  <c r="C234" i="4" l="1"/>
  <c r="E234" i="4"/>
  <c r="H233" i="4"/>
  <c r="K232" i="4"/>
  <c r="I232" i="4"/>
  <c r="J232" i="4" s="1"/>
  <c r="G233" i="4"/>
  <c r="D234" i="4"/>
  <c r="A235" i="4"/>
  <c r="C235" i="4" l="1"/>
  <c r="E235" i="4"/>
  <c r="K233" i="4"/>
  <c r="I233" i="4"/>
  <c r="J233" i="4" s="1"/>
  <c r="H234" i="4"/>
  <c r="D235" i="4"/>
  <c r="A236" i="4"/>
  <c r="G234" i="4"/>
  <c r="C236" i="4" l="1"/>
  <c r="E236" i="4"/>
  <c r="H235" i="4"/>
  <c r="K234" i="4"/>
  <c r="I234" i="4"/>
  <c r="J234" i="4" s="1"/>
  <c r="A237" i="4"/>
  <c r="D236" i="4"/>
  <c r="G235" i="4"/>
  <c r="C237" i="4" l="1"/>
  <c r="E237" i="4"/>
  <c r="K235" i="4"/>
  <c r="I235" i="4"/>
  <c r="J235" i="4" s="1"/>
  <c r="G236" i="4"/>
  <c r="H236" i="4"/>
  <c r="D237" i="4"/>
  <c r="A238" i="4"/>
  <c r="C238" i="4" l="1"/>
  <c r="E238" i="4"/>
  <c r="K236" i="4"/>
  <c r="I236" i="4"/>
  <c r="J236" i="4" s="1"/>
  <c r="G237" i="4"/>
  <c r="H237" i="4"/>
  <c r="D238" i="4"/>
  <c r="A239" i="4"/>
  <c r="C239" i="4" l="1"/>
  <c r="E239" i="4"/>
  <c r="K237" i="4"/>
  <c r="I237" i="4"/>
  <c r="J237" i="4" s="1"/>
  <c r="H238" i="4"/>
  <c r="A240" i="4"/>
  <c r="D239" i="4"/>
  <c r="G238" i="4"/>
  <c r="C240" i="4" l="1"/>
  <c r="E240" i="4"/>
  <c r="H239" i="4"/>
  <c r="K238" i="4"/>
  <c r="I238" i="4"/>
  <c r="J238" i="4" s="1"/>
  <c r="G239" i="4"/>
  <c r="A241" i="4"/>
  <c r="D240" i="4"/>
  <c r="C241" i="4" l="1"/>
  <c r="E241" i="4"/>
  <c r="H240" i="4"/>
  <c r="K239" i="4"/>
  <c r="I239" i="4"/>
  <c r="J239" i="4" s="1"/>
  <c r="G240" i="4"/>
  <c r="A242" i="4"/>
  <c r="D241" i="4"/>
  <c r="C242" i="4" l="1"/>
  <c r="E242" i="4"/>
  <c r="H241" i="4"/>
  <c r="K240" i="4"/>
  <c r="I240" i="4"/>
  <c r="J240" i="4" s="1"/>
  <c r="G241" i="4"/>
  <c r="D242" i="4"/>
  <c r="A243" i="4"/>
  <c r="C243" i="4" l="1"/>
  <c r="E243" i="4"/>
  <c r="K241" i="4"/>
  <c r="I241" i="4"/>
  <c r="J241" i="4" s="1"/>
  <c r="G242" i="4"/>
  <c r="H242" i="4"/>
  <c r="A244" i="4"/>
  <c r="D243" i="4"/>
  <c r="C244" i="4" l="1"/>
  <c r="E244" i="4"/>
  <c r="K242" i="4"/>
  <c r="I242" i="4"/>
  <c r="J242" i="4" s="1"/>
  <c r="G243" i="4"/>
  <c r="H243" i="4"/>
  <c r="A245" i="4"/>
  <c r="D244" i="4"/>
  <c r="C245" i="4" l="1"/>
  <c r="E245" i="4"/>
  <c r="H244" i="4"/>
  <c r="K243" i="4"/>
  <c r="I243" i="4"/>
  <c r="J243" i="4" s="1"/>
  <c r="G244" i="4"/>
  <c r="A246" i="4"/>
  <c r="D245" i="4"/>
  <c r="C246" i="4" l="1"/>
  <c r="E246" i="4"/>
  <c r="K244" i="4"/>
  <c r="I244" i="4"/>
  <c r="J244" i="4" s="1"/>
  <c r="G245" i="4"/>
  <c r="H245" i="4"/>
  <c r="A247" i="4"/>
  <c r="D246" i="4"/>
  <c r="C247" i="4" l="1"/>
  <c r="E247" i="4"/>
  <c r="K245" i="4"/>
  <c r="I245" i="4"/>
  <c r="J245" i="4" s="1"/>
  <c r="G246" i="4"/>
  <c r="H246" i="4"/>
  <c r="A248" i="4"/>
  <c r="D247" i="4"/>
  <c r="C248" i="4" l="1"/>
  <c r="E248" i="4"/>
  <c r="H247" i="4"/>
  <c r="K246" i="4"/>
  <c r="I246" i="4"/>
  <c r="J246" i="4" s="1"/>
  <c r="G247" i="4"/>
  <c r="A249" i="4"/>
  <c r="D248" i="4"/>
  <c r="C249" i="4" l="1"/>
  <c r="E249" i="4"/>
  <c r="K247" i="4"/>
  <c r="I247" i="4"/>
  <c r="J247" i="4" s="1"/>
  <c r="G248" i="4"/>
  <c r="H248" i="4"/>
  <c r="A250" i="4"/>
  <c r="D249" i="4"/>
  <c r="C250" i="4" l="1"/>
  <c r="E250" i="4"/>
  <c r="K248" i="4"/>
  <c r="I248" i="4"/>
  <c r="J248" i="4" s="1"/>
  <c r="G249" i="4"/>
  <c r="H249" i="4"/>
  <c r="A251" i="4"/>
  <c r="D250" i="4"/>
  <c r="C251" i="4" l="1"/>
  <c r="E251" i="4"/>
  <c r="H250" i="4"/>
  <c r="K249" i="4"/>
  <c r="I249" i="4"/>
  <c r="J249" i="4" s="1"/>
  <c r="G250" i="4"/>
  <c r="D251" i="4"/>
  <c r="A252" i="4"/>
  <c r="C252" i="4" l="1"/>
  <c r="E252" i="4"/>
  <c r="H251" i="4"/>
  <c r="K250" i="4"/>
  <c r="I250" i="4"/>
  <c r="J250" i="4" s="1"/>
  <c r="A253" i="4"/>
  <c r="D252" i="4"/>
  <c r="G251" i="4"/>
  <c r="C253" i="4" l="1"/>
  <c r="E253" i="4"/>
  <c r="K251" i="4"/>
  <c r="I251" i="4"/>
  <c r="J251" i="4" s="1"/>
  <c r="G252" i="4"/>
  <c r="H252" i="4"/>
  <c r="D253" i="4"/>
  <c r="A254" i="4"/>
  <c r="C254" i="4" l="1"/>
  <c r="E254" i="4"/>
  <c r="K252" i="4"/>
  <c r="I252" i="4"/>
  <c r="J252" i="4" s="1"/>
  <c r="G253" i="4"/>
  <c r="H253" i="4"/>
  <c r="D254" i="4"/>
  <c r="A255" i="4"/>
  <c r="C255" i="4" l="1"/>
  <c r="E255" i="4"/>
  <c r="K253" i="4"/>
  <c r="I253" i="4"/>
  <c r="J253" i="4" s="1"/>
  <c r="H254" i="4"/>
  <c r="A256" i="4"/>
  <c r="D255" i="4"/>
  <c r="G254" i="4"/>
  <c r="C256" i="4" l="1"/>
  <c r="E256" i="4"/>
  <c r="K254" i="4"/>
  <c r="I254" i="4"/>
  <c r="J254" i="4" s="1"/>
  <c r="G255" i="4"/>
  <c r="H255" i="4"/>
  <c r="A257" i="4"/>
  <c r="D256" i="4"/>
  <c r="C257" i="4" l="1"/>
  <c r="E257" i="4"/>
  <c r="K255" i="4"/>
  <c r="I255" i="4"/>
  <c r="J255" i="4" s="1"/>
  <c r="H256" i="4"/>
  <c r="G256" i="4"/>
  <c r="A258" i="4"/>
  <c r="D257" i="4"/>
  <c r="C258" i="4" l="1"/>
  <c r="E258" i="4"/>
  <c r="H257" i="4"/>
  <c r="K256" i="4"/>
  <c r="I256" i="4"/>
  <c r="J256" i="4" s="1"/>
  <c r="G257" i="4"/>
  <c r="D258" i="4"/>
  <c r="A259" i="4"/>
  <c r="C259" i="4" l="1"/>
  <c r="E259" i="4"/>
  <c r="H258" i="4"/>
  <c r="K257" i="4"/>
  <c r="I257" i="4"/>
  <c r="J257" i="4" s="1"/>
  <c r="A260" i="4"/>
  <c r="D259" i="4"/>
  <c r="G258" i="4"/>
  <c r="C260" i="4" l="1"/>
  <c r="E260" i="4"/>
  <c r="K258" i="4"/>
  <c r="I258" i="4"/>
  <c r="J258" i="4" s="1"/>
  <c r="G259" i="4"/>
  <c r="H259" i="4"/>
  <c r="A261" i="4"/>
  <c r="D260" i="4"/>
  <c r="C261" i="4" l="1"/>
  <c r="E261" i="4"/>
  <c r="K259" i="4"/>
  <c r="I259" i="4"/>
  <c r="J259" i="4" s="1"/>
  <c r="G260" i="4"/>
  <c r="H260" i="4"/>
  <c r="A262" i="4"/>
  <c r="D261" i="4"/>
  <c r="C262" i="4" l="1"/>
  <c r="E262" i="4"/>
  <c r="K260" i="4"/>
  <c r="I260" i="4"/>
  <c r="J260" i="4" s="1"/>
  <c r="G261" i="4"/>
  <c r="H261" i="4"/>
  <c r="A263" i="4"/>
  <c r="D262" i="4"/>
  <c r="C263" i="4" l="1"/>
  <c r="E263" i="4"/>
  <c r="K261" i="4"/>
  <c r="I261" i="4"/>
  <c r="J261" i="4" s="1"/>
  <c r="G262" i="4"/>
  <c r="H262" i="4"/>
  <c r="A264" i="4"/>
  <c r="D263" i="4"/>
  <c r="C264" i="4" l="1"/>
  <c r="E264" i="4"/>
  <c r="H263" i="4"/>
  <c r="K262" i="4"/>
  <c r="I262" i="4"/>
  <c r="J262" i="4" s="1"/>
  <c r="G263" i="4"/>
  <c r="A265" i="4"/>
  <c r="D264" i="4"/>
  <c r="C265" i="4" l="1"/>
  <c r="E265" i="4"/>
  <c r="H264" i="4"/>
  <c r="K263" i="4"/>
  <c r="I263" i="4"/>
  <c r="J263" i="4" s="1"/>
  <c r="G264" i="4"/>
  <c r="A266" i="4"/>
  <c r="D265" i="4"/>
  <c r="C266" i="4" l="1"/>
  <c r="E266" i="4"/>
  <c r="K264" i="4"/>
  <c r="I264" i="4"/>
  <c r="J264" i="4" s="1"/>
  <c r="G265" i="4"/>
  <c r="H265" i="4"/>
  <c r="A267" i="4"/>
  <c r="D266" i="4"/>
  <c r="C267" i="4" l="1"/>
  <c r="E267" i="4"/>
  <c r="K265" i="4"/>
  <c r="I265" i="4"/>
  <c r="J265" i="4" s="1"/>
  <c r="G266" i="4"/>
  <c r="H266" i="4"/>
  <c r="D267" i="4"/>
  <c r="A268" i="4"/>
  <c r="C268" i="4" l="1"/>
  <c r="E268" i="4"/>
  <c r="K266" i="4"/>
  <c r="I266" i="4"/>
  <c r="J266" i="4" s="1"/>
  <c r="G267" i="4"/>
  <c r="H267" i="4"/>
  <c r="A269" i="4"/>
  <c r="D268" i="4"/>
  <c r="C269" i="4" l="1"/>
  <c r="E269" i="4"/>
  <c r="K267" i="4"/>
  <c r="I267" i="4"/>
  <c r="J267" i="4" s="1"/>
  <c r="G268" i="4"/>
  <c r="H268" i="4"/>
  <c r="D269" i="4"/>
  <c r="A270" i="4"/>
  <c r="C270" i="4" l="1"/>
  <c r="E270" i="4"/>
  <c r="K268" i="4"/>
  <c r="I268" i="4"/>
  <c r="J268" i="4" s="1"/>
  <c r="G269" i="4"/>
  <c r="H269" i="4"/>
  <c r="D270" i="4"/>
  <c r="A271" i="4"/>
  <c r="C271" i="4" l="1"/>
  <c r="E271" i="4"/>
  <c r="K269" i="4"/>
  <c r="I269" i="4"/>
  <c r="J269" i="4" s="1"/>
  <c r="H270" i="4"/>
  <c r="A272" i="4"/>
  <c r="D271" i="4"/>
  <c r="G270" i="4"/>
  <c r="C272" i="4" l="1"/>
  <c r="E272" i="4"/>
  <c r="K270" i="4"/>
  <c r="I270" i="4"/>
  <c r="J270" i="4" s="1"/>
  <c r="G271" i="4"/>
  <c r="H271" i="4"/>
  <c r="A273" i="4"/>
  <c r="D272" i="4"/>
  <c r="C273" i="4" l="1"/>
  <c r="E273" i="4"/>
  <c r="K271" i="4"/>
  <c r="I271" i="4"/>
  <c r="J271" i="4" s="1"/>
  <c r="G272" i="4"/>
  <c r="H272" i="4"/>
  <c r="A274" i="4"/>
  <c r="D273" i="4"/>
  <c r="C274" i="4" l="1"/>
  <c r="E274" i="4"/>
  <c r="H273" i="4"/>
  <c r="K272" i="4"/>
  <c r="I272" i="4"/>
  <c r="J272" i="4" s="1"/>
  <c r="G273" i="4"/>
  <c r="D274" i="4"/>
  <c r="A275" i="4"/>
  <c r="C275" i="4" l="1"/>
  <c r="E275" i="4"/>
  <c r="K273" i="4"/>
  <c r="I273" i="4"/>
  <c r="J273" i="4" s="1"/>
  <c r="H274" i="4"/>
  <c r="A276" i="4"/>
  <c r="D275" i="4"/>
  <c r="G274" i="4"/>
  <c r="C276" i="4" l="1"/>
  <c r="E276" i="4"/>
  <c r="K274" i="4"/>
  <c r="I274" i="4"/>
  <c r="J274" i="4" s="1"/>
  <c r="G275" i="4"/>
  <c r="H275" i="4"/>
  <c r="A277" i="4"/>
  <c r="D276" i="4"/>
  <c r="C277" i="4" l="1"/>
  <c r="E277" i="4"/>
  <c r="K275" i="4"/>
  <c r="I275" i="4"/>
  <c r="J275" i="4" s="1"/>
  <c r="G276" i="4"/>
  <c r="H276" i="4"/>
  <c r="A278" i="4"/>
  <c r="D277" i="4"/>
  <c r="C278" i="4" l="1"/>
  <c r="E278" i="4"/>
  <c r="H277" i="4"/>
  <c r="K276" i="4"/>
  <c r="I276" i="4"/>
  <c r="J276" i="4" s="1"/>
  <c r="G277" i="4"/>
  <c r="A279" i="4"/>
  <c r="D278" i="4"/>
  <c r="C279" i="4" l="1"/>
  <c r="E279" i="4"/>
  <c r="H278" i="4"/>
  <c r="K277" i="4"/>
  <c r="I277" i="4"/>
  <c r="J277" i="4" s="1"/>
  <c r="G278" i="4"/>
  <c r="A280" i="4"/>
  <c r="D279" i="4"/>
  <c r="C280" i="4" l="1"/>
  <c r="E280" i="4"/>
  <c r="K278" i="4"/>
  <c r="I278" i="4"/>
  <c r="J278" i="4" s="1"/>
  <c r="G279" i="4"/>
  <c r="H279" i="4"/>
  <c r="A281" i="4"/>
  <c r="D280" i="4"/>
  <c r="C281" i="4" l="1"/>
  <c r="E281" i="4"/>
  <c r="K279" i="4"/>
  <c r="I279" i="4"/>
  <c r="J279" i="4" s="1"/>
  <c r="G280" i="4"/>
  <c r="H280" i="4"/>
  <c r="A282" i="4"/>
  <c r="D281" i="4"/>
  <c r="C282" i="4" l="1"/>
  <c r="E282" i="4"/>
  <c r="K280" i="4"/>
  <c r="I280" i="4"/>
  <c r="J280" i="4" s="1"/>
  <c r="H281" i="4"/>
  <c r="G281" i="4"/>
  <c r="D282" i="4"/>
  <c r="A283" i="4"/>
  <c r="C283" i="4" l="1"/>
  <c r="E283" i="4"/>
  <c r="K281" i="4"/>
  <c r="I281" i="4"/>
  <c r="J281" i="4" s="1"/>
  <c r="H282" i="4"/>
  <c r="D283" i="4"/>
  <c r="A284" i="4"/>
  <c r="G282" i="4"/>
  <c r="C284" i="4" l="1"/>
  <c r="E284" i="4"/>
  <c r="K282" i="4"/>
  <c r="I282" i="4"/>
  <c r="J282" i="4" s="1"/>
  <c r="G283" i="4"/>
  <c r="H283" i="4"/>
  <c r="A285" i="4"/>
  <c r="D284" i="4"/>
  <c r="C285" i="4" l="1"/>
  <c r="E285" i="4"/>
  <c r="H284" i="4"/>
  <c r="K283" i="4"/>
  <c r="I283" i="4"/>
  <c r="J283" i="4" s="1"/>
  <c r="D285" i="4"/>
  <c r="A286" i="4"/>
  <c r="G284" i="4"/>
  <c r="C286" i="4" l="1"/>
  <c r="E286" i="4"/>
  <c r="H285" i="4"/>
  <c r="K284" i="4"/>
  <c r="I284" i="4"/>
  <c r="J284" i="4" s="1"/>
  <c r="D286" i="4"/>
  <c r="A287" i="4"/>
  <c r="G285" i="4"/>
  <c r="C287" i="4" l="1"/>
  <c r="E287" i="4"/>
  <c r="K285" i="4"/>
  <c r="I285" i="4"/>
  <c r="J285" i="4" s="1"/>
  <c r="H286" i="4"/>
  <c r="A288" i="4"/>
  <c r="D287" i="4"/>
  <c r="G286" i="4"/>
  <c r="C288" i="4" l="1"/>
  <c r="E288" i="4"/>
  <c r="K286" i="4"/>
  <c r="I286" i="4"/>
  <c r="J286" i="4" s="1"/>
  <c r="G287" i="4"/>
  <c r="H287" i="4"/>
  <c r="A289" i="4"/>
  <c r="D288" i="4"/>
  <c r="C289" i="4" l="1"/>
  <c r="E289" i="4"/>
  <c r="H288" i="4"/>
  <c r="K287" i="4"/>
  <c r="I287" i="4"/>
  <c r="J287" i="4" s="1"/>
  <c r="G288" i="4"/>
  <c r="A290" i="4"/>
  <c r="D289" i="4"/>
  <c r="C290" i="4" l="1"/>
  <c r="E290" i="4"/>
  <c r="H289" i="4"/>
  <c r="K288" i="4"/>
  <c r="I288" i="4"/>
  <c r="J288" i="4" s="1"/>
  <c r="G289" i="4"/>
  <c r="D290" i="4"/>
  <c r="A291" i="4"/>
  <c r="C291" i="4" l="1"/>
  <c r="E291" i="4"/>
  <c r="H290" i="4"/>
  <c r="K289" i="4"/>
  <c r="I289" i="4"/>
  <c r="J289" i="4" s="1"/>
  <c r="G290" i="4"/>
  <c r="A292" i="4"/>
  <c r="D291" i="4"/>
  <c r="C292" i="4" l="1"/>
  <c r="E292" i="4"/>
  <c r="K290" i="4"/>
  <c r="I290" i="4"/>
  <c r="J290" i="4" s="1"/>
  <c r="G291" i="4"/>
  <c r="H291" i="4"/>
  <c r="A293" i="4"/>
  <c r="D292" i="4"/>
  <c r="C293" i="4" l="1"/>
  <c r="E293" i="4"/>
  <c r="H292" i="4"/>
  <c r="K291" i="4"/>
  <c r="I291" i="4"/>
  <c r="J291" i="4" s="1"/>
  <c r="G292" i="4"/>
  <c r="A294" i="4"/>
  <c r="D293" i="4"/>
  <c r="C294" i="4" l="1"/>
  <c r="E294" i="4"/>
  <c r="H293" i="4"/>
  <c r="K292" i="4"/>
  <c r="I292" i="4"/>
  <c r="J292" i="4" s="1"/>
  <c r="G293" i="4"/>
  <c r="D294" i="4"/>
  <c r="K293" i="4" l="1"/>
  <c r="I293" i="4"/>
  <c r="J293" i="4" s="1"/>
  <c r="H294" i="4"/>
  <c r="G294" i="4"/>
  <c r="K294" i="4" l="1"/>
  <c r="I294" i="4"/>
  <c r="J294" i="4" s="1"/>
</calcChain>
</file>

<file path=xl/sharedStrings.xml><?xml version="1.0" encoding="utf-8"?>
<sst xmlns="http://schemas.openxmlformats.org/spreadsheetml/2006/main" count="368" uniqueCount="237">
  <si>
    <t>Wachttijden</t>
  </si>
  <si>
    <t>Temperatuur koud water</t>
  </si>
  <si>
    <t>°C</t>
  </si>
  <si>
    <t>temperatuur</t>
  </si>
  <si>
    <t>wachttijd</t>
  </si>
  <si>
    <t>Temperatuur warm water</t>
  </si>
  <si>
    <t>Warmtecapaciteit tapwater</t>
  </si>
  <si>
    <t>J/kgK</t>
  </si>
  <si>
    <t>Gebaseerd op CW4</t>
  </si>
  <si>
    <t>Voor de berekening van de tapbehoefte woprdt onderscheid gemaakt tussen:</t>
  </si>
  <si>
    <t>Kleine tappingen verdeeld over de dag</t>
  </si>
  <si>
    <t>Douchebeurten</t>
  </si>
  <si>
    <t>nr</t>
  </si>
  <si>
    <t>. tijd</t>
  </si>
  <si>
    <t>tapvolume</t>
  </si>
  <si>
    <t>tapdebiet</t>
  </si>
  <si>
    <t>T(gewenst)</t>
  </si>
  <si>
    <t>T(nuttig)</t>
  </si>
  <si>
    <t>tapduur (min)</t>
  </si>
  <si>
    <t>gebruik</t>
  </si>
  <si>
    <t>volume kleine tapping (bij t gewenst)</t>
  </si>
  <si>
    <t>wachttijd (min)</t>
  </si>
  <si>
    <t>aanloopvolume (l)</t>
  </si>
  <si>
    <t>totaal volume kleine tapping(l)</t>
  </si>
  <si>
    <t>totale warmte kleine tapping (J)</t>
  </si>
  <si>
    <t>Grote tapping (J)</t>
  </si>
  <si>
    <t>[l bij Tgewenst]</t>
  </si>
  <si>
    <t>[l/min]</t>
  </si>
  <si>
    <t>[°C]</t>
  </si>
  <si>
    <t>wastafel</t>
  </si>
  <si>
    <t>douche</t>
  </si>
  <si>
    <t>spoelen</t>
  </si>
  <si>
    <t>handen wassen</t>
  </si>
  <si>
    <t>Korte tap</t>
  </si>
  <si>
    <t>vaat  wassen</t>
  </si>
  <si>
    <t>Na spoelen</t>
  </si>
  <si>
    <t>start kleine tappingen</t>
  </si>
  <si>
    <t>uur</t>
  </si>
  <si>
    <t>einde kleine tappingen</t>
  </si>
  <si>
    <t>Totaal kleine tapping</t>
  </si>
  <si>
    <t>liter</t>
  </si>
  <si>
    <t>J</t>
  </si>
  <si>
    <t xml:space="preserve">gedurende </t>
  </si>
  <si>
    <t xml:space="preserve">gemiddeld </t>
  </si>
  <si>
    <t>l/min</t>
  </si>
  <si>
    <t>n</t>
  </si>
  <si>
    <t>min</t>
  </si>
  <si>
    <t>kg</t>
  </si>
  <si>
    <t>K</t>
  </si>
  <si>
    <t>60 m3</t>
  </si>
  <si>
    <t>W</t>
  </si>
  <si>
    <t>˚C</t>
  </si>
  <si>
    <t>Retourtemperatuur voor tapwater</t>
  </si>
  <si>
    <t>https://www.vattenfall.nl/media/service/downloads/stadswarmte/richtlijn-klantinstallaties-vattenfall-warmte.pdf</t>
  </si>
  <si>
    <t>tijdstap</t>
  </si>
  <si>
    <t>t (min)</t>
  </si>
  <si>
    <t>Appartementengebouw</t>
  </si>
  <si>
    <t>appartementen</t>
  </si>
  <si>
    <t>Aantal lagen</t>
  </si>
  <si>
    <t>Appartementen per laag</t>
  </si>
  <si>
    <t>Orientatie</t>
  </si>
  <si>
    <t>N-Z</t>
  </si>
  <si>
    <t>Vloerdikte</t>
  </si>
  <si>
    <t>m</t>
  </si>
  <si>
    <t>muurdikte</t>
  </si>
  <si>
    <t>verdiepingshoogte</t>
  </si>
  <si>
    <t>hoogte onderverdieping</t>
  </si>
  <si>
    <t>gebruiksoppervlak</t>
  </si>
  <si>
    <t>m2</t>
  </si>
  <si>
    <t>RVO</t>
  </si>
  <si>
    <t>Achter en voor gevel</t>
  </si>
  <si>
    <t>gesloten</t>
  </si>
  <si>
    <t>U-waarde</t>
  </si>
  <si>
    <t>0,64</t>
  </si>
  <si>
    <t>enkel glas</t>
  </si>
  <si>
    <t>5,2</t>
  </si>
  <si>
    <t>dubbelglas</t>
  </si>
  <si>
    <t>Totaal oppervlak voor en achtergevel</t>
  </si>
  <si>
    <t>Hoogte</t>
  </si>
  <si>
    <t>Breedte</t>
  </si>
  <si>
    <t>glasoppervlak zuid</t>
  </si>
  <si>
    <t>glasooppervlak</t>
  </si>
  <si>
    <t>oost</t>
  </si>
  <si>
    <t xml:space="preserve">glasoppervlak </t>
  </si>
  <si>
    <t>west</t>
  </si>
  <si>
    <t>glasoppervlak gehele gebouw</t>
  </si>
  <si>
    <t>Op zuid</t>
  </si>
  <si>
    <t>Op noord</t>
  </si>
  <si>
    <t>m3</t>
  </si>
  <si>
    <t>enkelglas</t>
  </si>
  <si>
    <t>op oost</t>
  </si>
  <si>
    <t>m4</t>
  </si>
  <si>
    <t>op west</t>
  </si>
  <si>
    <t>m5</t>
  </si>
  <si>
    <t>gasgebruik</t>
  </si>
  <si>
    <t>m3/m2</t>
  </si>
  <si>
    <t>https://opendata.cbs.nl/statline/#/CBS/nl/dataset/83878ned/table?ts=1632388294280</t>
  </si>
  <si>
    <t>C</t>
  </si>
  <si>
    <t>Opwekkingsrendement ketel voor tapwater</t>
  </si>
  <si>
    <t xml:space="preserve">(https://publications.tno.nl/publication/34629245/45C6Dl/e13075.pdf) yields </t>
  </si>
  <si>
    <t>rho</t>
  </si>
  <si>
    <t>kg/m3</t>
  </si>
  <si>
    <t>Onderwaarde verbrandingswaarde</t>
  </si>
  <si>
    <t>Gasgebruik tapwater</t>
  </si>
  <si>
    <t>Gasgebruik verwarming</t>
  </si>
  <si>
    <t>elektricteitsgebruik</t>
  </si>
  <si>
    <t>KWh</t>
  </si>
  <si>
    <t>bezetting</t>
  </si>
  <si>
    <t>persoenen</t>
  </si>
  <si>
    <t>Breedte appartement</t>
  </si>
  <si>
    <t>Diepte appartement</t>
  </si>
  <si>
    <t>Aantal muren</t>
  </si>
  <si>
    <t>Aantal vloeren</t>
  </si>
  <si>
    <t>Volume vloer</t>
  </si>
  <si>
    <t>Volume vloeren</t>
  </si>
  <si>
    <t>Volume muur</t>
  </si>
  <si>
    <t>Volume muren</t>
  </si>
  <si>
    <t>Volume beton</t>
  </si>
  <si>
    <t>Specifieke warmte beton</t>
  </si>
  <si>
    <t>Dichtheid gewapend beton</t>
  </si>
  <si>
    <t>J/K</t>
  </si>
  <si>
    <t>Totale lengte binnenmuren</t>
  </si>
  <si>
    <t>Dikte binnenmuren</t>
  </si>
  <si>
    <t>Volume binnenmuren per appartement</t>
  </si>
  <si>
    <t>Totaal volume binnenmuren</t>
  </si>
  <si>
    <t>Dichtheid lichte constructie</t>
  </si>
  <si>
    <t>Specifieke warmte lichte constructie</t>
  </si>
  <si>
    <t>Warmtecapaciteit lichte constructie</t>
  </si>
  <si>
    <t>Voor de appartementen wordt uitgegaan van een maximale temperatuur van het verwarmen</t>
  </si>
  <si>
    <t>LMTD</t>
  </si>
  <si>
    <t>T</t>
  </si>
  <si>
    <t>max</t>
  </si>
  <si>
    <t>graden</t>
  </si>
  <si>
    <t>P/Pmax</t>
  </si>
  <si>
    <t>retour max</t>
  </si>
  <si>
    <t>T_omg</t>
  </si>
  <si>
    <t>LMTD_max</t>
  </si>
  <si>
    <t>Check</t>
  </si>
  <si>
    <t xml:space="preserve">Totaal </t>
  </si>
  <si>
    <t>per flat continu kleine tappingen</t>
  </si>
  <si>
    <t>Douchen</t>
  </si>
  <si>
    <t>Gebruik CW 4</t>
  </si>
  <si>
    <t>J/dag</t>
  </si>
  <si>
    <t xml:space="preserve">In werkelijkheid </t>
  </si>
  <si>
    <t>Schaalfactor verbruik</t>
  </si>
  <si>
    <t>Het continue verbruik aan kleine tappingen wordt dan</t>
  </si>
  <si>
    <t>n douches</t>
  </si>
  <si>
    <t>kW</t>
  </si>
  <si>
    <t>Per flat</t>
  </si>
  <si>
    <t>sigma</t>
  </si>
  <si>
    <t>Vermogen kleine tappingen</t>
  </si>
  <si>
    <t>Vermogen douchebeurten</t>
  </si>
  <si>
    <t>Vermogen legionella</t>
  </si>
  <si>
    <t>Kleine tapping</t>
  </si>
  <si>
    <t>totaal vermogen</t>
  </si>
  <si>
    <t>uren</t>
  </si>
  <si>
    <t>retourtemperatuur</t>
  </si>
  <si>
    <t>tapwaterbereiding</t>
  </si>
  <si>
    <t>Legionella</t>
  </si>
  <si>
    <t>retourtemperatuur tapwaterbereiding</t>
  </si>
  <si>
    <t>aanvoertempoeratuur</t>
  </si>
  <si>
    <t>Flow tapwaterbereiding (m3/s)</t>
  </si>
  <si>
    <t>(l/min)</t>
  </si>
  <si>
    <t>Tretour</t>
  </si>
  <si>
    <t>P/Pref radiator</t>
  </si>
  <si>
    <t>Flow</t>
  </si>
  <si>
    <t>Gerekend wordt aan een denkbeeldige galerijflat periode 1965-1974</t>
  </si>
  <si>
    <t>De afmetingen zijn gebaseerd op voorbeeldwoningen bestaande bouw van RVO</t>
  </si>
  <si>
    <t>Het energiegebruik is gebaseerd op het energiegebruik van appartementenuit de genoemde bouwperiode in Nederland</t>
  </si>
  <si>
    <t>Er wordt verondersteld dat de leidingen in het appartement samen met de radiatoren werken.</t>
  </si>
  <si>
    <t>Er wordt verondersteld dat de maximale verwarmingstemperatuur bij -10 graden C 70 graden C is.</t>
  </si>
  <si>
    <t>De retourtemperatuur is dan 40 graden C</t>
  </si>
  <si>
    <t>De aanvoertemperatuur is altijd 70m graden C voor de tapwaterbereiding.</t>
  </si>
  <si>
    <t>De retourtemperatuur hangt af van de warmtevraag.</t>
  </si>
  <si>
    <t>De water flow in de flat wordt gemiddeld kleiner als er minder warmtevraag is.</t>
  </si>
  <si>
    <t>Het duurt enige tijd voor het warme water op de locatie is</t>
  </si>
  <si>
    <t>J/jaar</t>
  </si>
  <si>
    <t>Interne lasten</t>
  </si>
  <si>
    <t>Aantal uren in een jaar</t>
  </si>
  <si>
    <t>Continu vermogen</t>
  </si>
  <si>
    <t>Continu verlies afleverset</t>
  </si>
  <si>
    <t>Aantal bewoners</t>
  </si>
  <si>
    <t>Aanwezigheid bewones</t>
  </si>
  <si>
    <t>Gemiddeld vermogen bewoner</t>
  </si>
  <si>
    <t>Belasting bewoners</t>
  </si>
  <si>
    <t>Totaal</t>
  </si>
  <si>
    <t>Ventilatie verlaagt dit</t>
  </si>
  <si>
    <t>Tapwater verhoogt dit</t>
  </si>
  <si>
    <t>De modellering gebeurt op basis van het onderstaande model</t>
  </si>
  <si>
    <t>Dit model is gebaseerd op de onderstaande veronderstellingen:</t>
  </si>
  <si>
    <t>Gevel is licht uitgevoerd en er is een relatief groot glasoppervlak</t>
  </si>
  <si>
    <t>Er is sprake van relatief grote koudebruggen</t>
  </si>
  <si>
    <t>glasoppervlak noord</t>
  </si>
  <si>
    <t>Inhoud</t>
  </si>
  <si>
    <t>Warmtecapaciteit lucht</t>
  </si>
  <si>
    <t>Warmtecapaciteit meubels</t>
  </si>
  <si>
    <t>Zie http://www.ibpsa.org/proceedings/BS2017/BS2017_012.pdf</t>
  </si>
  <si>
    <t>J/m2K</t>
  </si>
  <si>
    <t>Voor gehele gebouw</t>
  </si>
  <si>
    <t>Thermische capaciteit intern</t>
  </si>
  <si>
    <t>Veronderstel</t>
  </si>
  <si>
    <t>van de warmteoverdracht via koudebbruggen</t>
  </si>
  <si>
    <t>R1/R2</t>
  </si>
  <si>
    <t>R1 + R2</t>
  </si>
  <si>
    <t>Baseren op energiegebruik voor verwarming</t>
  </si>
  <si>
    <t>K/W</t>
  </si>
  <si>
    <t>Veronderstel afscherming door balkon</t>
  </si>
  <si>
    <t>Netto glasoppevlak</t>
  </si>
  <si>
    <t>Veronderstelde afscherming door galerij</t>
  </si>
  <si>
    <t>G-waarde</t>
  </si>
  <si>
    <t>Warmte voor tapwater</t>
  </si>
  <si>
    <t>J/nm3</t>
  </si>
  <si>
    <t>Gasverbruik koken</t>
  </si>
  <si>
    <t>Elektriciteitsgebruik</t>
  </si>
  <si>
    <t>Schalen</t>
  </si>
  <si>
    <t>Vermogen</t>
  </si>
  <si>
    <t>Per douchebeurt</t>
  </si>
  <si>
    <t>Pieken douchebeurt</t>
  </si>
  <si>
    <t>sigma_0</t>
  </si>
  <si>
    <t>Alle radiatoren actief</t>
  </si>
  <si>
    <t>Aandeelactieve  radiatoren</t>
  </si>
  <si>
    <t>minimum</t>
  </si>
  <si>
    <t>Warmtecapaciteit beton constructie</t>
  </si>
  <si>
    <t xml:space="preserve">Warmte-overdracht </t>
  </si>
  <si>
    <t>W/m2K</t>
  </si>
  <si>
    <t>Warmte overdracht plafond</t>
  </si>
  <si>
    <t>Warmte overdracht wand</t>
  </si>
  <si>
    <t>Warmte-overdracht vloer</t>
  </si>
  <si>
    <t>W/m2 K</t>
  </si>
  <si>
    <t>Oppervlakte vloer</t>
  </si>
  <si>
    <t>Oppervlakte muur</t>
  </si>
  <si>
    <t>R</t>
  </si>
  <si>
    <t>KW/K</t>
  </si>
  <si>
    <t>https://klimapedia.nl/wp-content/uploads/2013/10/W-tabellarium.pdf</t>
  </si>
  <si>
    <t>http://api.kwrwater.nl/uploads/2019/05/KWR-06.104-Rekenregels-dimensionering-leidingwaterinstallaties.pdf</t>
  </si>
  <si>
    <t>Geschaald</t>
  </si>
  <si>
    <t>Seconden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</si>
</sst>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[$-F400]h:mm:ss\ AM/PM"/>
    <numFmt numFmtId="166" formatCode="0.00000"/>
  </numFmts>
  <fonts count="9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1"/>
    <xf numFmtId="9" fontId="0" fillId="0" borderId="0" xfId="0" applyNumberFormat="1"/>
    <xf numFmtId="2" fontId="0" fillId="0" borderId="0" xfId="0" applyNumberFormat="1"/>
    <xf numFmtId="0" fontId="0" fillId="0" borderId="11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165" fontId="0" fillId="0" borderId="11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11" fontId="0" fillId="0" borderId="0" xfId="0" applyNumberFormat="1"/>
    <xf numFmtId="11" fontId="0" fillId="0" borderId="0" xfId="2" applyNumberFormat="1" applyFont="1"/>
    <xf numFmtId="0" fontId="0" fillId="0" borderId="0" xfId="0" applyAlignment="1">
      <alignment wrapText="1"/>
    </xf>
    <xf numFmtId="0" fontId="5" fillId="0" borderId="0" xfId="0" applyFont="1"/>
    <xf numFmtId="0" fontId="0" fillId="0" borderId="0" xfId="0" applyNumberFormat="1"/>
    <xf numFmtId="0" fontId="6" fillId="0" borderId="0" xfId="0" applyFont="1"/>
    <xf numFmtId="0" fontId="7" fillId="0" borderId="0" xfId="0" applyFont="1"/>
    <xf numFmtId="166" fontId="0" fillId="0" borderId="0" xfId="0" applyNumberFormat="1"/>
    <xf numFmtId="0" fontId="0" fillId="0" borderId="0" xfId="0" applyBorder="1"/>
    <xf numFmtId="0" fontId="1" fillId="0" borderId="0" xfId="0" applyFont="1" applyBorder="1"/>
    <xf numFmtId="11" fontId="8" fillId="0" borderId="0" xfId="0" applyNumberFormat="1" applyFont="1"/>
    <xf numFmtId="0" fontId="0" fillId="0" borderId="4" xfId="0" applyFill="1" applyBorder="1"/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</cellXfs>
  <cellStyles count="3">
    <cellStyle name="Hyperlink" xfId="1" builtinId="8"/>
    <cellStyle name="Komma" xfId="2" builtinId="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Afleiding_Tapwater_schema!$C$15:$C$63</c:f>
              <c:numCache>
                <c:formatCode>[$-F400]h:mm:ss\ AM/PM</c:formatCode>
                <c:ptCount val="49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0.33333333333333331</c:v>
                </c:pt>
                <c:pt idx="4">
                  <c:v>0.375</c:v>
                </c:pt>
                <c:pt idx="5">
                  <c:v>0.37847222222222227</c:v>
                </c:pt>
                <c:pt idx="6">
                  <c:v>0.41666666666666669</c:v>
                </c:pt>
                <c:pt idx="7">
                  <c:v>0.4375</c:v>
                </c:pt>
                <c:pt idx="8">
                  <c:v>0.44097222222222227</c:v>
                </c:pt>
                <c:pt idx="9">
                  <c:v>0.44791666666666669</c:v>
                </c:pt>
                <c:pt idx="10">
                  <c:v>0.45833333333333331</c:v>
                </c:pt>
                <c:pt idx="11">
                  <c:v>0.47916666666666669</c:v>
                </c:pt>
                <c:pt idx="12">
                  <c:v>0.48055555555555557</c:v>
                </c:pt>
                <c:pt idx="13">
                  <c:v>0.48194444444444445</c:v>
                </c:pt>
                <c:pt idx="14">
                  <c:v>0.54166666666666663</c:v>
                </c:pt>
                <c:pt idx="15">
                  <c:v>0.54513888888888895</c:v>
                </c:pt>
                <c:pt idx="16">
                  <c:v>0.55902777777777779</c:v>
                </c:pt>
                <c:pt idx="17">
                  <c:v>0.56041666666666667</c:v>
                </c:pt>
                <c:pt idx="18">
                  <c:v>0.56180555555555556</c:v>
                </c:pt>
                <c:pt idx="19">
                  <c:v>0.58333333333333337</c:v>
                </c:pt>
                <c:pt idx="20">
                  <c:v>0.60416666666666663</c:v>
                </c:pt>
                <c:pt idx="21">
                  <c:v>0.60763888888888895</c:v>
                </c:pt>
                <c:pt idx="22">
                  <c:v>0.61458333333333337</c:v>
                </c:pt>
                <c:pt idx="23">
                  <c:v>0.6166666666666667</c:v>
                </c:pt>
                <c:pt idx="24">
                  <c:v>0.61875000000000002</c:v>
                </c:pt>
                <c:pt idx="25">
                  <c:v>0.625</c:v>
                </c:pt>
                <c:pt idx="26">
                  <c:v>0.66666666666666663</c:v>
                </c:pt>
                <c:pt idx="27">
                  <c:v>0.67361111111111116</c:v>
                </c:pt>
                <c:pt idx="28">
                  <c:v>0.68055555555555547</c:v>
                </c:pt>
                <c:pt idx="29">
                  <c:v>0.6875</c:v>
                </c:pt>
                <c:pt idx="30">
                  <c:v>0.75</c:v>
                </c:pt>
                <c:pt idx="31">
                  <c:v>0.75347222222222221</c:v>
                </c:pt>
                <c:pt idx="32">
                  <c:v>0.76736111111111116</c:v>
                </c:pt>
                <c:pt idx="33">
                  <c:v>0.76874999999999993</c:v>
                </c:pt>
                <c:pt idx="34">
                  <c:v>0.77013888888888893</c:v>
                </c:pt>
                <c:pt idx="35">
                  <c:v>0.8125</c:v>
                </c:pt>
                <c:pt idx="36">
                  <c:v>0.81597222222222221</c:v>
                </c:pt>
                <c:pt idx="37">
                  <c:v>0.81944444444444453</c:v>
                </c:pt>
                <c:pt idx="38">
                  <c:v>0.82291666666666663</c:v>
                </c:pt>
                <c:pt idx="39">
                  <c:v>0.82638888888888884</c:v>
                </c:pt>
                <c:pt idx="40">
                  <c:v>0.83333333333333337</c:v>
                </c:pt>
                <c:pt idx="41">
                  <c:v>0.84027777777777779</c:v>
                </c:pt>
                <c:pt idx="42">
                  <c:v>0.875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0.96875</c:v>
                </c:pt>
                <c:pt idx="47">
                  <c:v>0.97916666666666663</c:v>
                </c:pt>
                <c:pt idx="48">
                  <c:v>0.98958333333333337</c:v>
                </c:pt>
              </c:numCache>
            </c:numRef>
          </c:xVal>
          <c:yVal>
            <c:numRef>
              <c:f>Afleiding_Tapwater_schema!$D$15:$D$63</c:f>
              <c:numCache>
                <c:formatCode>General</c:formatCode>
                <c:ptCount val="49"/>
                <c:pt idx="0">
                  <c:v>4</c:v>
                </c:pt>
                <c:pt idx="1">
                  <c:v>100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2</c:v>
                </c:pt>
                <c:pt idx="26">
                  <c:v>1</c:v>
                </c:pt>
                <c:pt idx="27">
                  <c:v>0.5</c:v>
                </c:pt>
                <c:pt idx="28">
                  <c:v>0.5</c:v>
                </c:pt>
                <c:pt idx="29">
                  <c:v>1</c:v>
                </c:pt>
                <c:pt idx="30">
                  <c:v>5</c:v>
                </c:pt>
                <c:pt idx="31">
                  <c:v>5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0.5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4</c:v>
                </c:pt>
                <c:pt idx="47">
                  <c:v>100</c:v>
                </c:pt>
                <c:pt idx="4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B-4BBB-9FFF-FEE4AD9F7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749632"/>
        <c:axId val="743750944"/>
      </c:scatterChart>
      <c:valAx>
        <c:axId val="74374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3750944"/>
        <c:crosses val="autoZero"/>
        <c:crossBetween val="midCat"/>
      </c:valAx>
      <c:valAx>
        <c:axId val="74375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374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Tapwatervraag</a:t>
            </a:r>
            <a:r>
              <a:rPr lang="en-US" baseline="0"/>
              <a:t> per dag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Tapwater!$A$5</c:f>
              <c:strCache>
                <c:ptCount val="1"/>
                <c:pt idx="0">
                  <c:v>t (min)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Tapwater!$C$6:$C$294</c:f>
              <c:numCache>
                <c:formatCode>General</c:formatCode>
                <c:ptCount val="289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11.333333333333334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11.583333333333334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11.833333333333334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12.083333333333334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12.333333333333334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12.583333333333334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12.833333333333334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13.083333333333334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13.333333333333334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13.583333333333334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13.833333333333334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14.083333333333334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14.333333333333334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14.583333333333334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14.833333333333334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15.083333333333334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15.333333333333334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15.583333333333334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15.833333333333334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16.166666666666668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16.416666666666668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16.666666666666668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16.916666666666668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17.166666666666668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17.416666666666668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17.666666666666668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17.916666666666668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18.166666666666668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18.416666666666668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18.666666666666668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18.916666666666668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19.166666666666668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19.416666666666668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19.666666666666668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19.916666666666668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20.166666666666668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20.416666666666668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20.666666666666668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20.916666666666668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21.166666666666668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21.416666666666668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21.666666666666668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21.916666666666668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22.166666666666668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22.416666666666668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22.666666666666668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22.916666666666668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23.166666666666668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23.416666666666668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23.666666666666668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23.916666666666668</c:v>
                </c:pt>
                <c:pt idx="288">
                  <c:v>24</c:v>
                </c:pt>
              </c:numCache>
            </c:numRef>
          </c:xVal>
          <c:yVal>
            <c:numRef>
              <c:f>Tapwater!$K$6:$K$294</c:f>
              <c:numCache>
                <c:formatCode>General</c:formatCode>
                <c:ptCount val="289"/>
                <c:pt idx="0">
                  <c:v>26.06044877654147</c:v>
                </c:pt>
                <c:pt idx="1">
                  <c:v>18.027714223151648</c:v>
                </c:pt>
                <c:pt idx="2">
                  <c:v>12.029887271360376</c:v>
                </c:pt>
                <c:pt idx="3">
                  <c:v>7.8962665516686066</c:v>
                </c:pt>
                <c:pt idx="4">
                  <c:v>5.2562276499732512</c:v>
                </c:pt>
                <c:pt idx="5">
                  <c:v>3.6893086506193478</c:v>
                </c:pt>
                <c:pt idx="6">
                  <c:v>2.8233032828674762</c:v>
                </c:pt>
                <c:pt idx="7">
                  <c:v>2.3769357097528232</c:v>
                </c:pt>
                <c:pt idx="8">
                  <c:v>2.1621180286305473</c:v>
                </c:pt>
                <c:pt idx="9">
                  <c:v>2.0655016047110402</c:v>
                </c:pt>
                <c:pt idx="10">
                  <c:v>2.0248616049056025</c:v>
                </c:pt>
                <c:pt idx="11">
                  <c:v>2.0088646782260215</c:v>
                </c:pt>
                <c:pt idx="12">
                  <c:v>2.0029692952697506</c:v>
                </c:pt>
                <c:pt idx="13">
                  <c:v>2.0009343302110132</c:v>
                </c:pt>
                <c:pt idx="14">
                  <c:v>2.0002761874828314</c:v>
                </c:pt>
                <c:pt idx="15">
                  <c:v>2.0000766944940853</c:v>
                </c:pt>
                <c:pt idx="16">
                  <c:v>2.0000200069541521</c:v>
                </c:pt>
                <c:pt idx="17">
                  <c:v>2.0000049029149731</c:v>
                </c:pt>
                <c:pt idx="18">
                  <c:v>2.0000011287151165</c:v>
                </c:pt>
                <c:pt idx="19">
                  <c:v>2.0000002441017628</c:v>
                </c:pt>
                <c:pt idx="20">
                  <c:v>2.0000000495922809</c:v>
                </c:pt>
                <c:pt idx="21">
                  <c:v>2.0000000094648525</c:v>
                </c:pt>
                <c:pt idx="22">
                  <c:v>2.0000000016969546</c:v>
                </c:pt>
                <c:pt idx="23">
                  <c:v>2.0000000002858136</c:v>
                </c:pt>
                <c:pt idx="24">
                  <c:v>2.0000000000452225</c:v>
                </c:pt>
                <c:pt idx="25">
                  <c:v>2.0000000000067217</c:v>
                </c:pt>
                <c:pt idx="26">
                  <c:v>2.0000000000009388</c:v>
                </c:pt>
                <c:pt idx="27">
                  <c:v>2.000000000000123</c:v>
                </c:pt>
                <c:pt idx="28">
                  <c:v>2.0000000000000151</c:v>
                </c:pt>
                <c:pt idx="29">
                  <c:v>2.0000000000000018</c:v>
                </c:pt>
                <c:pt idx="30">
                  <c:v>2.0000000000000004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2.0000000000000004</c:v>
                </c:pt>
                <c:pt idx="49">
                  <c:v>2.0000000000000018</c:v>
                </c:pt>
                <c:pt idx="50">
                  <c:v>2.0000000000000151</c:v>
                </c:pt>
                <c:pt idx="51">
                  <c:v>2.000000000000123</c:v>
                </c:pt>
                <c:pt idx="52">
                  <c:v>2.0000000000009388</c:v>
                </c:pt>
                <c:pt idx="53">
                  <c:v>2.0000000000067217</c:v>
                </c:pt>
                <c:pt idx="54">
                  <c:v>2.0000000000452225</c:v>
                </c:pt>
                <c:pt idx="55">
                  <c:v>2.0000000002858136</c:v>
                </c:pt>
                <c:pt idx="56">
                  <c:v>2.0000000016969546</c:v>
                </c:pt>
                <c:pt idx="57">
                  <c:v>2.0000000094648525</c:v>
                </c:pt>
                <c:pt idx="58">
                  <c:v>2.0000000495922809</c:v>
                </c:pt>
                <c:pt idx="59">
                  <c:v>2.0000002441017628</c:v>
                </c:pt>
                <c:pt idx="60">
                  <c:v>2.0000011287151165</c:v>
                </c:pt>
                <c:pt idx="61">
                  <c:v>2.0000049029149731</c:v>
                </c:pt>
                <c:pt idx="62">
                  <c:v>2.0000200069541521</c:v>
                </c:pt>
                <c:pt idx="63">
                  <c:v>2.0000766944940853</c:v>
                </c:pt>
                <c:pt idx="64">
                  <c:v>2.0002761874828314</c:v>
                </c:pt>
                <c:pt idx="65">
                  <c:v>2.0009343302110132</c:v>
                </c:pt>
                <c:pt idx="66">
                  <c:v>2.0029692952697506</c:v>
                </c:pt>
                <c:pt idx="67">
                  <c:v>2.0088646782260215</c:v>
                </c:pt>
                <c:pt idx="68">
                  <c:v>2.0248616049056025</c:v>
                </c:pt>
                <c:pt idx="69">
                  <c:v>2.0655016047110402</c:v>
                </c:pt>
                <c:pt idx="70">
                  <c:v>2.1621180286305473</c:v>
                </c:pt>
                <c:pt idx="71">
                  <c:v>2.3769357097528232</c:v>
                </c:pt>
                <c:pt idx="72">
                  <c:v>2.8233032828674762</c:v>
                </c:pt>
                <c:pt idx="73">
                  <c:v>3.6893086506193478</c:v>
                </c:pt>
                <c:pt idx="74">
                  <c:v>5.2562276499732512</c:v>
                </c:pt>
                <c:pt idx="75">
                  <c:v>7.8962665516686066</c:v>
                </c:pt>
                <c:pt idx="76">
                  <c:v>12.029887271360376</c:v>
                </c:pt>
                <c:pt idx="77">
                  <c:v>18.027714223151648</c:v>
                </c:pt>
                <c:pt idx="78">
                  <c:v>26.06044877654147</c:v>
                </c:pt>
                <c:pt idx="79">
                  <c:v>35.930671276675248</c:v>
                </c:pt>
                <c:pt idx="80">
                  <c:v>46.950836160778657</c:v>
                </c:pt>
                <c:pt idx="81">
                  <c:v>57.942219462988341</c:v>
                </c:pt>
                <c:pt idx="82">
                  <c:v>67.403080693842355</c:v>
                </c:pt>
                <c:pt idx="83">
                  <c:v>73.831231656400689</c:v>
                </c:pt>
                <c:pt idx="84">
                  <c:v>91.664441674816601</c:v>
                </c:pt>
                <c:pt idx="85">
                  <c:v>89.384273617185016</c:v>
                </c:pt>
                <c:pt idx="86">
                  <c:v>82.956122654626668</c:v>
                </c:pt>
                <c:pt idx="87">
                  <c:v>73.495261423772646</c:v>
                </c:pt>
                <c:pt idx="88">
                  <c:v>62.50387812156297</c:v>
                </c:pt>
                <c:pt idx="89">
                  <c:v>51.483713237459561</c:v>
                </c:pt>
                <c:pt idx="90">
                  <c:v>41.61349073732579</c:v>
                </c:pt>
                <c:pt idx="91">
                  <c:v>33.580756183935968</c:v>
                </c:pt>
                <c:pt idx="92">
                  <c:v>27.582929232144693</c:v>
                </c:pt>
                <c:pt idx="93">
                  <c:v>23.449308512452923</c:v>
                </c:pt>
                <c:pt idx="94">
                  <c:v>20.809269610757568</c:v>
                </c:pt>
                <c:pt idx="95">
                  <c:v>19.242350611403666</c:v>
                </c:pt>
                <c:pt idx="96">
                  <c:v>18.376345243651791</c:v>
                </c:pt>
                <c:pt idx="97">
                  <c:v>17.929977670537141</c:v>
                </c:pt>
                <c:pt idx="98">
                  <c:v>17.715159989414865</c:v>
                </c:pt>
                <c:pt idx="99">
                  <c:v>17.618543565495354</c:v>
                </c:pt>
                <c:pt idx="100">
                  <c:v>17.577903565689923</c:v>
                </c:pt>
                <c:pt idx="101">
                  <c:v>17.561906639010338</c:v>
                </c:pt>
                <c:pt idx="102">
                  <c:v>17.556011256054067</c:v>
                </c:pt>
                <c:pt idx="103">
                  <c:v>17.55397629099533</c:v>
                </c:pt>
                <c:pt idx="104">
                  <c:v>17.553318148267149</c:v>
                </c:pt>
                <c:pt idx="105">
                  <c:v>17.553118655278404</c:v>
                </c:pt>
                <c:pt idx="106">
                  <c:v>17.553061967738468</c:v>
                </c:pt>
                <c:pt idx="107">
                  <c:v>17.553046863699286</c:v>
                </c:pt>
                <c:pt idx="108">
                  <c:v>17.553043089499436</c:v>
                </c:pt>
                <c:pt idx="109">
                  <c:v>17.553042204886079</c:v>
                </c:pt>
                <c:pt idx="110">
                  <c:v>17.553042010376597</c:v>
                </c:pt>
                <c:pt idx="111">
                  <c:v>17.553041970249172</c:v>
                </c:pt>
                <c:pt idx="112">
                  <c:v>17.55304196248127</c:v>
                </c:pt>
                <c:pt idx="113">
                  <c:v>17.553041961070129</c:v>
                </c:pt>
                <c:pt idx="114">
                  <c:v>17.553041960829539</c:v>
                </c:pt>
                <c:pt idx="115">
                  <c:v>17.553041960791038</c:v>
                </c:pt>
                <c:pt idx="116">
                  <c:v>17.553041960785254</c:v>
                </c:pt>
                <c:pt idx="117">
                  <c:v>17.553041960784437</c:v>
                </c:pt>
                <c:pt idx="118">
                  <c:v>17.553041960784327</c:v>
                </c:pt>
                <c:pt idx="119">
                  <c:v>17.553041960784316</c:v>
                </c:pt>
                <c:pt idx="120">
                  <c:v>17.553041960784313</c:v>
                </c:pt>
                <c:pt idx="121">
                  <c:v>17.553041960784313</c:v>
                </c:pt>
                <c:pt idx="122">
                  <c:v>17.553041960784313</c:v>
                </c:pt>
                <c:pt idx="123">
                  <c:v>17.553041960784313</c:v>
                </c:pt>
                <c:pt idx="124">
                  <c:v>17.553041960784313</c:v>
                </c:pt>
                <c:pt idx="125">
                  <c:v>17.553041960784313</c:v>
                </c:pt>
                <c:pt idx="126">
                  <c:v>17.553041960784313</c:v>
                </c:pt>
                <c:pt idx="127">
                  <c:v>17.553041960784313</c:v>
                </c:pt>
                <c:pt idx="128">
                  <c:v>17.553041960784313</c:v>
                </c:pt>
                <c:pt idx="129">
                  <c:v>17.553041960784313</c:v>
                </c:pt>
                <c:pt idx="130">
                  <c:v>17.553041960784313</c:v>
                </c:pt>
                <c:pt idx="131">
                  <c:v>17.553041960784313</c:v>
                </c:pt>
                <c:pt idx="132">
                  <c:v>17.553041960784313</c:v>
                </c:pt>
                <c:pt idx="133">
                  <c:v>17.553041960784313</c:v>
                </c:pt>
                <c:pt idx="134">
                  <c:v>17.553041960784313</c:v>
                </c:pt>
                <c:pt idx="135">
                  <c:v>17.553041960784313</c:v>
                </c:pt>
                <c:pt idx="136">
                  <c:v>17.553041960784313</c:v>
                </c:pt>
                <c:pt idx="137">
                  <c:v>17.553041960784313</c:v>
                </c:pt>
                <c:pt idx="138">
                  <c:v>17.553041960784313</c:v>
                </c:pt>
                <c:pt idx="139">
                  <c:v>17.553041960784313</c:v>
                </c:pt>
                <c:pt idx="140">
                  <c:v>17.553041960784313</c:v>
                </c:pt>
                <c:pt idx="141">
                  <c:v>17.553041960784313</c:v>
                </c:pt>
                <c:pt idx="142">
                  <c:v>17.553041960784313</c:v>
                </c:pt>
                <c:pt idx="143">
                  <c:v>17.553041960784313</c:v>
                </c:pt>
                <c:pt idx="144">
                  <c:v>17.553041960784313</c:v>
                </c:pt>
                <c:pt idx="145">
                  <c:v>17.553041960784313</c:v>
                </c:pt>
                <c:pt idx="146">
                  <c:v>17.553041960784313</c:v>
                </c:pt>
                <c:pt idx="147">
                  <c:v>17.553041960784313</c:v>
                </c:pt>
                <c:pt idx="148">
                  <c:v>17.553041960784313</c:v>
                </c:pt>
                <c:pt idx="149">
                  <c:v>17.553041960784313</c:v>
                </c:pt>
                <c:pt idx="150">
                  <c:v>17.553041960784313</c:v>
                </c:pt>
                <c:pt idx="151">
                  <c:v>17.553041960784313</c:v>
                </c:pt>
                <c:pt idx="152">
                  <c:v>17.553041960784313</c:v>
                </c:pt>
                <c:pt idx="153">
                  <c:v>17.553041960784313</c:v>
                </c:pt>
                <c:pt idx="154">
                  <c:v>17.553041960784313</c:v>
                </c:pt>
                <c:pt idx="155">
                  <c:v>17.553041960784313</c:v>
                </c:pt>
                <c:pt idx="156">
                  <c:v>17.553041960784313</c:v>
                </c:pt>
                <c:pt idx="157">
                  <c:v>17.553041960784313</c:v>
                </c:pt>
                <c:pt idx="158">
                  <c:v>17.553041960784313</c:v>
                </c:pt>
                <c:pt idx="159">
                  <c:v>17.553041960784313</c:v>
                </c:pt>
                <c:pt idx="160">
                  <c:v>17.553041960784313</c:v>
                </c:pt>
                <c:pt idx="161">
                  <c:v>17.553041960784313</c:v>
                </c:pt>
                <c:pt idx="162">
                  <c:v>17.553041960784313</c:v>
                </c:pt>
                <c:pt idx="163">
                  <c:v>17.553041960784313</c:v>
                </c:pt>
                <c:pt idx="164">
                  <c:v>17.553041960784313</c:v>
                </c:pt>
                <c:pt idx="165">
                  <c:v>17.553041960784313</c:v>
                </c:pt>
                <c:pt idx="166">
                  <c:v>17.553041960784313</c:v>
                </c:pt>
                <c:pt idx="167">
                  <c:v>17.553041960784313</c:v>
                </c:pt>
                <c:pt idx="168">
                  <c:v>17.553041960784313</c:v>
                </c:pt>
                <c:pt idx="169">
                  <c:v>17.553041960784313</c:v>
                </c:pt>
                <c:pt idx="170">
                  <c:v>17.553041960784313</c:v>
                </c:pt>
                <c:pt idx="171">
                  <c:v>17.553041960784313</c:v>
                </c:pt>
                <c:pt idx="172">
                  <c:v>17.553041960784313</c:v>
                </c:pt>
                <c:pt idx="173">
                  <c:v>17.553041960784313</c:v>
                </c:pt>
                <c:pt idx="174">
                  <c:v>17.553041960784313</c:v>
                </c:pt>
                <c:pt idx="175">
                  <c:v>17.553041960784313</c:v>
                </c:pt>
                <c:pt idx="176">
                  <c:v>17.553041960784313</c:v>
                </c:pt>
                <c:pt idx="177">
                  <c:v>17.553041960784313</c:v>
                </c:pt>
                <c:pt idx="178">
                  <c:v>17.553041960784313</c:v>
                </c:pt>
                <c:pt idx="179">
                  <c:v>17.553041960784313</c:v>
                </c:pt>
                <c:pt idx="180">
                  <c:v>17.553041960784313</c:v>
                </c:pt>
                <c:pt idx="181">
                  <c:v>17.553041960784313</c:v>
                </c:pt>
                <c:pt idx="182">
                  <c:v>17.553041960784313</c:v>
                </c:pt>
                <c:pt idx="183">
                  <c:v>17.553041960784313</c:v>
                </c:pt>
                <c:pt idx="184">
                  <c:v>17.553041960784313</c:v>
                </c:pt>
                <c:pt idx="185">
                  <c:v>17.553041960784313</c:v>
                </c:pt>
                <c:pt idx="186">
                  <c:v>17.553041960784313</c:v>
                </c:pt>
                <c:pt idx="187">
                  <c:v>17.553041960784313</c:v>
                </c:pt>
                <c:pt idx="188">
                  <c:v>17.553041960784313</c:v>
                </c:pt>
                <c:pt idx="189">
                  <c:v>17.553041960784313</c:v>
                </c:pt>
                <c:pt idx="190">
                  <c:v>17.553041960784313</c:v>
                </c:pt>
                <c:pt idx="191">
                  <c:v>17.553041960784313</c:v>
                </c:pt>
                <c:pt idx="192">
                  <c:v>17.553041960784313</c:v>
                </c:pt>
                <c:pt idx="193">
                  <c:v>17.553041960784313</c:v>
                </c:pt>
                <c:pt idx="194">
                  <c:v>17.553041960784313</c:v>
                </c:pt>
                <c:pt idx="195">
                  <c:v>17.553041960784313</c:v>
                </c:pt>
                <c:pt idx="196">
                  <c:v>17.553041960784313</c:v>
                </c:pt>
                <c:pt idx="197">
                  <c:v>17.553041960784313</c:v>
                </c:pt>
                <c:pt idx="198">
                  <c:v>17.553041960784313</c:v>
                </c:pt>
                <c:pt idx="199">
                  <c:v>17.553041960784313</c:v>
                </c:pt>
                <c:pt idx="200">
                  <c:v>17.553041960784313</c:v>
                </c:pt>
                <c:pt idx="201">
                  <c:v>17.553041960784313</c:v>
                </c:pt>
                <c:pt idx="202">
                  <c:v>17.553041960784313</c:v>
                </c:pt>
                <c:pt idx="203">
                  <c:v>17.553041960784313</c:v>
                </c:pt>
                <c:pt idx="204">
                  <c:v>17.553041960784313</c:v>
                </c:pt>
                <c:pt idx="205">
                  <c:v>17.553041960784313</c:v>
                </c:pt>
                <c:pt idx="206">
                  <c:v>17.553041960784313</c:v>
                </c:pt>
                <c:pt idx="207">
                  <c:v>17.553041960784313</c:v>
                </c:pt>
                <c:pt idx="208">
                  <c:v>17.553041960784313</c:v>
                </c:pt>
                <c:pt idx="209">
                  <c:v>17.553041960784313</c:v>
                </c:pt>
                <c:pt idx="210">
                  <c:v>17.553041960784313</c:v>
                </c:pt>
                <c:pt idx="211">
                  <c:v>17.553041960784313</c:v>
                </c:pt>
                <c:pt idx="212">
                  <c:v>17.553041960784313</c:v>
                </c:pt>
                <c:pt idx="213">
                  <c:v>17.553041960784313</c:v>
                </c:pt>
                <c:pt idx="214">
                  <c:v>17.553041960784313</c:v>
                </c:pt>
                <c:pt idx="215">
                  <c:v>17.553041960784313</c:v>
                </c:pt>
                <c:pt idx="216">
                  <c:v>17.553041960784313</c:v>
                </c:pt>
                <c:pt idx="217">
                  <c:v>17.553041960784313</c:v>
                </c:pt>
                <c:pt idx="218">
                  <c:v>17.553041960784313</c:v>
                </c:pt>
                <c:pt idx="219">
                  <c:v>17.553041960784313</c:v>
                </c:pt>
                <c:pt idx="220">
                  <c:v>17.553041960784313</c:v>
                </c:pt>
                <c:pt idx="221">
                  <c:v>17.553041960784313</c:v>
                </c:pt>
                <c:pt idx="222">
                  <c:v>17.553041960784313</c:v>
                </c:pt>
                <c:pt idx="223">
                  <c:v>17.553041960784313</c:v>
                </c:pt>
                <c:pt idx="224">
                  <c:v>17.553041960784313</c:v>
                </c:pt>
                <c:pt idx="225">
                  <c:v>17.553041960784313</c:v>
                </c:pt>
                <c:pt idx="226">
                  <c:v>17.553041960784313</c:v>
                </c:pt>
                <c:pt idx="227">
                  <c:v>17.553041960784313</c:v>
                </c:pt>
                <c:pt idx="228">
                  <c:v>17.553041960784313</c:v>
                </c:pt>
                <c:pt idx="229">
                  <c:v>17.553041960784313</c:v>
                </c:pt>
                <c:pt idx="230">
                  <c:v>17.553041960784313</c:v>
                </c:pt>
                <c:pt idx="231">
                  <c:v>17.553041960784313</c:v>
                </c:pt>
                <c:pt idx="232">
                  <c:v>17.553041960784313</c:v>
                </c:pt>
                <c:pt idx="233">
                  <c:v>17.553041960784313</c:v>
                </c:pt>
                <c:pt idx="234">
                  <c:v>17.553041960784313</c:v>
                </c:pt>
                <c:pt idx="235">
                  <c:v>17.553041960784313</c:v>
                </c:pt>
                <c:pt idx="236">
                  <c:v>17.553041960784313</c:v>
                </c:pt>
                <c:pt idx="237">
                  <c:v>17.553041960784313</c:v>
                </c:pt>
                <c:pt idx="238">
                  <c:v>17.553041960784313</c:v>
                </c:pt>
                <c:pt idx="239">
                  <c:v>17.553041960784313</c:v>
                </c:pt>
                <c:pt idx="240">
                  <c:v>17.553041960784313</c:v>
                </c:pt>
                <c:pt idx="241">
                  <c:v>17.553041960784313</c:v>
                </c:pt>
                <c:pt idx="242">
                  <c:v>17.553041960784313</c:v>
                </c:pt>
                <c:pt idx="243">
                  <c:v>17.553041960784313</c:v>
                </c:pt>
                <c:pt idx="244">
                  <c:v>17.553041960784313</c:v>
                </c:pt>
                <c:pt idx="245">
                  <c:v>17.553041960784313</c:v>
                </c:pt>
                <c:pt idx="246">
                  <c:v>17.553041960784313</c:v>
                </c:pt>
                <c:pt idx="247">
                  <c:v>17.553041960784313</c:v>
                </c:pt>
                <c:pt idx="248">
                  <c:v>17.553041960784316</c:v>
                </c:pt>
                <c:pt idx="249">
                  <c:v>17.553041960784327</c:v>
                </c:pt>
                <c:pt idx="250">
                  <c:v>17.553041960784437</c:v>
                </c:pt>
                <c:pt idx="251">
                  <c:v>17.553041960785254</c:v>
                </c:pt>
                <c:pt idx="252">
                  <c:v>17.553041960791038</c:v>
                </c:pt>
                <c:pt idx="253">
                  <c:v>17.553041960829539</c:v>
                </c:pt>
                <c:pt idx="254">
                  <c:v>17.553041961070129</c:v>
                </c:pt>
                <c:pt idx="255">
                  <c:v>17.55304196248127</c:v>
                </c:pt>
                <c:pt idx="256">
                  <c:v>17.553041970249172</c:v>
                </c:pt>
                <c:pt idx="257">
                  <c:v>17.553042010376597</c:v>
                </c:pt>
                <c:pt idx="258">
                  <c:v>17.553042204886079</c:v>
                </c:pt>
                <c:pt idx="259">
                  <c:v>17.553043089499436</c:v>
                </c:pt>
                <c:pt idx="260">
                  <c:v>17.553046863699286</c:v>
                </c:pt>
                <c:pt idx="261">
                  <c:v>17.553061967738468</c:v>
                </c:pt>
                <c:pt idx="262">
                  <c:v>17.553118655278404</c:v>
                </c:pt>
                <c:pt idx="263">
                  <c:v>17.553318148267149</c:v>
                </c:pt>
                <c:pt idx="264">
                  <c:v>17.55397629099533</c:v>
                </c:pt>
                <c:pt idx="265">
                  <c:v>17.556011256054067</c:v>
                </c:pt>
                <c:pt idx="266">
                  <c:v>17.561906639010338</c:v>
                </c:pt>
                <c:pt idx="267">
                  <c:v>17.577903565689923</c:v>
                </c:pt>
                <c:pt idx="268">
                  <c:v>17.618543565495354</c:v>
                </c:pt>
                <c:pt idx="269">
                  <c:v>17.715159989414865</c:v>
                </c:pt>
                <c:pt idx="270">
                  <c:v>17.929977670537141</c:v>
                </c:pt>
                <c:pt idx="271">
                  <c:v>18.376345243651791</c:v>
                </c:pt>
                <c:pt idx="272">
                  <c:v>19.242350611403666</c:v>
                </c:pt>
                <c:pt idx="273">
                  <c:v>20.809269610757568</c:v>
                </c:pt>
                <c:pt idx="274">
                  <c:v>23.449308512452923</c:v>
                </c:pt>
                <c:pt idx="275">
                  <c:v>27.582929232144693</c:v>
                </c:pt>
                <c:pt idx="276">
                  <c:v>33.580756183935968</c:v>
                </c:pt>
                <c:pt idx="277">
                  <c:v>41.61349073732579</c:v>
                </c:pt>
                <c:pt idx="278">
                  <c:v>51.483713237459561</c:v>
                </c:pt>
                <c:pt idx="279">
                  <c:v>62.50387812156297</c:v>
                </c:pt>
                <c:pt idx="280">
                  <c:v>73.495261423772646</c:v>
                </c:pt>
                <c:pt idx="281">
                  <c:v>82.956122654626668</c:v>
                </c:pt>
                <c:pt idx="282">
                  <c:v>89.384273617185016</c:v>
                </c:pt>
                <c:pt idx="283">
                  <c:v>91.664441674816601</c:v>
                </c:pt>
                <c:pt idx="284">
                  <c:v>89.384273617185016</c:v>
                </c:pt>
                <c:pt idx="285">
                  <c:v>82.956122654626668</c:v>
                </c:pt>
                <c:pt idx="286">
                  <c:v>73.495261423772646</c:v>
                </c:pt>
                <c:pt idx="287">
                  <c:v>62.50387812156297</c:v>
                </c:pt>
                <c:pt idx="288">
                  <c:v>51.483713237459561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73-4340-AED6-D83BCC0A0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08944"/>
        <c:axId val="567942104"/>
      </c:scatterChart>
      <c:valAx>
        <c:axId val="572308944"/>
        <c:scaling>
          <c:orientation val="minMax"/>
          <c:max val="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Tijdstip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7942104"/>
        <c:crosses val="autoZero"/>
        <c:crossBetween val="midCat"/>
        <c:majorUnit val="4"/>
      </c:valAx>
      <c:valAx>
        <c:axId val="56794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Vermogen voor tapwater 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230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Retourtemperatuur</a:t>
            </a:r>
            <a:r>
              <a:rPr lang="nl-NL" baseline="0"/>
              <a:t> als functie vermogen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Alle radiatoren open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Radiator!$L$6:$L$34</c:f>
              <c:numCache>
                <c:formatCode>General</c:formatCode>
                <c:ptCount val="29"/>
                <c:pt idx="0">
                  <c:v>0.18514782118004633</c:v>
                </c:pt>
                <c:pt idx="1">
                  <c:v>0.21286529216881556</c:v>
                </c:pt>
                <c:pt idx="2">
                  <c:v>0.23270509773346165</c:v>
                </c:pt>
                <c:pt idx="3">
                  <c:v>0.2488386748993282</c:v>
                </c:pt>
                <c:pt idx="4">
                  <c:v>0.26273979961284344</c:v>
                </c:pt>
                <c:pt idx="5">
                  <c:v>0.27512135030840174</c:v>
                </c:pt>
                <c:pt idx="6">
                  <c:v>0.28638893829755246</c:v>
                </c:pt>
                <c:pt idx="7">
                  <c:v>0.29679799448552591</c:v>
                </c:pt>
                <c:pt idx="8">
                  <c:v>0.30652103607230197</c:v>
                </c:pt>
                <c:pt idx="9">
                  <c:v>0.31568072317034473</c:v>
                </c:pt>
                <c:pt idx="10">
                  <c:v>0.38916956051636326</c:v>
                </c:pt>
                <c:pt idx="11">
                  <c:v>0.44599717872355432</c:v>
                </c:pt>
                <c:pt idx="12">
                  <c:v>0.49469761588312233</c:v>
                </c:pt>
                <c:pt idx="13">
                  <c:v>0.53838213076552632</c:v>
                </c:pt>
                <c:pt idx="14">
                  <c:v>0.57858856374539736</c:v>
                </c:pt>
                <c:pt idx="15">
                  <c:v>0.61620676501903671</c:v>
                </c:pt>
                <c:pt idx="16">
                  <c:v>0.6518049405663866</c:v>
                </c:pt>
                <c:pt idx="17">
                  <c:v>0.68577142191805551</c:v>
                </c:pt>
                <c:pt idx="18">
                  <c:v>0.71838517840775429</c:v>
                </c:pt>
                <c:pt idx="19">
                  <c:v>0.74985442467742414</c:v>
                </c:pt>
                <c:pt idx="20">
                  <c:v>0.78033934123179294</c:v>
                </c:pt>
                <c:pt idx="21">
                  <c:v>0.80996622092141135</c:v>
                </c:pt>
                <c:pt idx="22">
                  <c:v>0.83883668553206436</c:v>
                </c:pt>
                <c:pt idx="23">
                  <c:v>0.86703391875302305</c:v>
                </c:pt>
                <c:pt idx="24">
                  <c:v>0.89462701524825028</c:v>
                </c:pt>
                <c:pt idx="25">
                  <c:v>0.92167409700692782</c:v>
                </c:pt>
                <c:pt idx="26">
                  <c:v>0.9482245981146965</c:v>
                </c:pt>
                <c:pt idx="27">
                  <c:v>0.97432097358195879</c:v>
                </c:pt>
                <c:pt idx="28">
                  <c:v>1</c:v>
                </c:pt>
              </c:numCache>
            </c:numRef>
          </c:xVal>
          <c:yVal>
            <c:numRef>
              <c:f>Radiator!$J$6:$J$34</c:f>
              <c:numCache>
                <c:formatCode>General</c:formatCode>
                <c:ptCount val="29"/>
                <c:pt idx="0">
                  <c:v>20.100000000000001</c:v>
                </c:pt>
                <c:pt idx="1">
                  <c:v>20.2</c:v>
                </c:pt>
                <c:pt idx="2">
                  <c:v>20.3</c:v>
                </c:pt>
                <c:pt idx="3">
                  <c:v>20.399999999999999</c:v>
                </c:pt>
                <c:pt idx="4">
                  <c:v>20.5</c:v>
                </c:pt>
                <c:pt idx="5">
                  <c:v>20.6</c:v>
                </c:pt>
                <c:pt idx="6">
                  <c:v>20.7</c:v>
                </c:pt>
                <c:pt idx="7">
                  <c:v>20.8</c:v>
                </c:pt>
                <c:pt idx="8">
                  <c:v>20.9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E7-41A3-8CD8-0528D0A0011D}"/>
            </c:ext>
          </c:extLst>
        </c:ser>
        <c:ser>
          <c:idx val="0"/>
          <c:order val="1"/>
          <c:tx>
            <c:v>Radiatoren afschakelen deellast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Radiator!$P$6:$P$34</c:f>
              <c:numCache>
                <c:formatCode>General</c:formatCode>
                <c:ptCount val="29"/>
                <c:pt idx="0">
                  <c:v>9.3036780142973285E-2</c:v>
                </c:pt>
                <c:pt idx="1">
                  <c:v>0.10749697254525185</c:v>
                </c:pt>
                <c:pt idx="2">
                  <c:v>0.1180978370997318</c:v>
                </c:pt>
                <c:pt idx="3">
                  <c:v>0.1269077241986574</c:v>
                </c:pt>
                <c:pt idx="4">
                  <c:v>0.13465414730158223</c:v>
                </c:pt>
                <c:pt idx="5">
                  <c:v>0.14168749540882691</c:v>
                </c:pt>
                <c:pt idx="6">
                  <c:v>0.14820627556898339</c:v>
                </c:pt>
                <c:pt idx="7">
                  <c:v>0.15433495713247347</c:v>
                </c:pt>
                <c:pt idx="8">
                  <c:v>0.16015724134777778</c:v>
                </c:pt>
                <c:pt idx="9">
                  <c:v>0.165732379664431</c:v>
                </c:pt>
                <c:pt idx="10">
                  <c:v>0.21404325828399981</c:v>
                </c:pt>
                <c:pt idx="11">
                  <c:v>0.25644837776604373</c:v>
                </c:pt>
                <c:pt idx="12">
                  <c:v>0.2968185695298734</c:v>
                </c:pt>
                <c:pt idx="13">
                  <c:v>0.33648883172845395</c:v>
                </c:pt>
                <c:pt idx="14">
                  <c:v>0.37608256643450827</c:v>
                </c:pt>
                <c:pt idx="15">
                  <c:v>0.41593956638784979</c:v>
                </c:pt>
                <c:pt idx="16">
                  <c:v>0.45626345839647059</c:v>
                </c:pt>
                <c:pt idx="17">
                  <c:v>0.49718428089059019</c:v>
                </c:pt>
                <c:pt idx="18">
                  <c:v>0.5387888838058158</c:v>
                </c:pt>
                <c:pt idx="19">
                  <c:v>0.58113717912500362</c:v>
                </c:pt>
                <c:pt idx="20">
                  <c:v>0.62427147298543439</c:v>
                </c:pt>
                <c:pt idx="21">
                  <c:v>0.66822213226016436</c:v>
                </c:pt>
                <c:pt idx="22">
                  <c:v>0.71301118270225461</c:v>
                </c:pt>
                <c:pt idx="23">
                  <c:v>0.75865467890889526</c:v>
                </c:pt>
                <c:pt idx="24">
                  <c:v>0.80516431372342523</c:v>
                </c:pt>
                <c:pt idx="25">
                  <c:v>0.85254853973140821</c:v>
                </c:pt>
                <c:pt idx="26">
                  <c:v>0.90081336820896163</c:v>
                </c:pt>
                <c:pt idx="27">
                  <c:v>0.94996294924240976</c:v>
                </c:pt>
                <c:pt idx="28">
                  <c:v>1</c:v>
                </c:pt>
              </c:numCache>
            </c:numRef>
          </c:xVal>
          <c:yVal>
            <c:numRef>
              <c:f>Radiator!$J$6:$J$34</c:f>
              <c:numCache>
                <c:formatCode>General</c:formatCode>
                <c:ptCount val="29"/>
                <c:pt idx="0">
                  <c:v>20.100000000000001</c:v>
                </c:pt>
                <c:pt idx="1">
                  <c:v>20.2</c:v>
                </c:pt>
                <c:pt idx="2">
                  <c:v>20.3</c:v>
                </c:pt>
                <c:pt idx="3">
                  <c:v>20.399999999999999</c:v>
                </c:pt>
                <c:pt idx="4">
                  <c:v>20.5</c:v>
                </c:pt>
                <c:pt idx="5">
                  <c:v>20.6</c:v>
                </c:pt>
                <c:pt idx="6">
                  <c:v>20.7</c:v>
                </c:pt>
                <c:pt idx="7">
                  <c:v>20.8</c:v>
                </c:pt>
                <c:pt idx="8">
                  <c:v>20.9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B3-4FE6-BA78-E06965C23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327680"/>
        <c:axId val="746329320"/>
      </c:scatterChart>
      <c:valAx>
        <c:axId val="746327680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P/Pmax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6329320"/>
        <c:crosses val="autoZero"/>
        <c:crossBetween val="midCat"/>
      </c:valAx>
      <c:valAx>
        <c:axId val="74632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Retou</a:t>
                </a:r>
              </a:p>
              <a:p>
                <a:pPr>
                  <a:defRPr/>
                </a:pPr>
                <a:r>
                  <a:rPr lang="en-US"/>
                  <a:t>rtemperatuur</a:t>
                </a:r>
                <a:r>
                  <a:rPr lang="en-US" baseline="0"/>
                  <a:t> (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˚C)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632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Flow</a:t>
            </a:r>
            <a:r>
              <a:rPr lang="nl-NL" baseline="0"/>
              <a:t> als functie van het vermogen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Alle radiatoren open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Radiator!$L$6:$L$34</c:f>
              <c:numCache>
                <c:formatCode>General</c:formatCode>
                <c:ptCount val="29"/>
                <c:pt idx="0">
                  <c:v>0.18514782118004633</c:v>
                </c:pt>
                <c:pt idx="1">
                  <c:v>0.21286529216881556</c:v>
                </c:pt>
                <c:pt idx="2">
                  <c:v>0.23270509773346165</c:v>
                </c:pt>
                <c:pt idx="3">
                  <c:v>0.2488386748993282</c:v>
                </c:pt>
                <c:pt idx="4">
                  <c:v>0.26273979961284344</c:v>
                </c:pt>
                <c:pt idx="5">
                  <c:v>0.27512135030840174</c:v>
                </c:pt>
                <c:pt idx="6">
                  <c:v>0.28638893829755246</c:v>
                </c:pt>
                <c:pt idx="7">
                  <c:v>0.29679799448552591</c:v>
                </c:pt>
                <c:pt idx="8">
                  <c:v>0.30652103607230197</c:v>
                </c:pt>
                <c:pt idx="9">
                  <c:v>0.31568072317034473</c:v>
                </c:pt>
                <c:pt idx="10">
                  <c:v>0.38916956051636326</c:v>
                </c:pt>
                <c:pt idx="11">
                  <c:v>0.44599717872355432</c:v>
                </c:pt>
                <c:pt idx="12">
                  <c:v>0.49469761588312233</c:v>
                </c:pt>
                <c:pt idx="13">
                  <c:v>0.53838213076552632</c:v>
                </c:pt>
                <c:pt idx="14">
                  <c:v>0.57858856374539736</c:v>
                </c:pt>
                <c:pt idx="15">
                  <c:v>0.61620676501903671</c:v>
                </c:pt>
                <c:pt idx="16">
                  <c:v>0.6518049405663866</c:v>
                </c:pt>
                <c:pt idx="17">
                  <c:v>0.68577142191805551</c:v>
                </c:pt>
                <c:pt idx="18">
                  <c:v>0.71838517840775429</c:v>
                </c:pt>
                <c:pt idx="19">
                  <c:v>0.74985442467742414</c:v>
                </c:pt>
                <c:pt idx="20">
                  <c:v>0.78033934123179294</c:v>
                </c:pt>
                <c:pt idx="21">
                  <c:v>0.80996622092141135</c:v>
                </c:pt>
                <c:pt idx="22">
                  <c:v>0.83883668553206436</c:v>
                </c:pt>
                <c:pt idx="23">
                  <c:v>0.86703391875302305</c:v>
                </c:pt>
                <c:pt idx="24">
                  <c:v>0.89462701524825028</c:v>
                </c:pt>
                <c:pt idx="25">
                  <c:v>0.92167409700692782</c:v>
                </c:pt>
                <c:pt idx="26">
                  <c:v>0.9482245981146965</c:v>
                </c:pt>
                <c:pt idx="27">
                  <c:v>0.97432097358195879</c:v>
                </c:pt>
                <c:pt idx="28">
                  <c:v>1</c:v>
                </c:pt>
              </c:numCache>
            </c:numRef>
          </c:xVal>
          <c:yVal>
            <c:numRef>
              <c:f>Radiator!$M$6:$M$34</c:f>
              <c:numCache>
                <c:formatCode>General</c:formatCode>
                <c:ptCount val="29"/>
                <c:pt idx="0">
                  <c:v>0.11131131533870521</c:v>
                </c:pt>
                <c:pt idx="1">
                  <c:v>0.12823210371615396</c:v>
                </c:pt>
                <c:pt idx="2">
                  <c:v>0.14046585376265291</c:v>
                </c:pt>
                <c:pt idx="3">
                  <c:v>0.15050726304394851</c:v>
                </c:pt>
                <c:pt idx="4">
                  <c:v>0.15923624218960208</c:v>
                </c:pt>
                <c:pt idx="5">
                  <c:v>0.16707774310226828</c:v>
                </c:pt>
                <c:pt idx="6">
                  <c:v>0.17427318760500152</c:v>
                </c:pt>
                <c:pt idx="7">
                  <c:v>0.18097438688141823</c:v>
                </c:pt>
                <c:pt idx="8">
                  <c:v>0.18728372876108065</c:v>
                </c:pt>
                <c:pt idx="9">
                  <c:v>0.19327391214510903</c:v>
                </c:pt>
                <c:pt idx="10">
                  <c:v>0.24323097532272706</c:v>
                </c:pt>
                <c:pt idx="11">
                  <c:v>0.28467905024907725</c:v>
                </c:pt>
                <c:pt idx="12">
                  <c:v>0.32262887992377542</c:v>
                </c:pt>
                <c:pt idx="13">
                  <c:v>0.35892142051035086</c:v>
                </c:pt>
                <c:pt idx="14">
                  <c:v>0.39449220255368006</c:v>
                </c:pt>
                <c:pt idx="15">
                  <c:v>0.42991169652490935</c:v>
                </c:pt>
                <c:pt idx="16">
                  <c:v>0.46557495754741901</c:v>
                </c:pt>
                <c:pt idx="17">
                  <c:v>0.50178396725711383</c:v>
                </c:pt>
                <c:pt idx="18">
                  <c:v>0.53878888380581569</c:v>
                </c:pt>
                <c:pt idx="19">
                  <c:v>0.57681109590571089</c:v>
                </c:pt>
                <c:pt idx="20">
                  <c:v>0.61605737465667865</c:v>
                </c:pt>
                <c:pt idx="21">
                  <c:v>0.65672936831465778</c:v>
                </c:pt>
                <c:pt idx="22">
                  <c:v>0.6990305712767203</c:v>
                </c:pt>
                <c:pt idx="23">
                  <c:v>0.74317193035973406</c:v>
                </c:pt>
                <c:pt idx="24">
                  <c:v>0.78937677816022078</c:v>
                </c:pt>
                <c:pt idx="25">
                  <c:v>0.83788554273357074</c:v>
                </c:pt>
                <c:pt idx="26">
                  <c:v>0.88896056073252794</c:v>
                </c:pt>
                <c:pt idx="27">
                  <c:v>0.94289126475673435</c:v>
                </c:pt>
                <c:pt idx="2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3-454C-A025-C7786FCF03F2}"/>
            </c:ext>
          </c:extLst>
        </c:ser>
        <c:ser>
          <c:idx val="1"/>
          <c:order val="1"/>
          <c:tx>
            <c:v>Radiatoren  afschakelen deellast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Radiator!$P$6:$P$34</c:f>
              <c:numCache>
                <c:formatCode>General</c:formatCode>
                <c:ptCount val="29"/>
                <c:pt idx="0">
                  <c:v>9.3036780142973285E-2</c:v>
                </c:pt>
                <c:pt idx="1">
                  <c:v>0.10749697254525185</c:v>
                </c:pt>
                <c:pt idx="2">
                  <c:v>0.1180978370997318</c:v>
                </c:pt>
                <c:pt idx="3">
                  <c:v>0.1269077241986574</c:v>
                </c:pt>
                <c:pt idx="4">
                  <c:v>0.13465414730158223</c:v>
                </c:pt>
                <c:pt idx="5">
                  <c:v>0.14168749540882691</c:v>
                </c:pt>
                <c:pt idx="6">
                  <c:v>0.14820627556898339</c:v>
                </c:pt>
                <c:pt idx="7">
                  <c:v>0.15433495713247347</c:v>
                </c:pt>
                <c:pt idx="8">
                  <c:v>0.16015724134777778</c:v>
                </c:pt>
                <c:pt idx="9">
                  <c:v>0.165732379664431</c:v>
                </c:pt>
                <c:pt idx="10">
                  <c:v>0.21404325828399981</c:v>
                </c:pt>
                <c:pt idx="11">
                  <c:v>0.25644837776604373</c:v>
                </c:pt>
                <c:pt idx="12">
                  <c:v>0.2968185695298734</c:v>
                </c:pt>
                <c:pt idx="13">
                  <c:v>0.33648883172845395</c:v>
                </c:pt>
                <c:pt idx="14">
                  <c:v>0.37608256643450827</c:v>
                </c:pt>
                <c:pt idx="15">
                  <c:v>0.41593956638784979</c:v>
                </c:pt>
                <c:pt idx="16">
                  <c:v>0.45626345839647059</c:v>
                </c:pt>
                <c:pt idx="17">
                  <c:v>0.49718428089059019</c:v>
                </c:pt>
                <c:pt idx="18">
                  <c:v>0.5387888838058158</c:v>
                </c:pt>
                <c:pt idx="19">
                  <c:v>0.58113717912500362</c:v>
                </c:pt>
                <c:pt idx="20">
                  <c:v>0.62427147298543439</c:v>
                </c:pt>
                <c:pt idx="21">
                  <c:v>0.66822213226016436</c:v>
                </c:pt>
                <c:pt idx="22">
                  <c:v>0.71301118270225461</c:v>
                </c:pt>
                <c:pt idx="23">
                  <c:v>0.75865467890889526</c:v>
                </c:pt>
                <c:pt idx="24">
                  <c:v>0.80516431372342523</c:v>
                </c:pt>
                <c:pt idx="25">
                  <c:v>0.85254853973140821</c:v>
                </c:pt>
                <c:pt idx="26">
                  <c:v>0.90081336820896163</c:v>
                </c:pt>
                <c:pt idx="27">
                  <c:v>0.94996294924240976</c:v>
                </c:pt>
                <c:pt idx="28">
                  <c:v>1</c:v>
                </c:pt>
              </c:numCache>
            </c:numRef>
          </c:xVal>
          <c:yVal>
            <c:numRef>
              <c:f>Radiator!$Q$6:$Q$34</c:f>
              <c:numCache>
                <c:formatCode>General</c:formatCode>
                <c:ptCount val="29"/>
                <c:pt idx="0">
                  <c:v>5.5933935957699375E-2</c:v>
                </c:pt>
                <c:pt idx="1">
                  <c:v>6.4757212376657741E-2</c:v>
                </c:pt>
                <c:pt idx="2">
                  <c:v>7.1286420784546348E-2</c:v>
                </c:pt>
                <c:pt idx="3">
                  <c:v>7.6758704152413745E-2</c:v>
                </c:pt>
                <c:pt idx="4">
                  <c:v>8.160857412217104E-2</c:v>
                </c:pt>
                <c:pt idx="5">
                  <c:v>8.6045037697668164E-2</c:v>
                </c:pt>
                <c:pt idx="6">
                  <c:v>9.0186374585588272E-2</c:v>
                </c:pt>
                <c:pt idx="7">
                  <c:v>9.4106681178337481E-2</c:v>
                </c:pt>
                <c:pt idx="8">
                  <c:v>9.7855748277664634E-2</c:v>
                </c:pt>
                <c:pt idx="9">
                  <c:v>0.10146880387618225</c:v>
                </c:pt>
                <c:pt idx="10">
                  <c:v>0.13377703642749988</c:v>
                </c:pt>
                <c:pt idx="11">
                  <c:v>0.1636904538932194</c:v>
                </c:pt>
                <c:pt idx="12">
                  <c:v>0.19357732795426527</c:v>
                </c:pt>
                <c:pt idx="13">
                  <c:v>0.22432588781896928</c:v>
                </c:pt>
                <c:pt idx="14">
                  <c:v>0.25641993165989202</c:v>
                </c:pt>
                <c:pt idx="15">
                  <c:v>0.29019039515431377</c:v>
                </c:pt>
                <c:pt idx="16">
                  <c:v>0.32590247028319325</c:v>
                </c:pt>
                <c:pt idx="17">
                  <c:v>0.36379337626140745</c:v>
                </c:pt>
                <c:pt idx="18">
                  <c:v>0.40409166285436182</c:v>
                </c:pt>
                <c:pt idx="19">
                  <c:v>0.4470285993269259</c:v>
                </c:pt>
                <c:pt idx="20">
                  <c:v>0.49284589972534293</c:v>
                </c:pt>
                <c:pt idx="21">
                  <c:v>0.54180172885959277</c:v>
                </c:pt>
                <c:pt idx="22">
                  <c:v>0.59417598558521212</c:v>
                </c:pt>
                <c:pt idx="23">
                  <c:v>0.65027543906476737</c:v>
                </c:pt>
                <c:pt idx="24">
                  <c:v>0.71043910034419877</c:v>
                </c:pt>
                <c:pt idx="25">
                  <c:v>0.77504412702855285</c:v>
                </c:pt>
                <c:pt idx="26">
                  <c:v>0.84451253269590154</c:v>
                </c:pt>
                <c:pt idx="27">
                  <c:v>0.9193189831378159</c:v>
                </c:pt>
                <c:pt idx="2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C-4F06-AB00-DD6D64EA0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327680"/>
        <c:axId val="746329320"/>
      </c:scatterChart>
      <c:valAx>
        <c:axId val="74632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P/Pmax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6329320"/>
        <c:crosses val="autoZero"/>
        <c:crossBetween val="midCat"/>
      </c:valAx>
      <c:valAx>
        <c:axId val="746329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Q/Qmax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632768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209550</xdr:colOff>
      <xdr:row>44</xdr:row>
      <xdr:rowOff>160020</xdr:rowOff>
    </xdr:from>
    <xdr:to>
      <xdr:col>30</xdr:col>
      <xdr:colOff>457200</xdr:colOff>
      <xdr:row>61</xdr:row>
      <xdr:rowOff>142875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02823D2-3323-4D7E-80F9-FF50CF40C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385762</xdr:colOff>
      <xdr:row>4</xdr:row>
      <xdr:rowOff>76199</xdr:rowOff>
    </xdr:from>
    <xdr:to>
      <xdr:col>19</xdr:col>
      <xdr:colOff>80962</xdr:colOff>
      <xdr:row>18</xdr:row>
      <xdr:rowOff>90486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1A763E1-9482-4CBE-9D51-DBAFE331E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1495425</xdr:colOff>
      <xdr:row>13</xdr:row>
      <xdr:rowOff>103813</xdr:rowOff>
    </xdr:from>
    <xdr:to>
      <xdr:col>6</xdr:col>
      <xdr:colOff>597181</xdr:colOff>
      <xdr:row>22</xdr:row>
      <xdr:rowOff>85724</xdr:rowOff>
    </xdr:to>
    <xdr:cxnSp macro="">
      <xdr:nvCxnSpPr>
        <xdr:cNvPr id="4" name="Rechte verbindingslijn 96">
          <a:extLst>
            <a:ext uri="{FF2B5EF4-FFF2-40B4-BE49-F238E27FC236}">
              <a16:creationId xmlns:a16="http://schemas.microsoft.com/office/drawing/2014/main" id="{ECE205A4-4098-4C12-8A7D-351B30B4652F}"/>
            </a:ext>
          </a:extLst>
        </xdr:cNvPr>
        <xdr:cNvCxnSpPr>
          <a:cxnSpLocks/>
          <a:stCxn id="17" idx="1"/>
        </xdr:cNvCxnSpPr>
      </xdr:nvCxnSpPr>
      <xdr:spPr>
        <a:xfrm rot="10800000" flipV="1">
          <a:off x="2714625" y="2580313"/>
          <a:ext cx="3578506" cy="1696411"/>
        </a:xfrm>
        <a:prstGeom prst="bentConnector3">
          <a:avLst>
            <a:gd name="adj1" fmla="val 50000"/>
          </a:avLst>
        </a:prstGeom>
        <a:ln w="317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552450</xdr:colOff>
      <xdr:row>22</xdr:row>
      <xdr:rowOff>65268</xdr:rowOff>
    </xdr:from>
    <xdr:to>
      <xdr:col>6</xdr:col>
      <xdr:colOff>511260</xdr:colOff>
      <xdr:row>22</xdr:row>
      <xdr:rowOff>76200</xdr:rowOff>
    </xdr:to>
    <xdr:cxnSp macro="">
      <xdr:nvCxnSpPr>
        <xdr:cNvPr id="6" name="Rechte verbindingslijn 5">
          <a:extLst>
            <a:ext uri="{FF2B5EF4-FFF2-40B4-BE49-F238E27FC236}">
              <a16:creationId xmlns:a16="http://schemas.microsoft.com/office/drawing/2014/main" id="{001CE8DE-E4DF-4411-8F62-1D7E61BC482A}"/>
            </a:ext>
          </a:extLst>
        </xdr:cNvPr>
        <xdr:cNvCxnSpPr>
          <a:cxnSpLocks/>
          <a:stCxn id="22" idx="1"/>
        </xdr:cNvCxnSpPr>
      </xdr:nvCxnSpPr>
      <xdr:spPr>
        <a:xfrm flipH="1">
          <a:off x="4486275" y="4256268"/>
          <a:ext cx="1720935" cy="10932"/>
        </a:xfrm>
        <a:prstGeom prst="line">
          <a:avLst/>
        </a:prstGeom>
        <a:ln w="38100"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1292167</xdr:colOff>
      <xdr:row>20</xdr:row>
      <xdr:rowOff>47836</xdr:rowOff>
    </xdr:from>
    <xdr:to>
      <xdr:col>2</xdr:col>
      <xdr:colOff>1476725</xdr:colOff>
      <xdr:row>24</xdr:row>
      <xdr:rowOff>135221</xdr:rowOff>
    </xdr:to>
    <xdr:grpSp>
      <xdr:nvGrpSpPr>
        <xdr:cNvPr id="7" name="Groep 6">
          <a:extLst>
            <a:ext uri="{FF2B5EF4-FFF2-40B4-BE49-F238E27FC236}">
              <a16:creationId xmlns:a16="http://schemas.microsoft.com/office/drawing/2014/main" id="{C32D1B4E-8407-4E12-B3A6-23DF37115C69}"/>
            </a:ext>
          </a:extLst>
        </xdr:cNvPr>
        <xdr:cNvGrpSpPr/>
      </xdr:nvGrpSpPr>
      <xdr:grpSpPr>
        <a:xfrm>
          <a:off x="2511367" y="3857836"/>
          <a:ext cx="184558" cy="849385"/>
          <a:chOff x="1753299" y="3324138"/>
          <a:chExt cx="184558" cy="849385"/>
        </a:xfrm>
      </xdr:grpSpPr>
      <xdr:cxnSp macro="">
        <xdr:nvCxnSpPr>
          <xdr:cNvPr id="45" name="Rechte verbindingslijn 44">
            <a:extLst>
              <a:ext uri="{FF2B5EF4-FFF2-40B4-BE49-F238E27FC236}">
                <a16:creationId xmlns:a16="http://schemas.microsoft.com/office/drawing/2014/main" id="{14FDAD1E-A573-4F19-8F14-832A39E64FD5}"/>
              </a:ext>
            </a:extLst>
          </xdr:cNvPr>
          <xdr:cNvCxnSpPr>
            <a:cxnSpLocks/>
          </xdr:cNvCxnSpPr>
        </xdr:nvCxnSpPr>
        <xdr:spPr>
          <a:xfrm>
            <a:off x="1937857" y="3324138"/>
            <a:ext cx="0" cy="849385"/>
          </a:xfrm>
          <a:prstGeom prst="line">
            <a:avLst/>
          </a:prstGeom>
          <a:ln w="38100"/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Rechte verbindingslijn 45">
            <a:extLst>
              <a:ext uri="{FF2B5EF4-FFF2-40B4-BE49-F238E27FC236}">
                <a16:creationId xmlns:a16="http://schemas.microsoft.com/office/drawing/2014/main" id="{E6DDB79D-565B-4FDE-970A-BBAE103F7074}"/>
              </a:ext>
            </a:extLst>
          </xdr:cNvPr>
          <xdr:cNvCxnSpPr/>
        </xdr:nvCxnSpPr>
        <xdr:spPr>
          <a:xfrm flipV="1">
            <a:off x="1753299" y="3475140"/>
            <a:ext cx="0" cy="551576"/>
          </a:xfrm>
          <a:prstGeom prst="line">
            <a:avLst/>
          </a:prstGeom>
          <a:ln w="38100"/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377070</xdr:colOff>
      <xdr:row>22</xdr:row>
      <xdr:rowOff>81362</xdr:rowOff>
    </xdr:from>
    <xdr:to>
      <xdr:col>2</xdr:col>
      <xdr:colOff>1292169</xdr:colOff>
      <xdr:row>24</xdr:row>
      <xdr:rowOff>153251</xdr:rowOff>
    </xdr:to>
    <xdr:cxnSp macro="">
      <xdr:nvCxnSpPr>
        <xdr:cNvPr id="8" name="Rechte verbindingslijn 17">
          <a:extLst>
            <a:ext uri="{FF2B5EF4-FFF2-40B4-BE49-F238E27FC236}">
              <a16:creationId xmlns:a16="http://schemas.microsoft.com/office/drawing/2014/main" id="{AF02D22E-FBB3-4B04-B953-B4EE62F2B6A0}"/>
            </a:ext>
          </a:extLst>
        </xdr:cNvPr>
        <xdr:cNvCxnSpPr>
          <a:cxnSpLocks/>
        </xdr:cNvCxnSpPr>
      </xdr:nvCxnSpPr>
      <xdr:spPr>
        <a:xfrm rot="10800000" flipV="1">
          <a:off x="1596270" y="4272362"/>
          <a:ext cx="915099" cy="452889"/>
        </a:xfrm>
        <a:prstGeom prst="bentConnector3">
          <a:avLst>
            <a:gd name="adj1" fmla="val 99962"/>
          </a:avLst>
        </a:prstGeom>
        <a:ln w="38100"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552450</xdr:colOff>
      <xdr:row>24</xdr:row>
      <xdr:rowOff>163795</xdr:rowOff>
    </xdr:from>
    <xdr:to>
      <xdr:col>2</xdr:col>
      <xdr:colOff>792235</xdr:colOff>
      <xdr:row>26</xdr:row>
      <xdr:rowOff>144920</xdr:rowOff>
    </xdr:to>
    <xdr:grpSp>
      <xdr:nvGrpSpPr>
        <xdr:cNvPr id="9" name="Groep 8">
          <a:extLst>
            <a:ext uri="{FF2B5EF4-FFF2-40B4-BE49-F238E27FC236}">
              <a16:creationId xmlns:a16="http://schemas.microsoft.com/office/drawing/2014/main" id="{0B2FFF6E-CDD2-4693-B378-0F95EC794D99}"/>
            </a:ext>
          </a:extLst>
        </xdr:cNvPr>
        <xdr:cNvGrpSpPr/>
      </xdr:nvGrpSpPr>
      <xdr:grpSpPr>
        <a:xfrm>
          <a:off x="1162050" y="4735795"/>
          <a:ext cx="849385" cy="362125"/>
          <a:chOff x="413507" y="4173522"/>
          <a:chExt cx="849385" cy="362125"/>
        </a:xfrm>
      </xdr:grpSpPr>
      <xdr:cxnSp macro="">
        <xdr:nvCxnSpPr>
          <xdr:cNvPr id="41" name="Rechte verbindingslijn 40">
            <a:extLst>
              <a:ext uri="{FF2B5EF4-FFF2-40B4-BE49-F238E27FC236}">
                <a16:creationId xmlns:a16="http://schemas.microsoft.com/office/drawing/2014/main" id="{075B6231-3ACC-47AD-8D2F-ADF83A95DBB8}"/>
              </a:ext>
            </a:extLst>
          </xdr:cNvPr>
          <xdr:cNvCxnSpPr>
            <a:cxnSpLocks/>
          </xdr:cNvCxnSpPr>
        </xdr:nvCxnSpPr>
        <xdr:spPr>
          <a:xfrm>
            <a:off x="413507" y="4173522"/>
            <a:ext cx="849385" cy="0"/>
          </a:xfrm>
          <a:prstGeom prst="line">
            <a:avLst/>
          </a:prstGeom>
          <a:ln w="38100"/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Rechte verbindingslijn 41">
            <a:extLst>
              <a:ext uri="{FF2B5EF4-FFF2-40B4-BE49-F238E27FC236}">
                <a16:creationId xmlns:a16="http://schemas.microsoft.com/office/drawing/2014/main" id="{FD9794C3-C3C2-409A-99B1-A4AE5B48328D}"/>
              </a:ext>
            </a:extLst>
          </xdr:cNvPr>
          <xdr:cNvCxnSpPr/>
        </xdr:nvCxnSpPr>
        <xdr:spPr>
          <a:xfrm flipH="1">
            <a:off x="562412" y="4299357"/>
            <a:ext cx="551576" cy="0"/>
          </a:xfrm>
          <a:prstGeom prst="line">
            <a:avLst/>
          </a:prstGeom>
          <a:ln w="38100"/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Rechte verbindingslijn 42">
            <a:extLst>
              <a:ext uri="{FF2B5EF4-FFF2-40B4-BE49-F238E27FC236}">
                <a16:creationId xmlns:a16="http://schemas.microsoft.com/office/drawing/2014/main" id="{B0A2A998-A01E-4009-A2D2-8C3794E35E97}"/>
              </a:ext>
            </a:extLst>
          </xdr:cNvPr>
          <xdr:cNvCxnSpPr>
            <a:cxnSpLocks/>
          </xdr:cNvCxnSpPr>
        </xdr:nvCxnSpPr>
        <xdr:spPr>
          <a:xfrm flipH="1">
            <a:off x="744175" y="4418201"/>
            <a:ext cx="195393" cy="0"/>
          </a:xfrm>
          <a:prstGeom prst="line">
            <a:avLst/>
          </a:prstGeom>
          <a:ln w="38100"/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Rechte verbindingslijn 43">
            <a:extLst>
              <a:ext uri="{FF2B5EF4-FFF2-40B4-BE49-F238E27FC236}">
                <a16:creationId xmlns:a16="http://schemas.microsoft.com/office/drawing/2014/main" id="{9279C35C-8A81-4AB4-A5CB-3F7D9660ED7A}"/>
              </a:ext>
            </a:extLst>
          </xdr:cNvPr>
          <xdr:cNvCxnSpPr>
            <a:cxnSpLocks/>
          </xdr:cNvCxnSpPr>
        </xdr:nvCxnSpPr>
        <xdr:spPr>
          <a:xfrm flipH="1">
            <a:off x="811636" y="4535647"/>
            <a:ext cx="26565" cy="0"/>
          </a:xfrm>
          <a:prstGeom prst="line">
            <a:avLst/>
          </a:prstGeom>
          <a:ln w="38100"/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437273</xdr:colOff>
      <xdr:row>31</xdr:row>
      <xdr:rowOff>119503</xdr:rowOff>
    </xdr:from>
    <xdr:to>
      <xdr:col>13</xdr:col>
      <xdr:colOff>2141</xdr:colOff>
      <xdr:row>33</xdr:row>
      <xdr:rowOff>107835</xdr:rowOff>
    </xdr:to>
    <xdr:sp macro="" textlink="">
      <xdr:nvSpPr>
        <xdr:cNvPr id="10" name="Tekstvak 54">
          <a:extLst>
            <a:ext uri="{FF2B5EF4-FFF2-40B4-BE49-F238E27FC236}">
              <a16:creationId xmlns:a16="http://schemas.microsoft.com/office/drawing/2014/main" id="{4D64F56B-6EE7-4635-A4BB-F89AF9BA8C28}"/>
            </a:ext>
          </a:extLst>
        </xdr:cNvPr>
        <xdr:cNvSpPr txBox="1"/>
      </xdr:nvSpPr>
      <xdr:spPr>
        <a:xfrm>
          <a:off x="7962023" y="6025003"/>
          <a:ext cx="2003268" cy="369332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nl-NL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nl-NL"/>
            <a:t>Constructie</a:t>
          </a:r>
        </a:p>
      </xdr:txBody>
    </xdr:sp>
    <xdr:clientData/>
  </xdr:twoCellAnchor>
  <xdr:twoCellAnchor>
    <xdr:from>
      <xdr:col>10</xdr:col>
      <xdr:colOff>21860</xdr:colOff>
      <xdr:row>28</xdr:row>
      <xdr:rowOff>32486</xdr:rowOff>
    </xdr:from>
    <xdr:to>
      <xdr:col>11</xdr:col>
      <xdr:colOff>261645</xdr:colOff>
      <xdr:row>30</xdr:row>
      <xdr:rowOff>13611</xdr:rowOff>
    </xdr:to>
    <xdr:grpSp>
      <xdr:nvGrpSpPr>
        <xdr:cNvPr id="11" name="Groep 10">
          <a:extLst>
            <a:ext uri="{FF2B5EF4-FFF2-40B4-BE49-F238E27FC236}">
              <a16:creationId xmlns:a16="http://schemas.microsoft.com/office/drawing/2014/main" id="{21E91966-171F-4D09-90FC-6276BFA50D33}"/>
            </a:ext>
          </a:extLst>
        </xdr:cNvPr>
        <xdr:cNvGrpSpPr/>
      </xdr:nvGrpSpPr>
      <xdr:grpSpPr>
        <a:xfrm>
          <a:off x="8156210" y="5366486"/>
          <a:ext cx="849385" cy="362125"/>
          <a:chOff x="413507" y="4173522"/>
          <a:chExt cx="849385" cy="362125"/>
        </a:xfrm>
      </xdr:grpSpPr>
      <xdr:cxnSp macro="">
        <xdr:nvCxnSpPr>
          <xdr:cNvPr id="37" name="Rechte verbindingslijn 36">
            <a:extLst>
              <a:ext uri="{FF2B5EF4-FFF2-40B4-BE49-F238E27FC236}">
                <a16:creationId xmlns:a16="http://schemas.microsoft.com/office/drawing/2014/main" id="{03061CD4-B5CB-4491-BDBC-45F364AAD012}"/>
              </a:ext>
            </a:extLst>
          </xdr:cNvPr>
          <xdr:cNvCxnSpPr>
            <a:cxnSpLocks/>
          </xdr:cNvCxnSpPr>
        </xdr:nvCxnSpPr>
        <xdr:spPr>
          <a:xfrm>
            <a:off x="413507" y="4173522"/>
            <a:ext cx="849385" cy="0"/>
          </a:xfrm>
          <a:prstGeom prst="line">
            <a:avLst/>
          </a:prstGeom>
          <a:ln w="38100"/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Rechte verbindingslijn 37">
            <a:extLst>
              <a:ext uri="{FF2B5EF4-FFF2-40B4-BE49-F238E27FC236}">
                <a16:creationId xmlns:a16="http://schemas.microsoft.com/office/drawing/2014/main" id="{3FE98872-C09B-4070-ABCA-B939CF79E6B8}"/>
              </a:ext>
            </a:extLst>
          </xdr:cNvPr>
          <xdr:cNvCxnSpPr/>
        </xdr:nvCxnSpPr>
        <xdr:spPr>
          <a:xfrm flipH="1">
            <a:off x="562412" y="4299357"/>
            <a:ext cx="551576" cy="0"/>
          </a:xfrm>
          <a:prstGeom prst="line">
            <a:avLst/>
          </a:prstGeom>
          <a:ln w="38100"/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Rechte verbindingslijn 38">
            <a:extLst>
              <a:ext uri="{FF2B5EF4-FFF2-40B4-BE49-F238E27FC236}">
                <a16:creationId xmlns:a16="http://schemas.microsoft.com/office/drawing/2014/main" id="{25C1757A-9FC7-49B4-8296-9FF10FF507CC}"/>
              </a:ext>
            </a:extLst>
          </xdr:cNvPr>
          <xdr:cNvCxnSpPr>
            <a:cxnSpLocks/>
          </xdr:cNvCxnSpPr>
        </xdr:nvCxnSpPr>
        <xdr:spPr>
          <a:xfrm flipH="1">
            <a:off x="744175" y="4418201"/>
            <a:ext cx="195393" cy="0"/>
          </a:xfrm>
          <a:prstGeom prst="line">
            <a:avLst/>
          </a:prstGeom>
          <a:ln w="38100"/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Rechte verbindingslijn 39">
            <a:extLst>
              <a:ext uri="{FF2B5EF4-FFF2-40B4-BE49-F238E27FC236}">
                <a16:creationId xmlns:a16="http://schemas.microsoft.com/office/drawing/2014/main" id="{CA6234B9-20B8-49F0-8CB0-6E4C2F225F7F}"/>
              </a:ext>
            </a:extLst>
          </xdr:cNvPr>
          <xdr:cNvCxnSpPr>
            <a:cxnSpLocks/>
          </xdr:cNvCxnSpPr>
        </xdr:nvCxnSpPr>
        <xdr:spPr>
          <a:xfrm flipH="1">
            <a:off x="811636" y="4535647"/>
            <a:ext cx="26565" cy="0"/>
          </a:xfrm>
          <a:prstGeom prst="line">
            <a:avLst/>
          </a:prstGeom>
          <a:ln w="38100"/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21860</xdr:colOff>
      <xdr:row>24</xdr:row>
      <xdr:rowOff>168406</xdr:rowOff>
    </xdr:from>
    <xdr:to>
      <xdr:col>11</xdr:col>
      <xdr:colOff>261644</xdr:colOff>
      <xdr:row>24</xdr:row>
      <xdr:rowOff>168406</xdr:rowOff>
    </xdr:to>
    <xdr:cxnSp macro="">
      <xdr:nvCxnSpPr>
        <xdr:cNvPr id="12" name="Rechte verbindingslijn 11">
          <a:extLst>
            <a:ext uri="{FF2B5EF4-FFF2-40B4-BE49-F238E27FC236}">
              <a16:creationId xmlns:a16="http://schemas.microsoft.com/office/drawing/2014/main" id="{74E7EF54-7814-4E69-8433-8DD77A991500}"/>
            </a:ext>
          </a:extLst>
        </xdr:cNvPr>
        <xdr:cNvCxnSpPr>
          <a:cxnSpLocks/>
        </xdr:cNvCxnSpPr>
      </xdr:nvCxnSpPr>
      <xdr:spPr>
        <a:xfrm>
          <a:off x="8156210" y="4740406"/>
          <a:ext cx="849384" cy="0"/>
        </a:xfrm>
        <a:prstGeom prst="line">
          <a:avLst/>
        </a:prstGeom>
        <a:ln w="38100"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31048</xdr:colOff>
      <xdr:row>25</xdr:row>
      <xdr:rowOff>158356</xdr:rowOff>
    </xdr:from>
    <xdr:to>
      <xdr:col>11</xdr:col>
      <xdr:colOff>261644</xdr:colOff>
      <xdr:row>25</xdr:row>
      <xdr:rowOff>158356</xdr:rowOff>
    </xdr:to>
    <xdr:cxnSp macro="">
      <xdr:nvCxnSpPr>
        <xdr:cNvPr id="13" name="Rechte verbindingslijn 12">
          <a:extLst>
            <a:ext uri="{FF2B5EF4-FFF2-40B4-BE49-F238E27FC236}">
              <a16:creationId xmlns:a16="http://schemas.microsoft.com/office/drawing/2014/main" id="{F9FB3736-F9A0-4945-8232-81DD7E6AA443}"/>
            </a:ext>
          </a:extLst>
        </xdr:cNvPr>
        <xdr:cNvCxnSpPr>
          <a:cxnSpLocks/>
        </xdr:cNvCxnSpPr>
      </xdr:nvCxnSpPr>
      <xdr:spPr>
        <a:xfrm flipH="1">
          <a:off x="8165398" y="4920856"/>
          <a:ext cx="840196" cy="0"/>
        </a:xfrm>
        <a:prstGeom prst="line">
          <a:avLst/>
        </a:prstGeom>
        <a:ln w="38100"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446552</xdr:colOff>
      <xdr:row>25</xdr:row>
      <xdr:rowOff>158356</xdr:rowOff>
    </xdr:from>
    <xdr:to>
      <xdr:col>10</xdr:col>
      <xdr:colOff>446552</xdr:colOff>
      <xdr:row>28</xdr:row>
      <xdr:rowOff>32485</xdr:rowOff>
    </xdr:to>
    <xdr:cxnSp macro="">
      <xdr:nvCxnSpPr>
        <xdr:cNvPr id="14" name="Rechte verbindingslijn 13">
          <a:extLst>
            <a:ext uri="{FF2B5EF4-FFF2-40B4-BE49-F238E27FC236}">
              <a16:creationId xmlns:a16="http://schemas.microsoft.com/office/drawing/2014/main" id="{92B5B166-83ED-4CE1-BE9E-F206DEC31A68}"/>
            </a:ext>
          </a:extLst>
        </xdr:cNvPr>
        <xdr:cNvCxnSpPr>
          <a:cxnSpLocks/>
        </xdr:cNvCxnSpPr>
      </xdr:nvCxnSpPr>
      <xdr:spPr>
        <a:xfrm>
          <a:off x="8580902" y="4920856"/>
          <a:ext cx="0" cy="445629"/>
        </a:xfrm>
        <a:prstGeom prst="line">
          <a:avLst/>
        </a:prstGeom>
        <a:ln w="317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371135</xdr:colOff>
      <xdr:row>18</xdr:row>
      <xdr:rowOff>156442</xdr:rowOff>
    </xdr:from>
    <xdr:to>
      <xdr:col>12</xdr:col>
      <xdr:colOff>324523</xdr:colOff>
      <xdr:row>22</xdr:row>
      <xdr:rowOff>74910</xdr:rowOff>
    </xdr:to>
    <xdr:cxnSp macro="">
      <xdr:nvCxnSpPr>
        <xdr:cNvPr id="15" name="Rechte verbindingslijn 61">
          <a:extLst>
            <a:ext uri="{FF2B5EF4-FFF2-40B4-BE49-F238E27FC236}">
              <a16:creationId xmlns:a16="http://schemas.microsoft.com/office/drawing/2014/main" id="{7DB6A7D6-E89A-4672-BBED-50A1FD87A5F0}"/>
            </a:ext>
          </a:extLst>
        </xdr:cNvPr>
        <xdr:cNvCxnSpPr>
          <a:cxnSpLocks/>
        </xdr:cNvCxnSpPr>
      </xdr:nvCxnSpPr>
      <xdr:spPr>
        <a:xfrm flipV="1">
          <a:off x="7895885" y="3585442"/>
          <a:ext cx="1782188" cy="680468"/>
        </a:xfrm>
        <a:prstGeom prst="bentConnector3">
          <a:avLst>
            <a:gd name="adj1" fmla="val 50000"/>
          </a:avLst>
        </a:prstGeom>
        <a:ln w="38100"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433270</xdr:colOff>
      <xdr:row>22</xdr:row>
      <xdr:rowOff>76244</xdr:rowOff>
    </xdr:from>
    <xdr:to>
      <xdr:col>10</xdr:col>
      <xdr:colOff>446552</xdr:colOff>
      <xdr:row>24</xdr:row>
      <xdr:rowOff>152442</xdr:rowOff>
    </xdr:to>
    <xdr:cxnSp macro="">
      <xdr:nvCxnSpPr>
        <xdr:cNvPr id="16" name="Rechte verbindingslijn 15">
          <a:extLst>
            <a:ext uri="{FF2B5EF4-FFF2-40B4-BE49-F238E27FC236}">
              <a16:creationId xmlns:a16="http://schemas.microsoft.com/office/drawing/2014/main" id="{29348F2E-99C3-41D8-BDF3-3B5CD425AFA4}"/>
            </a:ext>
          </a:extLst>
        </xdr:cNvPr>
        <xdr:cNvCxnSpPr>
          <a:cxnSpLocks/>
        </xdr:cNvCxnSpPr>
      </xdr:nvCxnSpPr>
      <xdr:spPr>
        <a:xfrm flipH="1" flipV="1">
          <a:off x="8567620" y="4267244"/>
          <a:ext cx="13282" cy="457198"/>
        </a:xfrm>
        <a:prstGeom prst="line">
          <a:avLst/>
        </a:prstGeom>
        <a:ln w="317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597181</xdr:colOff>
      <xdr:row>12</xdr:row>
      <xdr:rowOff>76200</xdr:rowOff>
    </xdr:from>
    <xdr:to>
      <xdr:col>9</xdr:col>
      <xdr:colOff>488125</xdr:colOff>
      <xdr:row>14</xdr:row>
      <xdr:rowOff>131428</xdr:rowOff>
    </xdr:to>
    <xdr:sp macro="" textlink="">
      <xdr:nvSpPr>
        <xdr:cNvPr id="17" name="Rechthoek 16">
          <a:extLst>
            <a:ext uri="{FF2B5EF4-FFF2-40B4-BE49-F238E27FC236}">
              <a16:creationId xmlns:a16="http://schemas.microsoft.com/office/drawing/2014/main" id="{2BA4EC34-91BE-44A6-A40A-908054A5605B}"/>
            </a:ext>
          </a:extLst>
        </xdr:cNvPr>
        <xdr:cNvSpPr/>
      </xdr:nvSpPr>
      <xdr:spPr>
        <a:xfrm>
          <a:off x="6293131" y="2362200"/>
          <a:ext cx="1719744" cy="43622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nl-NL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nl-NL"/>
            <a:t>R1</a:t>
          </a:r>
        </a:p>
      </xdr:txBody>
    </xdr:sp>
    <xdr:clientData/>
  </xdr:twoCellAnchor>
  <xdr:twoCellAnchor>
    <xdr:from>
      <xdr:col>9</xdr:col>
      <xdr:colOff>195588</xdr:colOff>
      <xdr:row>13</xdr:row>
      <xdr:rowOff>116578</xdr:rowOff>
    </xdr:from>
    <xdr:to>
      <xdr:col>16</xdr:col>
      <xdr:colOff>178914</xdr:colOff>
      <xdr:row>18</xdr:row>
      <xdr:rowOff>123663</xdr:rowOff>
    </xdr:to>
    <xdr:cxnSp macro="">
      <xdr:nvCxnSpPr>
        <xdr:cNvPr id="18" name="Rechte verbindingslijn 100">
          <a:extLst>
            <a:ext uri="{FF2B5EF4-FFF2-40B4-BE49-F238E27FC236}">
              <a16:creationId xmlns:a16="http://schemas.microsoft.com/office/drawing/2014/main" id="{9A857CF5-CAFB-4057-86E3-C8A72C6A65B4}"/>
            </a:ext>
          </a:extLst>
        </xdr:cNvPr>
        <xdr:cNvCxnSpPr>
          <a:cxnSpLocks/>
        </xdr:cNvCxnSpPr>
      </xdr:nvCxnSpPr>
      <xdr:spPr>
        <a:xfrm>
          <a:off x="7720338" y="2593078"/>
          <a:ext cx="4250526" cy="959585"/>
        </a:xfrm>
        <a:prstGeom prst="bentConnector3">
          <a:avLst>
            <a:gd name="adj1" fmla="val 100868"/>
          </a:avLst>
        </a:prstGeom>
        <a:ln w="317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594755</xdr:colOff>
      <xdr:row>25</xdr:row>
      <xdr:rowOff>94993</xdr:rowOff>
    </xdr:from>
    <xdr:to>
      <xdr:col>10</xdr:col>
      <xdr:colOff>159623</xdr:colOff>
      <xdr:row>27</xdr:row>
      <xdr:rowOff>83325</xdr:rowOff>
    </xdr:to>
    <xdr:sp macro="" textlink="">
      <xdr:nvSpPr>
        <xdr:cNvPr id="19" name="Tekstvak 104">
          <a:extLst>
            <a:ext uri="{FF2B5EF4-FFF2-40B4-BE49-F238E27FC236}">
              <a16:creationId xmlns:a16="http://schemas.microsoft.com/office/drawing/2014/main" id="{8A281C27-F18C-4DC7-8E1C-4B5CE9CF1896}"/>
            </a:ext>
          </a:extLst>
        </xdr:cNvPr>
        <xdr:cNvSpPr txBox="1"/>
      </xdr:nvSpPr>
      <xdr:spPr>
        <a:xfrm>
          <a:off x="6290705" y="4857493"/>
          <a:ext cx="2003268" cy="369332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nl-NL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nl-NL"/>
            <a:t>Koudebruggen</a:t>
          </a:r>
        </a:p>
      </xdr:txBody>
    </xdr:sp>
    <xdr:clientData/>
  </xdr:twoCellAnchor>
  <xdr:twoCellAnchor>
    <xdr:from>
      <xdr:col>12</xdr:col>
      <xdr:colOff>339684</xdr:colOff>
      <xdr:row>17</xdr:row>
      <xdr:rowOff>130162</xdr:rowOff>
    </xdr:from>
    <xdr:to>
      <xdr:col>17</xdr:col>
      <xdr:colOff>85723</xdr:colOff>
      <xdr:row>28</xdr:row>
      <xdr:rowOff>32485</xdr:rowOff>
    </xdr:to>
    <xdr:grpSp>
      <xdr:nvGrpSpPr>
        <xdr:cNvPr id="20" name="Groep 19">
          <a:extLst>
            <a:ext uri="{FF2B5EF4-FFF2-40B4-BE49-F238E27FC236}">
              <a16:creationId xmlns:a16="http://schemas.microsoft.com/office/drawing/2014/main" id="{E87974B6-CABF-4143-89B6-35E428AC3A38}"/>
            </a:ext>
          </a:extLst>
        </xdr:cNvPr>
        <xdr:cNvGrpSpPr/>
      </xdr:nvGrpSpPr>
      <xdr:grpSpPr>
        <a:xfrm>
          <a:off x="9693234" y="3368662"/>
          <a:ext cx="2794039" cy="1997823"/>
          <a:chOff x="8529414" y="3492363"/>
          <a:chExt cx="2794039" cy="1997823"/>
        </a:xfrm>
      </xdr:grpSpPr>
      <xdr:sp macro="" textlink="">
        <xdr:nvSpPr>
          <xdr:cNvPr id="25" name="Rechthoek 24">
            <a:extLst>
              <a:ext uri="{FF2B5EF4-FFF2-40B4-BE49-F238E27FC236}">
                <a16:creationId xmlns:a16="http://schemas.microsoft.com/office/drawing/2014/main" id="{97FCC1D0-2FB5-4084-8D7B-C8C70F5565A4}"/>
              </a:ext>
            </a:extLst>
          </xdr:cNvPr>
          <xdr:cNvSpPr/>
        </xdr:nvSpPr>
        <xdr:spPr>
          <a:xfrm>
            <a:off x="8529414" y="3492363"/>
            <a:ext cx="1719744" cy="43622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nl-NL"/>
              <a:t>R3</a:t>
            </a:r>
          </a:p>
        </xdr:txBody>
      </xdr:sp>
      <xdr:grpSp>
        <xdr:nvGrpSpPr>
          <xdr:cNvPr id="26" name="Groep 25">
            <a:extLst>
              <a:ext uri="{FF2B5EF4-FFF2-40B4-BE49-F238E27FC236}">
                <a16:creationId xmlns:a16="http://schemas.microsoft.com/office/drawing/2014/main" id="{B5FB40BE-2C6C-4139-9ADA-359FE7A83C7F}"/>
              </a:ext>
            </a:extLst>
          </xdr:cNvPr>
          <xdr:cNvGrpSpPr/>
        </xdr:nvGrpSpPr>
        <xdr:grpSpPr>
          <a:xfrm>
            <a:off x="10474068" y="4773577"/>
            <a:ext cx="849385" cy="362125"/>
            <a:chOff x="413507" y="4173522"/>
            <a:chExt cx="849385" cy="362125"/>
          </a:xfrm>
        </xdr:grpSpPr>
        <xdr:cxnSp macro="">
          <xdr:nvCxnSpPr>
            <xdr:cNvPr id="33" name="Rechte verbindingslijn 32">
              <a:extLst>
                <a:ext uri="{FF2B5EF4-FFF2-40B4-BE49-F238E27FC236}">
                  <a16:creationId xmlns:a16="http://schemas.microsoft.com/office/drawing/2014/main" id="{F1FED072-CCE2-4DF0-A249-8C3F7F4D1CBA}"/>
                </a:ext>
              </a:extLst>
            </xdr:cNvPr>
            <xdr:cNvCxnSpPr>
              <a:cxnSpLocks/>
            </xdr:cNvCxnSpPr>
          </xdr:nvCxnSpPr>
          <xdr:spPr>
            <a:xfrm>
              <a:off x="413507" y="4173522"/>
              <a:ext cx="849385" cy="0"/>
            </a:xfrm>
            <a:prstGeom prst="line">
              <a:avLst/>
            </a:prstGeom>
            <a:ln w="38100"/>
          </xdr:spPr>
          <xdr:style>
            <a:lnRef idx="3">
              <a:schemeClr val="accent1"/>
            </a:lnRef>
            <a:fillRef idx="0">
              <a:schemeClr val="accent1"/>
            </a:fillRef>
            <a:effectRef idx="2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4" name="Rechte verbindingslijn 33">
              <a:extLst>
                <a:ext uri="{FF2B5EF4-FFF2-40B4-BE49-F238E27FC236}">
                  <a16:creationId xmlns:a16="http://schemas.microsoft.com/office/drawing/2014/main" id="{A978F065-EEA9-497F-88D0-111092BCC029}"/>
                </a:ext>
              </a:extLst>
            </xdr:cNvPr>
            <xdr:cNvCxnSpPr/>
          </xdr:nvCxnSpPr>
          <xdr:spPr>
            <a:xfrm flipH="1">
              <a:off x="562412" y="4299357"/>
              <a:ext cx="551576" cy="0"/>
            </a:xfrm>
            <a:prstGeom prst="line">
              <a:avLst/>
            </a:prstGeom>
            <a:ln w="38100"/>
          </xdr:spPr>
          <xdr:style>
            <a:lnRef idx="3">
              <a:schemeClr val="accent1"/>
            </a:lnRef>
            <a:fillRef idx="0">
              <a:schemeClr val="accent1"/>
            </a:fillRef>
            <a:effectRef idx="2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5" name="Rechte verbindingslijn 34">
              <a:extLst>
                <a:ext uri="{FF2B5EF4-FFF2-40B4-BE49-F238E27FC236}">
                  <a16:creationId xmlns:a16="http://schemas.microsoft.com/office/drawing/2014/main" id="{822DCD26-3BD0-44F2-A1E9-681D58732834}"/>
                </a:ext>
              </a:extLst>
            </xdr:cNvPr>
            <xdr:cNvCxnSpPr>
              <a:cxnSpLocks/>
            </xdr:cNvCxnSpPr>
          </xdr:nvCxnSpPr>
          <xdr:spPr>
            <a:xfrm flipH="1">
              <a:off x="744175" y="4418201"/>
              <a:ext cx="195393" cy="0"/>
            </a:xfrm>
            <a:prstGeom prst="line">
              <a:avLst/>
            </a:prstGeom>
            <a:ln w="38100"/>
          </xdr:spPr>
          <xdr:style>
            <a:lnRef idx="3">
              <a:schemeClr val="accent1"/>
            </a:lnRef>
            <a:fillRef idx="0">
              <a:schemeClr val="accent1"/>
            </a:fillRef>
            <a:effectRef idx="2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6" name="Rechte verbindingslijn 35">
              <a:extLst>
                <a:ext uri="{FF2B5EF4-FFF2-40B4-BE49-F238E27FC236}">
                  <a16:creationId xmlns:a16="http://schemas.microsoft.com/office/drawing/2014/main" id="{F8399A7C-431A-4463-A811-CED8BBD58C3F}"/>
                </a:ext>
              </a:extLst>
            </xdr:cNvPr>
            <xdr:cNvCxnSpPr>
              <a:cxnSpLocks/>
            </xdr:cNvCxnSpPr>
          </xdr:nvCxnSpPr>
          <xdr:spPr>
            <a:xfrm flipH="1">
              <a:off x="811636" y="4535647"/>
              <a:ext cx="26565" cy="0"/>
            </a:xfrm>
            <a:prstGeom prst="line">
              <a:avLst/>
            </a:prstGeom>
            <a:ln w="38100"/>
          </xdr:spPr>
          <xdr:style>
            <a:lnRef idx="3">
              <a:schemeClr val="accent1"/>
            </a:lnRef>
            <a:fillRef idx="0">
              <a:schemeClr val="accent1"/>
            </a:fillRef>
            <a:effectRef idx="2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27" name="Rechte verbindingslijn 26">
            <a:extLst>
              <a:ext uri="{FF2B5EF4-FFF2-40B4-BE49-F238E27FC236}">
                <a16:creationId xmlns:a16="http://schemas.microsoft.com/office/drawing/2014/main" id="{B601C891-01E4-41DD-A149-0F5110D0B895}"/>
              </a:ext>
            </a:extLst>
          </xdr:cNvPr>
          <xdr:cNvCxnSpPr>
            <a:cxnSpLocks/>
          </xdr:cNvCxnSpPr>
        </xdr:nvCxnSpPr>
        <xdr:spPr>
          <a:xfrm>
            <a:off x="10474068" y="4147497"/>
            <a:ext cx="849384" cy="0"/>
          </a:xfrm>
          <a:prstGeom prst="line">
            <a:avLst/>
          </a:prstGeom>
          <a:ln w="38100"/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Rechte verbindingslijn 27">
            <a:extLst>
              <a:ext uri="{FF2B5EF4-FFF2-40B4-BE49-F238E27FC236}">
                <a16:creationId xmlns:a16="http://schemas.microsoft.com/office/drawing/2014/main" id="{48FFFE5F-EBCF-4620-9111-66577D414B10}"/>
              </a:ext>
            </a:extLst>
          </xdr:cNvPr>
          <xdr:cNvCxnSpPr>
            <a:cxnSpLocks/>
          </xdr:cNvCxnSpPr>
        </xdr:nvCxnSpPr>
        <xdr:spPr>
          <a:xfrm flipH="1">
            <a:off x="10483256" y="4327947"/>
            <a:ext cx="840196" cy="0"/>
          </a:xfrm>
          <a:prstGeom prst="line">
            <a:avLst/>
          </a:prstGeom>
          <a:ln w="38100"/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Rechte verbindingslijn 28">
            <a:extLst>
              <a:ext uri="{FF2B5EF4-FFF2-40B4-BE49-F238E27FC236}">
                <a16:creationId xmlns:a16="http://schemas.microsoft.com/office/drawing/2014/main" id="{C25072A0-B822-4AAE-A33C-7472E6A0AD61}"/>
              </a:ext>
            </a:extLst>
          </xdr:cNvPr>
          <xdr:cNvCxnSpPr>
            <a:cxnSpLocks/>
          </xdr:cNvCxnSpPr>
        </xdr:nvCxnSpPr>
        <xdr:spPr>
          <a:xfrm>
            <a:off x="10898760" y="4327947"/>
            <a:ext cx="0" cy="445629"/>
          </a:xfrm>
          <a:prstGeom prst="line">
            <a:avLst/>
          </a:prstGeom>
          <a:ln w="317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Rechte verbindingslijn 29">
            <a:extLst>
              <a:ext uri="{FF2B5EF4-FFF2-40B4-BE49-F238E27FC236}">
                <a16:creationId xmlns:a16="http://schemas.microsoft.com/office/drawing/2014/main" id="{98EFFE50-2457-4666-AD5C-1A4729E98C93}"/>
              </a:ext>
            </a:extLst>
          </xdr:cNvPr>
          <xdr:cNvCxnSpPr>
            <a:cxnSpLocks/>
          </xdr:cNvCxnSpPr>
        </xdr:nvCxnSpPr>
        <xdr:spPr>
          <a:xfrm>
            <a:off x="10228904" y="3674335"/>
            <a:ext cx="663215" cy="0"/>
          </a:xfrm>
          <a:prstGeom prst="line">
            <a:avLst/>
          </a:prstGeom>
          <a:ln w="38100"/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Rechte verbindingslijn 30">
            <a:extLst>
              <a:ext uri="{FF2B5EF4-FFF2-40B4-BE49-F238E27FC236}">
                <a16:creationId xmlns:a16="http://schemas.microsoft.com/office/drawing/2014/main" id="{2574A9B3-4DFE-4538-840B-8A52CF4C059D}"/>
              </a:ext>
            </a:extLst>
          </xdr:cNvPr>
          <xdr:cNvCxnSpPr>
            <a:cxnSpLocks/>
          </xdr:cNvCxnSpPr>
        </xdr:nvCxnSpPr>
        <xdr:spPr>
          <a:xfrm flipH="1" flipV="1">
            <a:off x="10885478" y="3674335"/>
            <a:ext cx="13282" cy="457198"/>
          </a:xfrm>
          <a:prstGeom prst="line">
            <a:avLst/>
          </a:prstGeom>
          <a:ln w="317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" name="Tekstvak 105">
            <a:extLst>
              <a:ext uri="{FF2B5EF4-FFF2-40B4-BE49-F238E27FC236}">
                <a16:creationId xmlns:a16="http://schemas.microsoft.com/office/drawing/2014/main" id="{3CE5826A-F7EA-4FDE-884F-6AA60FBA0BA3}"/>
              </a:ext>
            </a:extLst>
          </xdr:cNvPr>
          <xdr:cNvSpPr txBox="1"/>
        </xdr:nvSpPr>
        <xdr:spPr>
          <a:xfrm>
            <a:off x="8605965" y="4289857"/>
            <a:ext cx="2003268" cy="120032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nl-NL"/>
              <a:t>Weerstand temperatuur interieur-constructie</a:t>
            </a:r>
          </a:p>
        </xdr:txBody>
      </xdr:sp>
    </xdr:grpSp>
    <xdr:clientData/>
  </xdr:twoCellAnchor>
  <xdr:twoCellAnchor>
    <xdr:from>
      <xdr:col>2</xdr:col>
      <xdr:colOff>567344</xdr:colOff>
      <xdr:row>17</xdr:row>
      <xdr:rowOff>32576</xdr:rowOff>
    </xdr:from>
    <xdr:to>
      <xdr:col>2</xdr:col>
      <xdr:colOff>1587880</xdr:colOff>
      <xdr:row>19</xdr:row>
      <xdr:rowOff>20908</xdr:rowOff>
    </xdr:to>
    <xdr:sp macro="" textlink="">
      <xdr:nvSpPr>
        <xdr:cNvPr id="21" name="Tekstvak 106">
          <a:extLst>
            <a:ext uri="{FF2B5EF4-FFF2-40B4-BE49-F238E27FC236}">
              <a16:creationId xmlns:a16="http://schemas.microsoft.com/office/drawing/2014/main" id="{0554A8D3-9648-4348-9B05-EC85AF457626}"/>
            </a:ext>
          </a:extLst>
        </xdr:cNvPr>
        <xdr:cNvSpPr txBox="1"/>
      </xdr:nvSpPr>
      <xdr:spPr>
        <a:xfrm>
          <a:off x="1786544" y="3271076"/>
          <a:ext cx="1020536" cy="369332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nl-NL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nl-NL"/>
            <a:t>T_buiten</a:t>
          </a:r>
        </a:p>
      </xdr:txBody>
    </xdr:sp>
    <xdr:clientData/>
  </xdr:twoCellAnchor>
  <xdr:twoCellAnchor>
    <xdr:from>
      <xdr:col>6</xdr:col>
      <xdr:colOff>511260</xdr:colOff>
      <xdr:row>21</xdr:row>
      <xdr:rowOff>37654</xdr:rowOff>
    </xdr:from>
    <xdr:to>
      <xdr:col>9</xdr:col>
      <xdr:colOff>402204</xdr:colOff>
      <xdr:row>23</xdr:row>
      <xdr:rowOff>92882</xdr:rowOff>
    </xdr:to>
    <xdr:sp macro="" textlink="">
      <xdr:nvSpPr>
        <xdr:cNvPr id="22" name="Rechthoek 21">
          <a:extLst>
            <a:ext uri="{FF2B5EF4-FFF2-40B4-BE49-F238E27FC236}">
              <a16:creationId xmlns:a16="http://schemas.microsoft.com/office/drawing/2014/main" id="{F288020B-F640-44CA-8696-105851FFCCE8}"/>
            </a:ext>
          </a:extLst>
        </xdr:cNvPr>
        <xdr:cNvSpPr/>
      </xdr:nvSpPr>
      <xdr:spPr>
        <a:xfrm>
          <a:off x="6207210" y="4038154"/>
          <a:ext cx="1719744" cy="43622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nl-NL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nl-NL"/>
            <a:t>R2</a:t>
          </a:r>
        </a:p>
      </xdr:txBody>
    </xdr:sp>
    <xdr:clientData/>
  </xdr:twoCellAnchor>
  <xdr:twoCellAnchor>
    <xdr:from>
      <xdr:col>6</xdr:col>
      <xdr:colOff>219075</xdr:colOff>
      <xdr:row>14</xdr:row>
      <xdr:rowOff>113861</xdr:rowOff>
    </xdr:from>
    <xdr:to>
      <xdr:col>6</xdr:col>
      <xdr:colOff>486028</xdr:colOff>
      <xdr:row>15</xdr:row>
      <xdr:rowOff>38100</xdr:rowOff>
    </xdr:to>
    <xdr:cxnSp macro="">
      <xdr:nvCxnSpPr>
        <xdr:cNvPr id="23" name="Rechte verbindingslijn met pijl 22">
          <a:extLst>
            <a:ext uri="{FF2B5EF4-FFF2-40B4-BE49-F238E27FC236}">
              <a16:creationId xmlns:a16="http://schemas.microsoft.com/office/drawing/2014/main" id="{C06559CE-B010-4931-9536-F2510F22B41F}"/>
            </a:ext>
          </a:extLst>
        </xdr:cNvPr>
        <xdr:cNvCxnSpPr>
          <a:cxnSpLocks/>
        </xdr:cNvCxnSpPr>
      </xdr:nvCxnSpPr>
      <xdr:spPr>
        <a:xfrm flipV="1">
          <a:off x="5915025" y="2780861"/>
          <a:ext cx="266953" cy="11473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133350</xdr:colOff>
      <xdr:row>15</xdr:row>
      <xdr:rowOff>34877</xdr:rowOff>
    </xdr:from>
    <xdr:to>
      <xdr:col>10</xdr:col>
      <xdr:colOff>314444</xdr:colOff>
      <xdr:row>18</xdr:row>
      <xdr:rowOff>109708</xdr:rowOff>
    </xdr:to>
    <xdr:sp macro="" textlink="">
      <xdr:nvSpPr>
        <xdr:cNvPr id="24" name="Tekstvak 25">
          <a:extLst>
            <a:ext uri="{FF2B5EF4-FFF2-40B4-BE49-F238E27FC236}">
              <a16:creationId xmlns:a16="http://schemas.microsoft.com/office/drawing/2014/main" id="{6DE45D64-8EFA-4DC3-8415-DBB9E3253BAC}"/>
            </a:ext>
          </a:extLst>
        </xdr:cNvPr>
        <xdr:cNvSpPr txBox="1"/>
      </xdr:nvSpPr>
      <xdr:spPr>
        <a:xfrm>
          <a:off x="4676775" y="2892377"/>
          <a:ext cx="3772019" cy="64633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nl-NL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nl-NL"/>
            <a:t>De warmtecapaciteit van de geveldelen is beperkt.</a:t>
          </a:r>
        </a:p>
        <a:p>
          <a:r>
            <a:rPr lang="nl-NL"/>
            <a:t>Warmte komt daardoor vrijwel zonder vertraging binnen</a:t>
          </a:r>
        </a:p>
      </xdr:txBody>
    </xdr:sp>
    <xdr:clientData/>
  </xdr:twoCellAnchor>
  <xdr:twoCellAnchor>
    <xdr:from>
      <xdr:col>8</xdr:col>
      <xdr:colOff>38100</xdr:colOff>
      <xdr:row>24</xdr:row>
      <xdr:rowOff>19050</xdr:rowOff>
    </xdr:from>
    <xdr:to>
      <xdr:col>8</xdr:col>
      <xdr:colOff>209550</xdr:colOff>
      <xdr:row>24</xdr:row>
      <xdr:rowOff>171451</xdr:rowOff>
    </xdr:to>
    <xdr:cxnSp macro="">
      <xdr:nvCxnSpPr>
        <xdr:cNvPr id="54" name="Rechte verbindingslijn met pijl 53">
          <a:extLst>
            <a:ext uri="{FF2B5EF4-FFF2-40B4-BE49-F238E27FC236}">
              <a16:creationId xmlns:a16="http://schemas.microsoft.com/office/drawing/2014/main" id="{48D13F47-CC64-4E32-999E-26CF6D0E8976}"/>
            </a:ext>
          </a:extLst>
        </xdr:cNvPr>
        <xdr:cNvCxnSpPr>
          <a:cxnSpLocks/>
        </xdr:cNvCxnSpPr>
      </xdr:nvCxnSpPr>
      <xdr:spPr>
        <a:xfrm flipV="1">
          <a:off x="6953250" y="4591050"/>
          <a:ext cx="171450" cy="15240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504825</xdr:colOff>
      <xdr:row>20</xdr:row>
      <xdr:rowOff>85726</xdr:rowOff>
    </xdr:from>
    <xdr:to>
      <xdr:col>13</xdr:col>
      <xdr:colOff>542925</xdr:colOff>
      <xdr:row>21</xdr:row>
      <xdr:rowOff>114300</xdr:rowOff>
    </xdr:to>
    <xdr:cxnSp macro="">
      <xdr:nvCxnSpPr>
        <xdr:cNvPr id="56" name="Rechte verbindingslijn met pijl 55">
          <a:extLst>
            <a:ext uri="{FF2B5EF4-FFF2-40B4-BE49-F238E27FC236}">
              <a16:creationId xmlns:a16="http://schemas.microsoft.com/office/drawing/2014/main" id="{BF902E58-1BDA-4F04-A5F7-EBB26403071F}"/>
            </a:ext>
          </a:extLst>
        </xdr:cNvPr>
        <xdr:cNvCxnSpPr>
          <a:cxnSpLocks/>
        </xdr:cNvCxnSpPr>
      </xdr:nvCxnSpPr>
      <xdr:spPr>
        <a:xfrm flipV="1">
          <a:off x="10467975" y="3895726"/>
          <a:ext cx="38100" cy="21907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566737</xdr:colOff>
      <xdr:row>9</xdr:row>
      <xdr:rowOff>90487</xdr:rowOff>
    </xdr:from>
    <xdr:to>
      <xdr:col>26</xdr:col>
      <xdr:colOff>261937</xdr:colOff>
      <xdr:row>23</xdr:row>
      <xdr:rowOff>166687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2863828A-9D00-4136-B30D-691E67BAA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561975</xdr:colOff>
      <xdr:row>24</xdr:row>
      <xdr:rowOff>76200</xdr:rowOff>
    </xdr:from>
    <xdr:to>
      <xdr:col>26</xdr:col>
      <xdr:colOff>257175</xdr:colOff>
      <xdr:row>38</xdr:row>
      <xdr:rowOff>152400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D32B211D-42BA-4916-A289-FC1D39D4B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opendata.cbs.nl/statline/" TargetMode="External"/><Relationship Id="rId1" Type="http://schemas.openxmlformats.org/officeDocument/2006/relationships/hyperlink" Target="https://publications.tno.nl/publication/34629245/45C6Dl/e13075.pdf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2157C-038D-4D68-9D7F-9AD4F303D036}">
  <dimension ref="B1:R129"/>
  <sheetViews>
    <sheetView workbookViewId="0">
      <selection activeCell="K90" sqref="K90"/>
    </sheetView>
  </sheetViews>
  <sheetFormatPr defaultRowHeight="15" x14ac:dyDescent="0.25"/>
  <cols>
    <col min="2" max="2" width="3.140625" bestFit="1" customWidth="1"/>
    <col min="3" max="3" width="25.7109375" bestFit="1" customWidth="1"/>
    <col min="4" max="4" width="10.5703125" bestFit="1" customWidth="1"/>
    <col min="5" max="5" width="9.7109375" bestFit="1" customWidth="1"/>
    <col min="8" max="8" width="16.7109375" bestFit="1" customWidth="1"/>
    <col min="11" max="11" width="14.7109375" bestFit="1" customWidth="1"/>
    <col min="12" max="12" width="23" customWidth="1"/>
    <col min="13" max="13" width="29" bestFit="1" customWidth="1"/>
    <col min="14" max="14" width="13.7109375" bestFit="1" customWidth="1"/>
  </cols>
  <sheetData>
    <row r="1" spans="2:15" x14ac:dyDescent="0.25">
      <c r="H1" t="s">
        <v>0</v>
      </c>
    </row>
    <row r="2" spans="2:15" x14ac:dyDescent="0.25">
      <c r="C2" t="s">
        <v>1</v>
      </c>
      <c r="D2">
        <v>12</v>
      </c>
      <c r="E2" t="s">
        <v>2</v>
      </c>
      <c r="H2" t="s">
        <v>3</v>
      </c>
      <c r="I2" t="s">
        <v>4</v>
      </c>
      <c r="K2" t="s">
        <v>175</v>
      </c>
    </row>
    <row r="3" spans="2:15" x14ac:dyDescent="0.25">
      <c r="C3" t="s">
        <v>5</v>
      </c>
      <c r="D3">
        <v>60</v>
      </c>
      <c r="E3" t="s">
        <v>2</v>
      </c>
      <c r="H3">
        <v>25</v>
      </c>
      <c r="I3">
        <v>15</v>
      </c>
    </row>
    <row r="4" spans="2:15" x14ac:dyDescent="0.25">
      <c r="C4" t="s">
        <v>6</v>
      </c>
      <c r="D4" s="19">
        <v>4186</v>
      </c>
      <c r="E4" t="s">
        <v>7</v>
      </c>
      <c r="H4">
        <v>40</v>
      </c>
      <c r="I4">
        <v>25</v>
      </c>
    </row>
    <row r="5" spans="2:15" x14ac:dyDescent="0.25">
      <c r="H5">
        <v>50</v>
      </c>
      <c r="I5">
        <v>30</v>
      </c>
    </row>
    <row r="6" spans="2:15" x14ac:dyDescent="0.25">
      <c r="L6" t="s">
        <v>8</v>
      </c>
    </row>
    <row r="7" spans="2:15" x14ac:dyDescent="0.25">
      <c r="C7" t="s">
        <v>9</v>
      </c>
    </row>
    <row r="8" spans="2:15" x14ac:dyDescent="0.25">
      <c r="C8">
        <v>1</v>
      </c>
      <c r="D8" t="s">
        <v>10</v>
      </c>
    </row>
    <row r="9" spans="2:15" x14ac:dyDescent="0.25">
      <c r="C9">
        <v>2</v>
      </c>
      <c r="D9" t="s">
        <v>11</v>
      </c>
    </row>
    <row r="10" spans="2:15" ht="15.75" thickBot="1" x14ac:dyDescent="0.3">
      <c r="K10" s="22"/>
      <c r="L10" s="22"/>
      <c r="M10" s="22"/>
      <c r="N10" s="22"/>
      <c r="O10" s="22"/>
    </row>
    <row r="11" spans="2:15" ht="90" x14ac:dyDescent="0.25">
      <c r="B11" s="32" t="s">
        <v>12</v>
      </c>
      <c r="C11" s="32" t="s">
        <v>13</v>
      </c>
      <c r="D11" s="32" t="s">
        <v>14</v>
      </c>
      <c r="E11" s="32" t="s">
        <v>15</v>
      </c>
      <c r="F11" s="32" t="s">
        <v>16</v>
      </c>
      <c r="G11" s="32" t="s">
        <v>17</v>
      </c>
      <c r="H11" s="16" t="s">
        <v>18</v>
      </c>
      <c r="I11" s="32" t="s">
        <v>19</v>
      </c>
      <c r="J11" s="18" t="s">
        <v>20</v>
      </c>
      <c r="K11" s="22" t="s">
        <v>21</v>
      </c>
      <c r="L11" s="22" t="s">
        <v>22</v>
      </c>
      <c r="M11" s="22" t="s">
        <v>23</v>
      </c>
      <c r="N11" s="22" t="s">
        <v>24</v>
      </c>
      <c r="O11" s="22" t="s">
        <v>25</v>
      </c>
    </row>
    <row r="12" spans="2:15" ht="15.75" thickBot="1" x14ac:dyDescent="0.3">
      <c r="B12" s="33"/>
      <c r="C12" s="33"/>
      <c r="D12" s="33"/>
      <c r="E12" s="33"/>
      <c r="F12" s="33"/>
      <c r="G12" s="33"/>
      <c r="H12" s="15"/>
      <c r="I12" s="33"/>
      <c r="J12" s="18"/>
    </row>
    <row r="13" spans="2:15" ht="30.75" thickBot="1" x14ac:dyDescent="0.3">
      <c r="B13" s="15"/>
      <c r="C13" s="17"/>
      <c r="D13" s="14" t="s">
        <v>26</v>
      </c>
      <c r="E13" s="14" t="s">
        <v>27</v>
      </c>
      <c r="F13" s="14" t="s">
        <v>28</v>
      </c>
      <c r="G13" s="14" t="s">
        <v>28</v>
      </c>
      <c r="H13" s="14"/>
      <c r="I13" s="14"/>
      <c r="J13" s="18"/>
    </row>
    <row r="14" spans="2:15" ht="15.75" thickBot="1" x14ac:dyDescent="0.3">
      <c r="B14" s="15">
        <v>1</v>
      </c>
      <c r="C14" s="17">
        <v>0</v>
      </c>
      <c r="D14" s="14">
        <v>0</v>
      </c>
      <c r="E14" s="14">
        <v>0</v>
      </c>
      <c r="F14" s="14">
        <v>0</v>
      </c>
      <c r="G14" s="14">
        <v>0</v>
      </c>
      <c r="H14" s="14"/>
      <c r="I14" s="14"/>
      <c r="J14" s="18">
        <f>IF(D14&lt;10,D14,"")</f>
        <v>0</v>
      </c>
      <c r="M14" t="str">
        <f t="shared" ref="M14:M15" si="0">IF(J14&gt;0,J14+L14,"")</f>
        <v/>
      </c>
    </row>
    <row r="15" spans="2:15" ht="15.75" thickBot="1" x14ac:dyDescent="0.3">
      <c r="B15" s="15">
        <v>2</v>
      </c>
      <c r="C15" s="17">
        <v>0.29166666666666669</v>
      </c>
      <c r="D15" s="14">
        <v>4</v>
      </c>
      <c r="E15" s="14">
        <v>3.5</v>
      </c>
      <c r="F15" s="14">
        <v>40</v>
      </c>
      <c r="G15" s="14">
        <v>25</v>
      </c>
      <c r="H15" s="14">
        <f>D15/E15</f>
        <v>1.1428571428571428</v>
      </c>
      <c r="I15" s="14" t="s">
        <v>29</v>
      </c>
      <c r="J15" s="18">
        <f t="shared" ref="J15:J63" si="1">IF(D15&lt;10,D15,"")</f>
        <v>4</v>
      </c>
      <c r="K15">
        <f t="shared" ref="K15:K46" si="2">IF(G15=H$3,I$3,I$4)/60</f>
        <v>0.25</v>
      </c>
      <c r="L15">
        <f>K15*E15</f>
        <v>0.875</v>
      </c>
      <c r="M15">
        <f t="shared" si="0"/>
        <v>4.875</v>
      </c>
      <c r="N15">
        <f xml:space="preserve"> M15*(F15-$D$2)*D$4</f>
        <v>571389</v>
      </c>
    </row>
    <row r="16" spans="2:15" ht="15.75" thickBot="1" x14ac:dyDescent="0.3">
      <c r="B16" s="15">
        <v>3</v>
      </c>
      <c r="C16" s="17">
        <v>0.30208333333333331</v>
      </c>
      <c r="D16" s="14">
        <v>100</v>
      </c>
      <c r="E16" s="14">
        <v>7.5</v>
      </c>
      <c r="F16" s="14">
        <v>40</v>
      </c>
      <c r="G16" s="14">
        <v>40</v>
      </c>
      <c r="H16" s="14">
        <f t="shared" ref="H16:H63" si="3">D16/E16</f>
        <v>13.333333333333334</v>
      </c>
      <c r="I16" s="14" t="s">
        <v>30</v>
      </c>
      <c r="J16" s="18" t="str">
        <f t="shared" si="1"/>
        <v/>
      </c>
      <c r="K16">
        <f t="shared" si="2"/>
        <v>0.41666666666666669</v>
      </c>
      <c r="L16">
        <f t="shared" ref="L16:L63" si="4">K16*E16</f>
        <v>3.125</v>
      </c>
      <c r="M16" t="str">
        <f>IF(AND(J16&lt;&gt;"",J16&gt;0),J16+L16,"")</f>
        <v/>
      </c>
      <c r="O16">
        <f xml:space="preserve"> (D16+L16)*(F16-$D$2)*D$4</f>
        <v>12087075</v>
      </c>
    </row>
    <row r="17" spans="2:14" ht="15.75" thickBot="1" x14ac:dyDescent="0.3">
      <c r="B17" s="15">
        <v>4</v>
      </c>
      <c r="C17" s="17">
        <v>0.3125</v>
      </c>
      <c r="D17" s="14">
        <v>4</v>
      </c>
      <c r="E17" s="14">
        <v>3.5</v>
      </c>
      <c r="F17" s="14">
        <v>40</v>
      </c>
      <c r="G17" s="14">
        <v>25</v>
      </c>
      <c r="H17" s="14">
        <f t="shared" si="3"/>
        <v>1.1428571428571428</v>
      </c>
      <c r="I17" s="14" t="s">
        <v>29</v>
      </c>
      <c r="J17" s="18">
        <f t="shared" si="1"/>
        <v>4</v>
      </c>
      <c r="K17">
        <f t="shared" si="2"/>
        <v>0.25</v>
      </c>
      <c r="L17">
        <f t="shared" si="4"/>
        <v>0.875</v>
      </c>
      <c r="M17">
        <f t="shared" ref="M17:M63" si="5">IF(AND(J17&lt;&gt;"",J17&gt;0),J17+L17,"")</f>
        <v>4.875</v>
      </c>
      <c r="N17">
        <f t="shared" ref="N17:N61" si="6" xml:space="preserve"> M17*(F17-$D$2)*D$4</f>
        <v>571389</v>
      </c>
    </row>
    <row r="18" spans="2:14" ht="15.75" thickBot="1" x14ac:dyDescent="0.3">
      <c r="B18" s="15">
        <v>5</v>
      </c>
      <c r="C18" s="17">
        <v>0.33333333333333331</v>
      </c>
      <c r="D18" s="14">
        <v>1</v>
      </c>
      <c r="E18" s="14">
        <v>3.5</v>
      </c>
      <c r="F18" s="14">
        <v>55</v>
      </c>
      <c r="G18" s="14">
        <v>40</v>
      </c>
      <c r="H18" s="14">
        <f t="shared" si="3"/>
        <v>0.2857142857142857</v>
      </c>
      <c r="I18" s="14" t="s">
        <v>31</v>
      </c>
      <c r="J18" s="18">
        <f t="shared" si="1"/>
        <v>1</v>
      </c>
      <c r="K18">
        <f t="shared" si="2"/>
        <v>0.41666666666666669</v>
      </c>
      <c r="L18">
        <f t="shared" si="4"/>
        <v>1.4583333333333335</v>
      </c>
      <c r="M18">
        <f t="shared" si="5"/>
        <v>2.4583333333333335</v>
      </c>
      <c r="N18">
        <f t="shared" si="6"/>
        <v>442495.08333333337</v>
      </c>
    </row>
    <row r="19" spans="2:14" ht="30.75" thickBot="1" x14ac:dyDescent="0.3">
      <c r="B19" s="15">
        <v>6</v>
      </c>
      <c r="C19" s="17">
        <v>0.375</v>
      </c>
      <c r="D19" s="14">
        <v>1</v>
      </c>
      <c r="E19" s="14">
        <v>3.5</v>
      </c>
      <c r="F19" s="14">
        <v>40</v>
      </c>
      <c r="G19" s="14">
        <v>25</v>
      </c>
      <c r="H19" s="14">
        <f t="shared" si="3"/>
        <v>0.2857142857142857</v>
      </c>
      <c r="I19" s="14" t="s">
        <v>32</v>
      </c>
      <c r="J19" s="18">
        <f t="shared" si="1"/>
        <v>1</v>
      </c>
      <c r="K19">
        <f t="shared" si="2"/>
        <v>0.25</v>
      </c>
      <c r="L19">
        <f t="shared" si="4"/>
        <v>0.875</v>
      </c>
      <c r="M19">
        <f t="shared" si="5"/>
        <v>1.875</v>
      </c>
      <c r="N19">
        <f t="shared" si="6"/>
        <v>219765</v>
      </c>
    </row>
    <row r="20" spans="2:14" ht="30.75" thickBot="1" x14ac:dyDescent="0.3">
      <c r="B20" s="15">
        <v>7</v>
      </c>
      <c r="C20" s="17">
        <v>0.37847222222222227</v>
      </c>
      <c r="D20" s="14">
        <v>1</v>
      </c>
      <c r="E20" s="14">
        <v>3.5</v>
      </c>
      <c r="F20" s="14">
        <v>40</v>
      </c>
      <c r="G20" s="14">
        <v>25</v>
      </c>
      <c r="H20" s="14">
        <f t="shared" si="3"/>
        <v>0.2857142857142857</v>
      </c>
      <c r="I20" s="14" t="s">
        <v>32</v>
      </c>
      <c r="J20" s="18">
        <f t="shared" si="1"/>
        <v>1</v>
      </c>
      <c r="K20">
        <f t="shared" si="2"/>
        <v>0.25</v>
      </c>
      <c r="L20">
        <f t="shared" si="4"/>
        <v>0.875</v>
      </c>
      <c r="M20">
        <f t="shared" si="5"/>
        <v>1.875</v>
      </c>
      <c r="N20">
        <f t="shared" si="6"/>
        <v>219765</v>
      </c>
    </row>
    <row r="21" spans="2:14" ht="15.75" thickBot="1" x14ac:dyDescent="0.3">
      <c r="B21" s="15">
        <v>8</v>
      </c>
      <c r="C21" s="17">
        <v>0.41666666666666669</v>
      </c>
      <c r="D21" s="14">
        <v>1</v>
      </c>
      <c r="E21" s="14">
        <v>3.5</v>
      </c>
      <c r="F21" s="14">
        <v>55</v>
      </c>
      <c r="G21" s="14">
        <v>40</v>
      </c>
      <c r="H21" s="14">
        <f t="shared" si="3"/>
        <v>0.2857142857142857</v>
      </c>
      <c r="I21" s="14" t="s">
        <v>31</v>
      </c>
      <c r="J21" s="18">
        <f t="shared" si="1"/>
        <v>1</v>
      </c>
      <c r="K21">
        <f t="shared" si="2"/>
        <v>0.41666666666666669</v>
      </c>
      <c r="L21">
        <f t="shared" si="4"/>
        <v>1.4583333333333335</v>
      </c>
      <c r="M21">
        <f t="shared" si="5"/>
        <v>2.4583333333333335</v>
      </c>
      <c r="N21">
        <f t="shared" si="6"/>
        <v>442495.08333333337</v>
      </c>
    </row>
    <row r="22" spans="2:14" ht="30.75" thickBot="1" x14ac:dyDescent="0.3">
      <c r="B22" s="15">
        <v>9</v>
      </c>
      <c r="C22" s="17">
        <v>0.4375</v>
      </c>
      <c r="D22" s="14">
        <v>1</v>
      </c>
      <c r="E22" s="14">
        <v>3.5</v>
      </c>
      <c r="F22" s="14">
        <v>40</v>
      </c>
      <c r="G22" s="14">
        <v>25</v>
      </c>
      <c r="H22" s="14">
        <f t="shared" si="3"/>
        <v>0.2857142857142857</v>
      </c>
      <c r="I22" s="14" t="s">
        <v>32</v>
      </c>
      <c r="J22" s="18">
        <f t="shared" si="1"/>
        <v>1</v>
      </c>
      <c r="K22">
        <f t="shared" si="2"/>
        <v>0.25</v>
      </c>
      <c r="L22">
        <f t="shared" si="4"/>
        <v>0.875</v>
      </c>
      <c r="M22">
        <f t="shared" si="5"/>
        <v>1.875</v>
      </c>
      <c r="N22">
        <f t="shared" si="6"/>
        <v>219765</v>
      </c>
    </row>
    <row r="23" spans="2:14" ht="15.75" thickBot="1" x14ac:dyDescent="0.3">
      <c r="B23" s="15">
        <v>10</v>
      </c>
      <c r="C23" s="17">
        <v>0.44097222222222227</v>
      </c>
      <c r="D23" s="14">
        <v>0.5</v>
      </c>
      <c r="E23" s="14">
        <v>3.5</v>
      </c>
      <c r="F23" s="14">
        <v>40</v>
      </c>
      <c r="G23" s="14">
        <v>25</v>
      </c>
      <c r="H23" s="14">
        <f t="shared" si="3"/>
        <v>0.14285714285714285</v>
      </c>
      <c r="I23" s="14" t="s">
        <v>33</v>
      </c>
      <c r="J23" s="18">
        <f t="shared" si="1"/>
        <v>0.5</v>
      </c>
      <c r="K23">
        <f t="shared" si="2"/>
        <v>0.25</v>
      </c>
      <c r="L23">
        <f t="shared" si="4"/>
        <v>0.875</v>
      </c>
      <c r="M23">
        <f t="shared" si="5"/>
        <v>1.375</v>
      </c>
      <c r="N23">
        <f t="shared" si="6"/>
        <v>161161</v>
      </c>
    </row>
    <row r="24" spans="2:14" ht="30.75" thickBot="1" x14ac:dyDescent="0.3">
      <c r="B24" s="15">
        <v>11</v>
      </c>
      <c r="C24" s="17">
        <v>0.44791666666666669</v>
      </c>
      <c r="D24" s="14">
        <v>1</v>
      </c>
      <c r="E24" s="14">
        <v>3.5</v>
      </c>
      <c r="F24" s="14">
        <v>40</v>
      </c>
      <c r="G24" s="14">
        <v>25</v>
      </c>
      <c r="H24" s="14">
        <f t="shared" si="3"/>
        <v>0.2857142857142857</v>
      </c>
      <c r="I24" s="14" t="s">
        <v>32</v>
      </c>
      <c r="J24" s="18">
        <f t="shared" si="1"/>
        <v>1</v>
      </c>
      <c r="K24">
        <f t="shared" si="2"/>
        <v>0.25</v>
      </c>
      <c r="L24">
        <f t="shared" si="4"/>
        <v>0.875</v>
      </c>
      <c r="M24">
        <f t="shared" si="5"/>
        <v>1.875</v>
      </c>
      <c r="N24">
        <f t="shared" si="6"/>
        <v>219765</v>
      </c>
    </row>
    <row r="25" spans="2:14" ht="15.75" thickBot="1" x14ac:dyDescent="0.3">
      <c r="B25" s="15">
        <v>12</v>
      </c>
      <c r="C25" s="17">
        <v>0.45833333333333331</v>
      </c>
      <c r="D25" s="14">
        <v>1</v>
      </c>
      <c r="E25" s="14">
        <v>3.5</v>
      </c>
      <c r="F25" s="14">
        <v>55</v>
      </c>
      <c r="G25" s="14">
        <v>40</v>
      </c>
      <c r="H25" s="14">
        <f t="shared" si="3"/>
        <v>0.2857142857142857</v>
      </c>
      <c r="I25" s="14" t="s">
        <v>31</v>
      </c>
      <c r="J25" s="18">
        <f t="shared" si="1"/>
        <v>1</v>
      </c>
      <c r="K25">
        <f t="shared" si="2"/>
        <v>0.41666666666666669</v>
      </c>
      <c r="L25">
        <f t="shared" si="4"/>
        <v>1.4583333333333335</v>
      </c>
      <c r="M25">
        <f t="shared" si="5"/>
        <v>2.4583333333333335</v>
      </c>
      <c r="N25">
        <f t="shared" si="6"/>
        <v>442495.08333333337</v>
      </c>
    </row>
    <row r="26" spans="2:14" ht="30.75" thickBot="1" x14ac:dyDescent="0.3">
      <c r="B26" s="15">
        <v>13</v>
      </c>
      <c r="C26" s="17">
        <v>0.47916666666666669</v>
      </c>
      <c r="D26" s="14">
        <v>1</v>
      </c>
      <c r="E26" s="14">
        <v>3.5</v>
      </c>
      <c r="F26" s="14">
        <v>40</v>
      </c>
      <c r="G26" s="14">
        <v>25</v>
      </c>
      <c r="H26" s="14">
        <f t="shared" si="3"/>
        <v>0.2857142857142857</v>
      </c>
      <c r="I26" s="14" t="s">
        <v>32</v>
      </c>
      <c r="J26" s="18">
        <f t="shared" si="1"/>
        <v>1</v>
      </c>
      <c r="K26">
        <f t="shared" si="2"/>
        <v>0.25</v>
      </c>
      <c r="L26">
        <f t="shared" si="4"/>
        <v>0.875</v>
      </c>
      <c r="M26">
        <f t="shared" si="5"/>
        <v>1.875</v>
      </c>
      <c r="N26">
        <f t="shared" si="6"/>
        <v>219765</v>
      </c>
    </row>
    <row r="27" spans="2:14" ht="30.75" thickBot="1" x14ac:dyDescent="0.3">
      <c r="B27" s="15">
        <v>14</v>
      </c>
      <c r="C27" s="17">
        <v>0.48055555555555557</v>
      </c>
      <c r="D27" s="14">
        <v>1</v>
      </c>
      <c r="E27" s="14">
        <v>3.5</v>
      </c>
      <c r="F27" s="14">
        <v>40</v>
      </c>
      <c r="G27" s="14">
        <v>25</v>
      </c>
      <c r="H27" s="14">
        <f t="shared" si="3"/>
        <v>0.2857142857142857</v>
      </c>
      <c r="I27" s="14" t="s">
        <v>32</v>
      </c>
      <c r="J27" s="18">
        <f t="shared" si="1"/>
        <v>1</v>
      </c>
      <c r="K27">
        <f t="shared" si="2"/>
        <v>0.25</v>
      </c>
      <c r="L27">
        <f t="shared" si="4"/>
        <v>0.875</v>
      </c>
      <c r="M27">
        <f t="shared" si="5"/>
        <v>1.875</v>
      </c>
      <c r="N27">
        <f t="shared" si="6"/>
        <v>219765</v>
      </c>
    </row>
    <row r="28" spans="2:14" ht="30.75" thickBot="1" x14ac:dyDescent="0.3">
      <c r="B28" s="15">
        <v>15</v>
      </c>
      <c r="C28" s="17">
        <v>0.48194444444444445</v>
      </c>
      <c r="D28" s="14">
        <v>1</v>
      </c>
      <c r="E28" s="14">
        <v>3.5</v>
      </c>
      <c r="F28" s="14">
        <v>40</v>
      </c>
      <c r="G28" s="14">
        <v>25</v>
      </c>
      <c r="H28" s="14">
        <f t="shared" si="3"/>
        <v>0.2857142857142857</v>
      </c>
      <c r="I28" s="14" t="s">
        <v>32</v>
      </c>
      <c r="J28" s="18">
        <f t="shared" si="1"/>
        <v>1</v>
      </c>
      <c r="K28">
        <f t="shared" si="2"/>
        <v>0.25</v>
      </c>
      <c r="L28">
        <f t="shared" si="4"/>
        <v>0.875</v>
      </c>
      <c r="M28">
        <f t="shared" si="5"/>
        <v>1.875</v>
      </c>
      <c r="N28">
        <f t="shared" si="6"/>
        <v>219765</v>
      </c>
    </row>
    <row r="29" spans="2:14" ht="15.75" thickBot="1" x14ac:dyDescent="0.3">
      <c r="B29" s="15">
        <v>16</v>
      </c>
      <c r="C29" s="17">
        <v>0.54166666666666663</v>
      </c>
      <c r="D29" s="14">
        <v>5</v>
      </c>
      <c r="E29" s="14">
        <v>3.5</v>
      </c>
      <c r="F29" s="14">
        <v>55</v>
      </c>
      <c r="G29" s="14">
        <v>40</v>
      </c>
      <c r="H29" s="14">
        <f t="shared" si="3"/>
        <v>1.4285714285714286</v>
      </c>
      <c r="I29" s="14" t="s">
        <v>31</v>
      </c>
      <c r="J29" s="18">
        <f t="shared" si="1"/>
        <v>5</v>
      </c>
      <c r="K29">
        <f t="shared" si="2"/>
        <v>0.41666666666666669</v>
      </c>
      <c r="L29">
        <f t="shared" si="4"/>
        <v>1.4583333333333335</v>
      </c>
      <c r="M29">
        <f t="shared" si="5"/>
        <v>6.4583333333333339</v>
      </c>
      <c r="N29">
        <f t="shared" si="6"/>
        <v>1162487.0833333335</v>
      </c>
    </row>
    <row r="30" spans="2:14" ht="30.75" thickBot="1" x14ac:dyDescent="0.3">
      <c r="B30" s="15">
        <v>17</v>
      </c>
      <c r="C30" s="17">
        <v>0.54513888888888895</v>
      </c>
      <c r="D30" s="14">
        <v>5</v>
      </c>
      <c r="E30" s="14">
        <v>3.5</v>
      </c>
      <c r="F30" s="14">
        <v>55</v>
      </c>
      <c r="G30" s="14">
        <v>40</v>
      </c>
      <c r="H30" s="14">
        <f t="shared" si="3"/>
        <v>1.4285714285714286</v>
      </c>
      <c r="I30" s="14" t="s">
        <v>34</v>
      </c>
      <c r="J30" s="18">
        <f t="shared" si="1"/>
        <v>5</v>
      </c>
      <c r="K30">
        <f t="shared" si="2"/>
        <v>0.41666666666666669</v>
      </c>
      <c r="L30">
        <f t="shared" si="4"/>
        <v>1.4583333333333335</v>
      </c>
      <c r="M30">
        <f t="shared" si="5"/>
        <v>6.4583333333333339</v>
      </c>
      <c r="N30">
        <f t="shared" si="6"/>
        <v>1162487.0833333335</v>
      </c>
    </row>
    <row r="31" spans="2:14" ht="15.75" thickBot="1" x14ac:dyDescent="0.3">
      <c r="B31" s="15">
        <v>18</v>
      </c>
      <c r="C31" s="17">
        <v>0.55902777777777779</v>
      </c>
      <c r="D31" s="14">
        <v>2</v>
      </c>
      <c r="E31" s="14">
        <v>3.5</v>
      </c>
      <c r="F31" s="14">
        <v>55</v>
      </c>
      <c r="G31" s="14">
        <v>40</v>
      </c>
      <c r="H31" s="14">
        <f t="shared" si="3"/>
        <v>0.5714285714285714</v>
      </c>
      <c r="I31" s="14" t="s">
        <v>31</v>
      </c>
      <c r="J31" s="18">
        <f t="shared" si="1"/>
        <v>2</v>
      </c>
      <c r="K31">
        <f t="shared" si="2"/>
        <v>0.41666666666666669</v>
      </c>
      <c r="L31">
        <f t="shared" si="4"/>
        <v>1.4583333333333335</v>
      </c>
      <c r="M31">
        <f t="shared" si="5"/>
        <v>3.4583333333333335</v>
      </c>
      <c r="N31">
        <f t="shared" si="6"/>
        <v>622493.08333333337</v>
      </c>
    </row>
    <row r="32" spans="2:14" ht="15.75" thickBot="1" x14ac:dyDescent="0.3">
      <c r="B32" s="15">
        <v>19</v>
      </c>
      <c r="C32" s="17">
        <v>0.56041666666666667</v>
      </c>
      <c r="D32" s="14">
        <v>2</v>
      </c>
      <c r="E32" s="14">
        <v>3.5</v>
      </c>
      <c r="F32" s="14">
        <v>55</v>
      </c>
      <c r="G32" s="14">
        <v>40</v>
      </c>
      <c r="H32" s="14">
        <f t="shared" si="3"/>
        <v>0.5714285714285714</v>
      </c>
      <c r="I32" s="14" t="s">
        <v>31</v>
      </c>
      <c r="J32" s="18">
        <f t="shared" si="1"/>
        <v>2</v>
      </c>
      <c r="K32">
        <f t="shared" si="2"/>
        <v>0.41666666666666669</v>
      </c>
      <c r="L32">
        <f t="shared" si="4"/>
        <v>1.4583333333333335</v>
      </c>
      <c r="M32">
        <f t="shared" si="5"/>
        <v>3.4583333333333335</v>
      </c>
      <c r="N32">
        <f t="shared" si="6"/>
        <v>622493.08333333337</v>
      </c>
    </row>
    <row r="33" spans="2:14" ht="15.75" thickBot="1" x14ac:dyDescent="0.3">
      <c r="B33" s="15">
        <v>20</v>
      </c>
      <c r="C33" s="17">
        <v>0.56180555555555556</v>
      </c>
      <c r="D33" s="14">
        <v>2</v>
      </c>
      <c r="E33" s="14">
        <v>3.5</v>
      </c>
      <c r="F33" s="14">
        <v>55</v>
      </c>
      <c r="G33" s="14">
        <v>40</v>
      </c>
      <c r="H33" s="14">
        <f t="shared" si="3"/>
        <v>0.5714285714285714</v>
      </c>
      <c r="I33" s="14" t="s">
        <v>31</v>
      </c>
      <c r="J33" s="18">
        <f t="shared" si="1"/>
        <v>2</v>
      </c>
      <c r="K33">
        <f t="shared" si="2"/>
        <v>0.41666666666666669</v>
      </c>
      <c r="L33">
        <f t="shared" si="4"/>
        <v>1.4583333333333335</v>
      </c>
      <c r="M33">
        <f t="shared" si="5"/>
        <v>3.4583333333333335</v>
      </c>
      <c r="N33">
        <f t="shared" si="6"/>
        <v>622493.08333333337</v>
      </c>
    </row>
    <row r="34" spans="2:14" ht="30.75" thickBot="1" x14ac:dyDescent="0.3">
      <c r="B34" s="15">
        <v>21</v>
      </c>
      <c r="C34" s="17">
        <v>0.58333333333333337</v>
      </c>
      <c r="D34" s="14">
        <v>1</v>
      </c>
      <c r="E34" s="14">
        <v>3.5</v>
      </c>
      <c r="F34" s="14">
        <v>40</v>
      </c>
      <c r="G34" s="14">
        <v>25</v>
      </c>
      <c r="H34" s="14">
        <f t="shared" si="3"/>
        <v>0.2857142857142857</v>
      </c>
      <c r="I34" s="14" t="s">
        <v>32</v>
      </c>
      <c r="J34" s="18">
        <f t="shared" si="1"/>
        <v>1</v>
      </c>
      <c r="K34">
        <f t="shared" si="2"/>
        <v>0.25</v>
      </c>
      <c r="L34">
        <f t="shared" si="4"/>
        <v>0.875</v>
      </c>
      <c r="M34">
        <f t="shared" si="5"/>
        <v>1.875</v>
      </c>
      <c r="N34">
        <f t="shared" si="6"/>
        <v>219765</v>
      </c>
    </row>
    <row r="35" spans="2:14" ht="30.75" thickBot="1" x14ac:dyDescent="0.3">
      <c r="B35" s="15">
        <v>22</v>
      </c>
      <c r="C35" s="17">
        <v>0.60416666666666663</v>
      </c>
      <c r="D35" s="14">
        <v>1</v>
      </c>
      <c r="E35" s="14">
        <v>3.5</v>
      </c>
      <c r="F35" s="14">
        <v>40</v>
      </c>
      <c r="G35" s="14">
        <v>25</v>
      </c>
      <c r="H35" s="14">
        <f t="shared" si="3"/>
        <v>0.2857142857142857</v>
      </c>
      <c r="I35" s="14" t="s">
        <v>32</v>
      </c>
      <c r="J35" s="18">
        <f t="shared" si="1"/>
        <v>1</v>
      </c>
      <c r="K35">
        <f t="shared" si="2"/>
        <v>0.25</v>
      </c>
      <c r="L35">
        <f t="shared" si="4"/>
        <v>0.875</v>
      </c>
      <c r="M35">
        <f t="shared" si="5"/>
        <v>1.875</v>
      </c>
      <c r="N35">
        <f t="shared" si="6"/>
        <v>219765</v>
      </c>
    </row>
    <row r="36" spans="2:14" ht="15.75" thickBot="1" x14ac:dyDescent="0.3">
      <c r="B36" s="15">
        <v>23</v>
      </c>
      <c r="C36" s="17">
        <v>0.60763888888888895</v>
      </c>
      <c r="D36" s="14">
        <v>0.5</v>
      </c>
      <c r="E36" s="14">
        <v>3.5</v>
      </c>
      <c r="F36" s="14">
        <v>40</v>
      </c>
      <c r="G36" s="14">
        <v>25</v>
      </c>
      <c r="H36" s="14">
        <f t="shared" si="3"/>
        <v>0.14285714285714285</v>
      </c>
      <c r="I36" s="14" t="s">
        <v>33</v>
      </c>
      <c r="J36" s="18">
        <f t="shared" si="1"/>
        <v>0.5</v>
      </c>
      <c r="K36">
        <f t="shared" si="2"/>
        <v>0.25</v>
      </c>
      <c r="L36">
        <f t="shared" si="4"/>
        <v>0.875</v>
      </c>
      <c r="M36">
        <f t="shared" si="5"/>
        <v>1.375</v>
      </c>
      <c r="N36">
        <f t="shared" si="6"/>
        <v>161161</v>
      </c>
    </row>
    <row r="37" spans="2:14" ht="30.75" thickBot="1" x14ac:dyDescent="0.3">
      <c r="B37" s="15">
        <v>24</v>
      </c>
      <c r="C37" s="17">
        <v>0.61458333333333337</v>
      </c>
      <c r="D37" s="14">
        <v>1</v>
      </c>
      <c r="E37" s="14">
        <v>3.5</v>
      </c>
      <c r="F37" s="14">
        <v>40</v>
      </c>
      <c r="G37" s="14">
        <v>25</v>
      </c>
      <c r="H37" s="14">
        <f t="shared" si="3"/>
        <v>0.2857142857142857</v>
      </c>
      <c r="I37" s="14" t="s">
        <v>32</v>
      </c>
      <c r="J37" s="18">
        <f t="shared" si="1"/>
        <v>1</v>
      </c>
      <c r="K37">
        <f t="shared" si="2"/>
        <v>0.25</v>
      </c>
      <c r="L37">
        <f t="shared" si="4"/>
        <v>0.875</v>
      </c>
      <c r="M37">
        <f t="shared" si="5"/>
        <v>1.875</v>
      </c>
      <c r="N37">
        <f t="shared" si="6"/>
        <v>219765</v>
      </c>
    </row>
    <row r="38" spans="2:14" ht="30.75" thickBot="1" x14ac:dyDescent="0.3">
      <c r="B38" s="15">
        <v>25</v>
      </c>
      <c r="C38" s="17">
        <v>0.6166666666666667</v>
      </c>
      <c r="D38" s="14">
        <v>1</v>
      </c>
      <c r="E38" s="14">
        <v>3.5</v>
      </c>
      <c r="F38" s="14">
        <v>40</v>
      </c>
      <c r="G38" s="14">
        <v>25</v>
      </c>
      <c r="H38" s="14">
        <f t="shared" si="3"/>
        <v>0.2857142857142857</v>
      </c>
      <c r="I38" s="14" t="s">
        <v>32</v>
      </c>
      <c r="J38" s="18">
        <f t="shared" si="1"/>
        <v>1</v>
      </c>
      <c r="K38">
        <f t="shared" si="2"/>
        <v>0.25</v>
      </c>
      <c r="L38">
        <f t="shared" si="4"/>
        <v>0.875</v>
      </c>
      <c r="M38">
        <f t="shared" si="5"/>
        <v>1.875</v>
      </c>
      <c r="N38">
        <f t="shared" si="6"/>
        <v>219765</v>
      </c>
    </row>
    <row r="39" spans="2:14" ht="15.75" thickBot="1" x14ac:dyDescent="0.3">
      <c r="B39" s="15">
        <v>26</v>
      </c>
      <c r="C39" s="17">
        <v>0.61875000000000002</v>
      </c>
      <c r="D39" s="14">
        <v>0.5</v>
      </c>
      <c r="E39" s="14">
        <v>3.5</v>
      </c>
      <c r="F39" s="14">
        <v>40</v>
      </c>
      <c r="G39" s="14">
        <v>25</v>
      </c>
      <c r="H39" s="14">
        <f t="shared" si="3"/>
        <v>0.14285714285714285</v>
      </c>
      <c r="I39" s="14" t="s">
        <v>33</v>
      </c>
      <c r="J39" s="18">
        <f t="shared" si="1"/>
        <v>0.5</v>
      </c>
      <c r="K39">
        <f t="shared" si="2"/>
        <v>0.25</v>
      </c>
      <c r="L39">
        <f t="shared" si="4"/>
        <v>0.875</v>
      </c>
      <c r="M39">
        <f t="shared" si="5"/>
        <v>1.375</v>
      </c>
      <c r="N39">
        <f t="shared" si="6"/>
        <v>161161</v>
      </c>
    </row>
    <row r="40" spans="2:14" ht="30.75" thickBot="1" x14ac:dyDescent="0.3">
      <c r="B40" s="15">
        <v>27</v>
      </c>
      <c r="C40" s="17">
        <v>0.625</v>
      </c>
      <c r="D40" s="14">
        <v>2</v>
      </c>
      <c r="E40" s="14">
        <v>3.5</v>
      </c>
      <c r="F40" s="14">
        <v>40</v>
      </c>
      <c r="G40" s="14">
        <v>25</v>
      </c>
      <c r="H40" s="14">
        <f t="shared" si="3"/>
        <v>0.5714285714285714</v>
      </c>
      <c r="I40" s="14" t="s">
        <v>32</v>
      </c>
      <c r="J40" s="18">
        <f t="shared" si="1"/>
        <v>2</v>
      </c>
      <c r="K40">
        <f t="shared" si="2"/>
        <v>0.25</v>
      </c>
      <c r="L40">
        <f t="shared" si="4"/>
        <v>0.875</v>
      </c>
      <c r="M40">
        <f t="shared" si="5"/>
        <v>2.875</v>
      </c>
      <c r="N40">
        <f t="shared" si="6"/>
        <v>336973</v>
      </c>
    </row>
    <row r="41" spans="2:14" ht="30.75" thickBot="1" x14ac:dyDescent="0.3">
      <c r="B41" s="15">
        <v>28</v>
      </c>
      <c r="C41" s="17">
        <v>0.66666666666666663</v>
      </c>
      <c r="D41" s="14">
        <v>1</v>
      </c>
      <c r="E41" s="14">
        <v>3.5</v>
      </c>
      <c r="F41" s="14">
        <v>40</v>
      </c>
      <c r="G41" s="14">
        <v>25</v>
      </c>
      <c r="H41" s="14">
        <f t="shared" si="3"/>
        <v>0.2857142857142857</v>
      </c>
      <c r="I41" s="14" t="s">
        <v>32</v>
      </c>
      <c r="J41" s="18">
        <f t="shared" si="1"/>
        <v>1</v>
      </c>
      <c r="K41">
        <f t="shared" si="2"/>
        <v>0.25</v>
      </c>
      <c r="L41">
        <f t="shared" si="4"/>
        <v>0.875</v>
      </c>
      <c r="M41">
        <f t="shared" si="5"/>
        <v>1.875</v>
      </c>
      <c r="N41">
        <f t="shared" si="6"/>
        <v>219765</v>
      </c>
    </row>
    <row r="42" spans="2:14" ht="15.75" thickBot="1" x14ac:dyDescent="0.3">
      <c r="B42" s="15">
        <v>29</v>
      </c>
      <c r="C42" s="17">
        <v>0.67361111111111116</v>
      </c>
      <c r="D42" s="14">
        <v>0.5</v>
      </c>
      <c r="E42" s="14">
        <v>3.5</v>
      </c>
      <c r="F42" s="14">
        <v>40</v>
      </c>
      <c r="G42" s="14">
        <v>25</v>
      </c>
      <c r="H42" s="14">
        <f t="shared" si="3"/>
        <v>0.14285714285714285</v>
      </c>
      <c r="I42" s="14" t="s">
        <v>33</v>
      </c>
      <c r="J42" s="18">
        <f t="shared" si="1"/>
        <v>0.5</v>
      </c>
      <c r="K42">
        <f t="shared" si="2"/>
        <v>0.25</v>
      </c>
      <c r="L42">
        <f t="shared" si="4"/>
        <v>0.875</v>
      </c>
      <c r="M42">
        <f t="shared" si="5"/>
        <v>1.375</v>
      </c>
      <c r="N42">
        <f t="shared" si="6"/>
        <v>161161</v>
      </c>
    </row>
    <row r="43" spans="2:14" ht="15.75" thickBot="1" x14ac:dyDescent="0.3">
      <c r="B43" s="15">
        <v>30</v>
      </c>
      <c r="C43" s="17">
        <v>0.68055555555555547</v>
      </c>
      <c r="D43" s="14">
        <v>0.5</v>
      </c>
      <c r="E43" s="14">
        <v>3.5</v>
      </c>
      <c r="F43" s="14">
        <v>40</v>
      </c>
      <c r="G43" s="14">
        <v>25</v>
      </c>
      <c r="H43" s="14">
        <f t="shared" si="3"/>
        <v>0.14285714285714285</v>
      </c>
      <c r="I43" s="14" t="s">
        <v>33</v>
      </c>
      <c r="J43" s="18">
        <f t="shared" si="1"/>
        <v>0.5</v>
      </c>
      <c r="K43">
        <f t="shared" si="2"/>
        <v>0.25</v>
      </c>
      <c r="L43">
        <f t="shared" si="4"/>
        <v>0.875</v>
      </c>
      <c r="M43">
        <f t="shared" si="5"/>
        <v>1.375</v>
      </c>
      <c r="N43">
        <f t="shared" si="6"/>
        <v>161161</v>
      </c>
    </row>
    <row r="44" spans="2:14" ht="15.75" thickBot="1" x14ac:dyDescent="0.3">
      <c r="B44" s="15">
        <v>31</v>
      </c>
      <c r="C44" s="17">
        <v>0.6875</v>
      </c>
      <c r="D44" s="14">
        <v>1</v>
      </c>
      <c r="E44" s="14">
        <v>3.5</v>
      </c>
      <c r="F44" s="14">
        <v>55</v>
      </c>
      <c r="G44" s="14">
        <v>40</v>
      </c>
      <c r="H44" s="14">
        <f t="shared" si="3"/>
        <v>0.2857142857142857</v>
      </c>
      <c r="I44" s="14" t="s">
        <v>31</v>
      </c>
      <c r="J44" s="18">
        <f t="shared" si="1"/>
        <v>1</v>
      </c>
      <c r="K44">
        <f t="shared" si="2"/>
        <v>0.41666666666666669</v>
      </c>
      <c r="L44">
        <f t="shared" si="4"/>
        <v>1.4583333333333335</v>
      </c>
      <c r="M44">
        <f t="shared" si="5"/>
        <v>2.4583333333333335</v>
      </c>
      <c r="N44">
        <f t="shared" si="6"/>
        <v>442495.08333333337</v>
      </c>
    </row>
    <row r="45" spans="2:14" ht="15.75" thickBot="1" x14ac:dyDescent="0.3">
      <c r="B45" s="15">
        <v>32</v>
      </c>
      <c r="C45" s="17">
        <v>0.75</v>
      </c>
      <c r="D45" s="14">
        <v>5</v>
      </c>
      <c r="E45" s="14">
        <v>3.5</v>
      </c>
      <c r="F45" s="14">
        <v>55</v>
      </c>
      <c r="G45" s="14">
        <v>40</v>
      </c>
      <c r="H45" s="14">
        <f t="shared" si="3"/>
        <v>1.4285714285714286</v>
      </c>
      <c r="I45" s="14" t="s">
        <v>31</v>
      </c>
      <c r="J45" s="18">
        <f t="shared" si="1"/>
        <v>5</v>
      </c>
      <c r="K45">
        <f t="shared" si="2"/>
        <v>0.41666666666666669</v>
      </c>
      <c r="L45">
        <f t="shared" si="4"/>
        <v>1.4583333333333335</v>
      </c>
      <c r="M45">
        <f t="shared" si="5"/>
        <v>6.4583333333333339</v>
      </c>
      <c r="N45">
        <f t="shared" si="6"/>
        <v>1162487.0833333335</v>
      </c>
    </row>
    <row r="46" spans="2:14" ht="30.75" thickBot="1" x14ac:dyDescent="0.3">
      <c r="B46" s="15">
        <v>33</v>
      </c>
      <c r="C46" s="17">
        <v>0.75347222222222221</v>
      </c>
      <c r="D46" s="14">
        <v>5</v>
      </c>
      <c r="E46" s="14">
        <v>3.5</v>
      </c>
      <c r="F46" s="14">
        <v>55</v>
      </c>
      <c r="G46" s="14">
        <v>40</v>
      </c>
      <c r="H46" s="14">
        <f t="shared" si="3"/>
        <v>1.4285714285714286</v>
      </c>
      <c r="I46" s="14" t="s">
        <v>34</v>
      </c>
      <c r="J46" s="18">
        <f t="shared" si="1"/>
        <v>5</v>
      </c>
      <c r="K46">
        <f t="shared" si="2"/>
        <v>0.41666666666666669</v>
      </c>
      <c r="L46">
        <f t="shared" si="4"/>
        <v>1.4583333333333335</v>
      </c>
      <c r="M46">
        <f t="shared" si="5"/>
        <v>6.4583333333333339</v>
      </c>
      <c r="N46">
        <f t="shared" si="6"/>
        <v>1162487.0833333335</v>
      </c>
    </row>
    <row r="47" spans="2:14" ht="15.75" thickBot="1" x14ac:dyDescent="0.3">
      <c r="B47" s="15">
        <v>34</v>
      </c>
      <c r="C47" s="17">
        <v>0.76736111111111116</v>
      </c>
      <c r="D47" s="14">
        <v>2</v>
      </c>
      <c r="E47" s="14">
        <v>3.5</v>
      </c>
      <c r="F47" s="14">
        <v>55</v>
      </c>
      <c r="G47" s="14">
        <v>40</v>
      </c>
      <c r="H47" s="14">
        <f t="shared" si="3"/>
        <v>0.5714285714285714</v>
      </c>
      <c r="I47" s="14" t="s">
        <v>31</v>
      </c>
      <c r="J47" s="18">
        <f t="shared" si="1"/>
        <v>2</v>
      </c>
      <c r="K47">
        <f t="shared" ref="K47:K63" si="7">IF(G47=H$3,I$3,I$4)/60</f>
        <v>0.41666666666666669</v>
      </c>
      <c r="L47">
        <f t="shared" si="4"/>
        <v>1.4583333333333335</v>
      </c>
      <c r="M47">
        <f t="shared" si="5"/>
        <v>3.4583333333333335</v>
      </c>
      <c r="N47">
        <f t="shared" si="6"/>
        <v>622493.08333333337</v>
      </c>
    </row>
    <row r="48" spans="2:14" ht="15.75" thickBot="1" x14ac:dyDescent="0.3">
      <c r="B48" s="15">
        <v>35</v>
      </c>
      <c r="C48" s="17">
        <v>0.76874999999999993</v>
      </c>
      <c r="D48" s="14">
        <v>2</v>
      </c>
      <c r="E48" s="14">
        <v>3.5</v>
      </c>
      <c r="F48" s="14">
        <v>55</v>
      </c>
      <c r="G48" s="14">
        <v>40</v>
      </c>
      <c r="H48" s="14">
        <f t="shared" si="3"/>
        <v>0.5714285714285714</v>
      </c>
      <c r="I48" s="14" t="s">
        <v>31</v>
      </c>
      <c r="J48" s="18">
        <f t="shared" si="1"/>
        <v>2</v>
      </c>
      <c r="K48">
        <f t="shared" si="7"/>
        <v>0.41666666666666669</v>
      </c>
      <c r="L48">
        <f t="shared" si="4"/>
        <v>1.4583333333333335</v>
      </c>
      <c r="M48">
        <f t="shared" si="5"/>
        <v>3.4583333333333335</v>
      </c>
      <c r="N48">
        <f t="shared" si="6"/>
        <v>622493.08333333337</v>
      </c>
    </row>
    <row r="49" spans="2:15" ht="15.75" thickBot="1" x14ac:dyDescent="0.3">
      <c r="B49" s="15">
        <v>36</v>
      </c>
      <c r="C49" s="17">
        <v>0.77013888888888893</v>
      </c>
      <c r="D49" s="14">
        <v>2</v>
      </c>
      <c r="E49" s="14">
        <v>3.5</v>
      </c>
      <c r="F49" s="14">
        <v>55</v>
      </c>
      <c r="G49" s="14">
        <v>40</v>
      </c>
      <c r="H49" s="14">
        <f t="shared" si="3"/>
        <v>0.5714285714285714</v>
      </c>
      <c r="I49" s="14" t="s">
        <v>31</v>
      </c>
      <c r="J49" s="18">
        <f t="shared" si="1"/>
        <v>2</v>
      </c>
      <c r="K49">
        <f t="shared" si="7"/>
        <v>0.41666666666666669</v>
      </c>
      <c r="L49">
        <f t="shared" si="4"/>
        <v>1.4583333333333335</v>
      </c>
      <c r="M49">
        <f t="shared" si="5"/>
        <v>3.4583333333333335</v>
      </c>
      <c r="N49">
        <f t="shared" si="6"/>
        <v>622493.08333333337</v>
      </c>
    </row>
    <row r="50" spans="2:15" ht="30.75" thickBot="1" x14ac:dyDescent="0.3">
      <c r="B50" s="15">
        <v>37</v>
      </c>
      <c r="C50" s="17">
        <v>0.8125</v>
      </c>
      <c r="D50" s="14">
        <v>1</v>
      </c>
      <c r="E50" s="14">
        <v>3.5</v>
      </c>
      <c r="F50" s="14">
        <v>40</v>
      </c>
      <c r="G50" s="14">
        <v>25</v>
      </c>
      <c r="H50" s="14">
        <f t="shared" si="3"/>
        <v>0.2857142857142857</v>
      </c>
      <c r="I50" s="14" t="s">
        <v>32</v>
      </c>
      <c r="J50" s="18">
        <f t="shared" si="1"/>
        <v>1</v>
      </c>
      <c r="K50">
        <f t="shared" si="7"/>
        <v>0.25</v>
      </c>
      <c r="L50">
        <f t="shared" si="4"/>
        <v>0.875</v>
      </c>
      <c r="M50">
        <f t="shared" si="5"/>
        <v>1.875</v>
      </c>
      <c r="N50">
        <f t="shared" si="6"/>
        <v>219765</v>
      </c>
    </row>
    <row r="51" spans="2:15" ht="30.75" thickBot="1" x14ac:dyDescent="0.3">
      <c r="B51" s="15">
        <v>38</v>
      </c>
      <c r="C51" s="17">
        <v>0.81597222222222221</v>
      </c>
      <c r="D51" s="14">
        <v>1</v>
      </c>
      <c r="E51" s="14">
        <v>3.5</v>
      </c>
      <c r="F51" s="14">
        <v>40</v>
      </c>
      <c r="G51" s="14">
        <v>25</v>
      </c>
      <c r="H51" s="14">
        <f t="shared" si="3"/>
        <v>0.2857142857142857</v>
      </c>
      <c r="I51" s="14" t="s">
        <v>32</v>
      </c>
      <c r="J51" s="18">
        <f t="shared" si="1"/>
        <v>1</v>
      </c>
      <c r="K51">
        <f t="shared" si="7"/>
        <v>0.25</v>
      </c>
      <c r="L51">
        <f t="shared" si="4"/>
        <v>0.875</v>
      </c>
      <c r="M51">
        <f t="shared" si="5"/>
        <v>1.875</v>
      </c>
      <c r="N51">
        <f t="shared" si="6"/>
        <v>219765</v>
      </c>
    </row>
    <row r="52" spans="2:15" ht="15.75" thickBot="1" x14ac:dyDescent="0.3">
      <c r="B52" s="15">
        <v>39</v>
      </c>
      <c r="C52" s="17">
        <v>0.81944444444444453</v>
      </c>
      <c r="D52" s="14">
        <v>0.5</v>
      </c>
      <c r="E52" s="14">
        <v>3.5</v>
      </c>
      <c r="F52" s="14">
        <v>40</v>
      </c>
      <c r="G52" s="14">
        <v>25</v>
      </c>
      <c r="H52" s="14">
        <f t="shared" si="3"/>
        <v>0.14285714285714285</v>
      </c>
      <c r="I52" s="14" t="s">
        <v>33</v>
      </c>
      <c r="J52" s="18">
        <f t="shared" si="1"/>
        <v>0.5</v>
      </c>
      <c r="K52">
        <f t="shared" si="7"/>
        <v>0.25</v>
      </c>
      <c r="L52">
        <f t="shared" si="4"/>
        <v>0.875</v>
      </c>
      <c r="M52">
        <f t="shared" si="5"/>
        <v>1.375</v>
      </c>
      <c r="N52">
        <f t="shared" si="6"/>
        <v>161161</v>
      </c>
    </row>
    <row r="53" spans="2:15" ht="30.75" thickBot="1" x14ac:dyDescent="0.3">
      <c r="B53" s="15">
        <v>40</v>
      </c>
      <c r="C53" s="17">
        <v>0.82291666666666663</v>
      </c>
      <c r="D53" s="14">
        <v>1</v>
      </c>
      <c r="E53" s="14">
        <v>3.5</v>
      </c>
      <c r="F53" s="14">
        <v>40</v>
      </c>
      <c r="G53" s="14">
        <v>25</v>
      </c>
      <c r="H53" s="14">
        <f t="shared" si="3"/>
        <v>0.2857142857142857</v>
      </c>
      <c r="I53" s="14" t="s">
        <v>32</v>
      </c>
      <c r="J53" s="18">
        <f t="shared" si="1"/>
        <v>1</v>
      </c>
      <c r="K53">
        <f t="shared" si="7"/>
        <v>0.25</v>
      </c>
      <c r="L53">
        <f t="shared" si="4"/>
        <v>0.875</v>
      </c>
      <c r="M53">
        <f t="shared" si="5"/>
        <v>1.875</v>
      </c>
      <c r="N53">
        <f t="shared" si="6"/>
        <v>219765</v>
      </c>
    </row>
    <row r="54" spans="2:15" ht="30.75" thickBot="1" x14ac:dyDescent="0.3">
      <c r="B54" s="15">
        <v>41</v>
      </c>
      <c r="C54" s="17">
        <v>0.82638888888888884</v>
      </c>
      <c r="D54" s="14">
        <v>1</v>
      </c>
      <c r="E54" s="14">
        <v>3.5</v>
      </c>
      <c r="F54" s="14">
        <v>40</v>
      </c>
      <c r="G54" s="14">
        <v>25</v>
      </c>
      <c r="H54" s="14">
        <f t="shared" si="3"/>
        <v>0.2857142857142857</v>
      </c>
      <c r="I54" s="14" t="s">
        <v>32</v>
      </c>
      <c r="J54" s="18">
        <f t="shared" si="1"/>
        <v>1</v>
      </c>
      <c r="K54">
        <f t="shared" si="7"/>
        <v>0.25</v>
      </c>
      <c r="L54">
        <f t="shared" si="4"/>
        <v>0.875</v>
      </c>
      <c r="M54">
        <f t="shared" si="5"/>
        <v>1.875</v>
      </c>
      <c r="N54">
        <f t="shared" si="6"/>
        <v>219765</v>
      </c>
    </row>
    <row r="55" spans="2:15" ht="15.75" thickBot="1" x14ac:dyDescent="0.3">
      <c r="B55" s="15">
        <v>42</v>
      </c>
      <c r="C55" s="17">
        <v>0.83333333333333337</v>
      </c>
      <c r="D55" s="14">
        <v>1</v>
      </c>
      <c r="E55" s="14">
        <v>3.5</v>
      </c>
      <c r="F55" s="14">
        <v>55</v>
      </c>
      <c r="G55" s="14">
        <v>40</v>
      </c>
      <c r="H55" s="14">
        <f t="shared" si="3"/>
        <v>0.2857142857142857</v>
      </c>
      <c r="I55" s="14" t="s">
        <v>31</v>
      </c>
      <c r="J55" s="18">
        <f t="shared" si="1"/>
        <v>1</v>
      </c>
      <c r="K55">
        <f t="shared" si="7"/>
        <v>0.41666666666666669</v>
      </c>
      <c r="L55">
        <f t="shared" si="4"/>
        <v>1.4583333333333335</v>
      </c>
      <c r="M55">
        <f t="shared" si="5"/>
        <v>2.4583333333333335</v>
      </c>
      <c r="N55">
        <f t="shared" si="6"/>
        <v>442495.08333333337</v>
      </c>
    </row>
    <row r="56" spans="2:15" ht="30.75" thickBot="1" x14ac:dyDescent="0.3">
      <c r="B56" s="15">
        <v>43</v>
      </c>
      <c r="C56" s="17">
        <v>0.84027777777777779</v>
      </c>
      <c r="D56" s="14">
        <v>2</v>
      </c>
      <c r="E56" s="14">
        <v>3.5</v>
      </c>
      <c r="F56" s="14">
        <v>55</v>
      </c>
      <c r="G56" s="14">
        <v>40</v>
      </c>
      <c r="H56" s="14">
        <f t="shared" si="3"/>
        <v>0.5714285714285714</v>
      </c>
      <c r="I56" s="14" t="s">
        <v>35</v>
      </c>
      <c r="J56" s="18">
        <f t="shared" si="1"/>
        <v>2</v>
      </c>
      <c r="K56">
        <f t="shared" si="7"/>
        <v>0.41666666666666669</v>
      </c>
      <c r="L56">
        <f t="shared" si="4"/>
        <v>1.4583333333333335</v>
      </c>
      <c r="M56">
        <f t="shared" si="5"/>
        <v>3.4583333333333335</v>
      </c>
      <c r="N56">
        <f t="shared" si="6"/>
        <v>622493.08333333337</v>
      </c>
    </row>
    <row r="57" spans="2:15" ht="30.75" thickBot="1" x14ac:dyDescent="0.3">
      <c r="B57" s="15">
        <v>44</v>
      </c>
      <c r="C57" s="17">
        <v>0.875</v>
      </c>
      <c r="D57" s="14">
        <v>1</v>
      </c>
      <c r="E57" s="14">
        <v>3.5</v>
      </c>
      <c r="F57" s="14">
        <v>40</v>
      </c>
      <c r="G57" s="14">
        <v>25</v>
      </c>
      <c r="H57" s="14">
        <f t="shared" si="3"/>
        <v>0.2857142857142857</v>
      </c>
      <c r="I57" s="14" t="s">
        <v>32</v>
      </c>
      <c r="J57" s="18">
        <f t="shared" si="1"/>
        <v>1</v>
      </c>
      <c r="K57">
        <f t="shared" si="7"/>
        <v>0.25</v>
      </c>
      <c r="L57">
        <f t="shared" si="4"/>
        <v>0.875</v>
      </c>
      <c r="M57">
        <f t="shared" si="5"/>
        <v>1.875</v>
      </c>
      <c r="N57">
        <f t="shared" si="6"/>
        <v>219765</v>
      </c>
    </row>
    <row r="58" spans="2:15" ht="15.75" thickBot="1" x14ac:dyDescent="0.3">
      <c r="B58" s="15">
        <v>45</v>
      </c>
      <c r="C58" s="17">
        <v>0.91666666666666663</v>
      </c>
      <c r="D58" s="14">
        <v>1</v>
      </c>
      <c r="E58" s="14">
        <v>3.5</v>
      </c>
      <c r="F58" s="14">
        <v>55</v>
      </c>
      <c r="G58" s="14">
        <v>40</v>
      </c>
      <c r="H58" s="14">
        <f t="shared" si="3"/>
        <v>0.2857142857142857</v>
      </c>
      <c r="I58" s="14" t="s">
        <v>31</v>
      </c>
      <c r="J58" s="18">
        <f t="shared" si="1"/>
        <v>1</v>
      </c>
      <c r="K58">
        <f t="shared" si="7"/>
        <v>0.41666666666666669</v>
      </c>
      <c r="L58">
        <f t="shared" si="4"/>
        <v>1.4583333333333335</v>
      </c>
      <c r="M58">
        <f t="shared" si="5"/>
        <v>2.4583333333333335</v>
      </c>
      <c r="N58">
        <f t="shared" si="6"/>
        <v>442495.08333333337</v>
      </c>
    </row>
    <row r="59" spans="2:15" ht="30.75" thickBot="1" x14ac:dyDescent="0.3">
      <c r="B59" s="15">
        <v>46</v>
      </c>
      <c r="C59" s="17">
        <v>0.9375</v>
      </c>
      <c r="D59" s="14">
        <v>1</v>
      </c>
      <c r="E59" s="14">
        <v>3.5</v>
      </c>
      <c r="F59" s="14">
        <v>40</v>
      </c>
      <c r="G59" s="14">
        <v>25</v>
      </c>
      <c r="H59" s="14">
        <f t="shared" si="3"/>
        <v>0.2857142857142857</v>
      </c>
      <c r="I59" s="14" t="s">
        <v>32</v>
      </c>
      <c r="J59" s="18">
        <f t="shared" si="1"/>
        <v>1</v>
      </c>
      <c r="K59">
        <f t="shared" si="7"/>
        <v>0.25</v>
      </c>
      <c r="L59">
        <f t="shared" si="4"/>
        <v>0.875</v>
      </c>
      <c r="M59">
        <f t="shared" si="5"/>
        <v>1.875</v>
      </c>
      <c r="N59">
        <f t="shared" si="6"/>
        <v>219765</v>
      </c>
    </row>
    <row r="60" spans="2:15" ht="15.75" thickBot="1" x14ac:dyDescent="0.3">
      <c r="B60" s="15">
        <v>47</v>
      </c>
      <c r="C60" s="17">
        <v>0.95833333333333337</v>
      </c>
      <c r="D60" s="14">
        <v>2</v>
      </c>
      <c r="E60" s="14">
        <v>3.5</v>
      </c>
      <c r="F60" s="14">
        <v>55</v>
      </c>
      <c r="G60" s="14">
        <v>40</v>
      </c>
      <c r="H60" s="14">
        <f t="shared" si="3"/>
        <v>0.5714285714285714</v>
      </c>
      <c r="I60" s="14" t="s">
        <v>31</v>
      </c>
      <c r="J60" s="18">
        <f t="shared" si="1"/>
        <v>2</v>
      </c>
      <c r="K60">
        <f t="shared" si="7"/>
        <v>0.41666666666666669</v>
      </c>
      <c r="L60">
        <f t="shared" si="4"/>
        <v>1.4583333333333335</v>
      </c>
      <c r="M60">
        <f t="shared" si="5"/>
        <v>3.4583333333333335</v>
      </c>
      <c r="N60">
        <f t="shared" si="6"/>
        <v>622493.08333333337</v>
      </c>
    </row>
    <row r="61" spans="2:15" ht="15.75" thickBot="1" x14ac:dyDescent="0.3">
      <c r="B61" s="15">
        <v>48</v>
      </c>
      <c r="C61" s="17">
        <v>0.96875</v>
      </c>
      <c r="D61" s="14">
        <v>4</v>
      </c>
      <c r="E61" s="14">
        <v>3.5</v>
      </c>
      <c r="F61" s="14">
        <v>40</v>
      </c>
      <c r="G61" s="14">
        <v>25</v>
      </c>
      <c r="H61" s="14">
        <f t="shared" si="3"/>
        <v>1.1428571428571428</v>
      </c>
      <c r="I61" s="14" t="s">
        <v>29</v>
      </c>
      <c r="J61" s="18">
        <f t="shared" si="1"/>
        <v>4</v>
      </c>
      <c r="K61">
        <f t="shared" si="7"/>
        <v>0.25</v>
      </c>
      <c r="L61">
        <f t="shared" si="4"/>
        <v>0.875</v>
      </c>
      <c r="M61">
        <f t="shared" si="5"/>
        <v>4.875</v>
      </c>
      <c r="N61">
        <f t="shared" si="6"/>
        <v>571389</v>
      </c>
    </row>
    <row r="62" spans="2:15" ht="15.75" thickBot="1" x14ac:dyDescent="0.3">
      <c r="B62" s="15">
        <v>49</v>
      </c>
      <c r="C62" s="17">
        <v>0.97916666666666663</v>
      </c>
      <c r="D62" s="14">
        <v>100</v>
      </c>
      <c r="E62" s="14">
        <v>7.5</v>
      </c>
      <c r="F62" s="14">
        <v>40</v>
      </c>
      <c r="G62" s="14">
        <v>40</v>
      </c>
      <c r="H62" s="14">
        <f t="shared" si="3"/>
        <v>13.333333333333334</v>
      </c>
      <c r="I62" s="14" t="s">
        <v>30</v>
      </c>
      <c r="J62" s="18" t="str">
        <f t="shared" si="1"/>
        <v/>
      </c>
      <c r="K62">
        <f t="shared" si="7"/>
        <v>0.41666666666666669</v>
      </c>
      <c r="L62">
        <f t="shared" si="4"/>
        <v>3.125</v>
      </c>
      <c r="M62" t="str">
        <f t="shared" si="5"/>
        <v/>
      </c>
      <c r="O62">
        <f xml:space="preserve"> (D62+L62)*(F62-$D$2)*D$4</f>
        <v>12087075</v>
      </c>
    </row>
    <row r="63" spans="2:15" ht="15.75" thickBot="1" x14ac:dyDescent="0.3">
      <c r="B63" s="15">
        <v>50</v>
      </c>
      <c r="C63" s="17">
        <v>0.98958333333333337</v>
      </c>
      <c r="D63" s="14">
        <v>4</v>
      </c>
      <c r="E63" s="14">
        <v>3.5</v>
      </c>
      <c r="F63" s="14">
        <v>40</v>
      </c>
      <c r="G63" s="14">
        <v>25</v>
      </c>
      <c r="H63" s="14">
        <f t="shared" si="3"/>
        <v>1.1428571428571428</v>
      </c>
      <c r="I63" s="14" t="s">
        <v>29</v>
      </c>
      <c r="J63" s="18">
        <f t="shared" si="1"/>
        <v>4</v>
      </c>
      <c r="K63">
        <f t="shared" si="7"/>
        <v>0.25</v>
      </c>
      <c r="L63">
        <f t="shared" si="4"/>
        <v>0.875</v>
      </c>
      <c r="M63">
        <f t="shared" si="5"/>
        <v>4.875</v>
      </c>
      <c r="N63">
        <f xml:space="preserve"> M63*(F63-$D$2)*D$4</f>
        <v>571389</v>
      </c>
    </row>
    <row r="66" spans="4:11" x14ac:dyDescent="0.25">
      <c r="D66" t="s">
        <v>36</v>
      </c>
      <c r="G66">
        <v>7</v>
      </c>
      <c r="H66" t="s">
        <v>37</v>
      </c>
    </row>
    <row r="67" spans="4:11" x14ac:dyDescent="0.25">
      <c r="D67" t="s">
        <v>38</v>
      </c>
      <c r="G67">
        <v>24</v>
      </c>
      <c r="H67" t="s">
        <v>37</v>
      </c>
    </row>
    <row r="69" spans="4:11" x14ac:dyDescent="0.25">
      <c r="D69" t="s">
        <v>39</v>
      </c>
      <c r="G69">
        <f>SUM(M14:M63)</f>
        <v>132.62499999999997</v>
      </c>
      <c r="H69" t="s">
        <v>40</v>
      </c>
      <c r="I69" s="21">
        <f>SUM(N15:N63)</f>
        <v>19830128.500000004</v>
      </c>
      <c r="J69" t="s">
        <v>41</v>
      </c>
    </row>
    <row r="70" spans="4:11" x14ac:dyDescent="0.25">
      <c r="D70" t="s">
        <v>42</v>
      </c>
      <c r="I70">
        <f>G67-G66</f>
        <v>17</v>
      </c>
      <c r="J70" t="s">
        <v>37</v>
      </c>
    </row>
    <row r="71" spans="4:11" x14ac:dyDescent="0.25">
      <c r="D71" t="s">
        <v>43</v>
      </c>
      <c r="G71">
        <f>I70/(G69*60)</f>
        <v>2.1363493559535033E-3</v>
      </c>
      <c r="H71" t="s">
        <v>44</v>
      </c>
      <c r="I71" s="13">
        <f>I69/(I70*3600)</f>
        <v>324.02170751633992</v>
      </c>
      <c r="J71" t="s">
        <v>50</v>
      </c>
      <c r="K71" t="s">
        <v>139</v>
      </c>
    </row>
    <row r="72" spans="4:11" x14ac:dyDescent="0.25">
      <c r="G72" s="20"/>
    </row>
    <row r="73" spans="4:11" x14ac:dyDescent="0.25">
      <c r="G73" s="20"/>
    </row>
    <row r="74" spans="4:11" x14ac:dyDescent="0.25">
      <c r="D74" t="s">
        <v>140</v>
      </c>
      <c r="G74" s="20">
        <f>O62+O16</f>
        <v>24174150</v>
      </c>
      <c r="H74" t="s">
        <v>41</v>
      </c>
    </row>
    <row r="75" spans="4:11" x14ac:dyDescent="0.25">
      <c r="D75" t="s">
        <v>216</v>
      </c>
      <c r="G75" s="20">
        <f>G74/2</f>
        <v>12087075</v>
      </c>
      <c r="H75" t="s">
        <v>41</v>
      </c>
    </row>
    <row r="76" spans="4:11" x14ac:dyDescent="0.25">
      <c r="D76" t="s">
        <v>141</v>
      </c>
      <c r="G76" s="20">
        <f>I69+G74</f>
        <v>44004278.5</v>
      </c>
      <c r="H76" t="s">
        <v>142</v>
      </c>
    </row>
    <row r="77" spans="4:11" x14ac:dyDescent="0.25">
      <c r="G77" s="20">
        <f>G76*365</f>
        <v>16061561652.5</v>
      </c>
      <c r="H77" t="s">
        <v>176</v>
      </c>
    </row>
    <row r="78" spans="4:11" x14ac:dyDescent="0.25">
      <c r="D78" t="s">
        <v>143</v>
      </c>
      <c r="G78" s="20">
        <f>'Globaal model'!F121</f>
        <v>7220000000</v>
      </c>
      <c r="H78" t="s">
        <v>176</v>
      </c>
    </row>
    <row r="79" spans="4:11" x14ac:dyDescent="0.25">
      <c r="G79" s="20"/>
    </row>
    <row r="80" spans="4:11" x14ac:dyDescent="0.25">
      <c r="G80" s="20"/>
    </row>
    <row r="81" spans="4:10" x14ac:dyDescent="0.25">
      <c r="D81" t="s">
        <v>144</v>
      </c>
      <c r="G81" s="13">
        <f>G78/G77</f>
        <v>0.44952042374261902</v>
      </c>
    </row>
    <row r="82" spans="4:10" ht="21" x14ac:dyDescent="0.35">
      <c r="D82" s="26" t="s">
        <v>148</v>
      </c>
      <c r="G82" s="13"/>
    </row>
    <row r="83" spans="4:10" x14ac:dyDescent="0.25">
      <c r="D83" t="s">
        <v>145</v>
      </c>
      <c r="G83" s="24">
        <f>I71*G81</f>
        <v>145.65437526455207</v>
      </c>
      <c r="H83" t="s">
        <v>50</v>
      </c>
    </row>
    <row r="84" spans="4:10" x14ac:dyDescent="0.25">
      <c r="D84" t="s">
        <v>217</v>
      </c>
      <c r="G84" s="20">
        <f>G75</f>
        <v>12087075</v>
      </c>
      <c r="H84" t="s">
        <v>41</v>
      </c>
    </row>
    <row r="85" spans="4:10" x14ac:dyDescent="0.25">
      <c r="D85" t="s">
        <v>214</v>
      </c>
      <c r="G85" s="20">
        <f>G84*G81</f>
        <v>5433387.0758088166</v>
      </c>
      <c r="H85" t="s">
        <v>41</v>
      </c>
    </row>
    <row r="86" spans="4:10" x14ac:dyDescent="0.25">
      <c r="D86">
        <v>1</v>
      </c>
      <c r="E86" t="s">
        <v>30</v>
      </c>
      <c r="G86" s="20">
        <v>6</v>
      </c>
      <c r="H86" t="s">
        <v>46</v>
      </c>
    </row>
    <row r="87" spans="4:10" x14ac:dyDescent="0.25">
      <c r="D87" t="s">
        <v>215</v>
      </c>
      <c r="G87" s="20">
        <f>G85/(G86*60)</f>
        <v>15092.741877246714</v>
      </c>
      <c r="H87" t="s">
        <v>50</v>
      </c>
    </row>
    <row r="88" spans="4:10" x14ac:dyDescent="0.25">
      <c r="D88" t="s">
        <v>218</v>
      </c>
      <c r="G88" s="20">
        <f>G86*0.341</f>
        <v>2.0460000000000003</v>
      </c>
      <c r="H88" t="s">
        <v>46</v>
      </c>
    </row>
    <row r="89" spans="4:10" x14ac:dyDescent="0.25">
      <c r="G89" s="20"/>
    </row>
    <row r="90" spans="4:10" x14ac:dyDescent="0.25">
      <c r="G90" s="20"/>
    </row>
    <row r="91" spans="4:10" ht="21" x14ac:dyDescent="0.35">
      <c r="D91" s="26" t="s">
        <v>138</v>
      </c>
      <c r="G91" s="20"/>
    </row>
    <row r="92" spans="4:10" ht="21" x14ac:dyDescent="0.35">
      <c r="D92" s="26" t="s">
        <v>149</v>
      </c>
      <c r="G92" s="20"/>
    </row>
    <row r="93" spans="4:10" x14ac:dyDescent="0.25">
      <c r="G93" s="20"/>
      <c r="J93" t="s">
        <v>235</v>
      </c>
    </row>
    <row r="94" spans="4:10" x14ac:dyDescent="0.25">
      <c r="D94" t="s">
        <v>149</v>
      </c>
      <c r="G94" s="20">
        <v>20</v>
      </c>
      <c r="H94" t="s">
        <v>46</v>
      </c>
    </row>
    <row r="95" spans="4:10" x14ac:dyDescent="0.25">
      <c r="D95" t="s">
        <v>146</v>
      </c>
      <c r="G95" s="20">
        <f>G87*('Globaal model'!F36)/(G94/G88)</f>
        <v>74111.399714032275</v>
      </c>
      <c r="H95" t="s">
        <v>50</v>
      </c>
      <c r="I95" t="s">
        <v>234</v>
      </c>
    </row>
    <row r="96" spans="4:10" x14ac:dyDescent="0.25">
      <c r="D96" t="s">
        <v>153</v>
      </c>
      <c r="G96" s="20">
        <f>I71*'Globaal model'!F36</f>
        <v>15553.041960784316</v>
      </c>
      <c r="H96" t="s">
        <v>50</v>
      </c>
    </row>
    <row r="97" spans="7:15" x14ac:dyDescent="0.25">
      <c r="O97" s="20"/>
    </row>
    <row r="98" spans="7:15" x14ac:dyDescent="0.25">
      <c r="G98" s="20"/>
      <c r="O98" s="20"/>
    </row>
    <row r="99" spans="7:15" x14ac:dyDescent="0.25">
      <c r="G99" s="20"/>
      <c r="O99" s="20"/>
    </row>
    <row r="100" spans="7:15" x14ac:dyDescent="0.25">
      <c r="O100" s="20"/>
    </row>
    <row r="101" spans="7:15" x14ac:dyDescent="0.25">
      <c r="O101" s="20"/>
    </row>
    <row r="102" spans="7:15" x14ac:dyDescent="0.25">
      <c r="O102" s="20"/>
    </row>
    <row r="103" spans="7:15" x14ac:dyDescent="0.25">
      <c r="O103" s="20"/>
    </row>
    <row r="104" spans="7:15" x14ac:dyDescent="0.25">
      <c r="N104" s="20"/>
    </row>
    <row r="117" spans="8:18" x14ac:dyDescent="0.25">
      <c r="H117">
        <v>4186</v>
      </c>
      <c r="I117" t="s">
        <v>7</v>
      </c>
    </row>
    <row r="118" spans="8:18" x14ac:dyDescent="0.25">
      <c r="H118">
        <v>1000</v>
      </c>
      <c r="I118" t="s">
        <v>47</v>
      </c>
    </row>
    <row r="119" spans="8:18" x14ac:dyDescent="0.25">
      <c r="H119">
        <v>40</v>
      </c>
      <c r="I119" t="s">
        <v>48</v>
      </c>
    </row>
    <row r="120" spans="8:18" x14ac:dyDescent="0.25">
      <c r="H120" s="20">
        <f>H117*H118*H119</f>
        <v>167440000</v>
      </c>
    </row>
    <row r="121" spans="8:18" x14ac:dyDescent="0.25">
      <c r="I121" t="s">
        <v>49</v>
      </c>
    </row>
    <row r="127" spans="8:18" x14ac:dyDescent="0.25">
      <c r="R127" s="23"/>
    </row>
    <row r="128" spans="8:18" x14ac:dyDescent="0.25">
      <c r="R128" s="23"/>
    </row>
    <row r="129" spans="17:17" x14ac:dyDescent="0.25">
      <c r="Q129" s="19"/>
    </row>
  </sheetData>
  <mergeCells count="7">
    <mergeCell ref="I11:I12"/>
    <mergeCell ref="B11:B12"/>
    <mergeCell ref="C11:C12"/>
    <mergeCell ref="D11:D12"/>
    <mergeCell ref="E11:E12"/>
    <mergeCell ref="F11:F12"/>
    <mergeCell ref="G11:G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73111-E684-4C7C-9212-551349B5AB3D}">
  <dimension ref="A1:K294"/>
  <sheetViews>
    <sheetView workbookViewId="0">
      <selection activeCell="E3" sqref="E3"/>
    </sheetView>
  </sheetViews>
  <sheetFormatPr defaultRowHeight="15" x14ac:dyDescent="0.25"/>
  <cols>
    <col min="4" max="4" width="22.7109375" bestFit="1" customWidth="1"/>
    <col min="5" max="5" width="24.85546875" bestFit="1" customWidth="1"/>
    <col min="6" max="6" width="19.85546875" bestFit="1" customWidth="1"/>
    <col min="7" max="7" width="15.7109375" bestFit="1" customWidth="1"/>
    <col min="8" max="8" width="26.85546875" bestFit="1" customWidth="1"/>
    <col min="9" max="10" width="26.85546875" customWidth="1"/>
    <col min="11" max="11" width="10.5703125" bestFit="1" customWidth="1"/>
  </cols>
  <sheetData>
    <row r="1" spans="1:11" x14ac:dyDescent="0.25">
      <c r="A1" t="s">
        <v>54</v>
      </c>
      <c r="D1">
        <v>5</v>
      </c>
      <c r="E1" t="s">
        <v>46</v>
      </c>
    </row>
    <row r="2" spans="1:11" x14ac:dyDescent="0.25">
      <c r="A2" t="s">
        <v>156</v>
      </c>
      <c r="D2" t="s">
        <v>157</v>
      </c>
      <c r="E2">
        <v>35</v>
      </c>
      <c r="F2" s="23" t="s">
        <v>51</v>
      </c>
      <c r="G2" t="s">
        <v>52</v>
      </c>
      <c r="I2">
        <v>35</v>
      </c>
      <c r="J2" s="23" t="s">
        <v>51</v>
      </c>
      <c r="K2" t="s">
        <v>53</v>
      </c>
    </row>
    <row r="3" spans="1:11" x14ac:dyDescent="0.25">
      <c r="D3" t="s">
        <v>158</v>
      </c>
      <c r="E3">
        <v>60</v>
      </c>
      <c r="F3" s="23" t="s">
        <v>51</v>
      </c>
    </row>
    <row r="4" spans="1:11" x14ac:dyDescent="0.25">
      <c r="A4" t="s">
        <v>160</v>
      </c>
      <c r="E4">
        <v>70</v>
      </c>
      <c r="F4" s="23" t="s">
        <v>51</v>
      </c>
      <c r="K4" s="20">
        <f>_xlfn.NORM.DIST(0,0,Afleiding_Tapwater_schema!G$94,FALSE)</f>
        <v>1.9947114020071637E-2</v>
      </c>
    </row>
    <row r="5" spans="1:11" x14ac:dyDescent="0.25">
      <c r="A5" t="s">
        <v>55</v>
      </c>
      <c r="B5" t="s">
        <v>236</v>
      </c>
      <c r="C5" t="s">
        <v>155</v>
      </c>
      <c r="D5" t="s">
        <v>150</v>
      </c>
      <c r="E5" t="s">
        <v>151</v>
      </c>
      <c r="F5" t="s">
        <v>152</v>
      </c>
      <c r="G5" t="s">
        <v>154</v>
      </c>
      <c r="H5" t="s">
        <v>159</v>
      </c>
      <c r="I5" t="s">
        <v>161</v>
      </c>
      <c r="J5" t="s">
        <v>162</v>
      </c>
      <c r="K5" t="s">
        <v>147</v>
      </c>
    </row>
    <row r="6" spans="1:11" x14ac:dyDescent="0.25">
      <c r="A6">
        <v>0</v>
      </c>
      <c r="B6">
        <f>A6*60</f>
        <v>0</v>
      </c>
      <c r="C6">
        <f>A6/60</f>
        <v>0</v>
      </c>
      <c r="D6">
        <f>IF(OR(A6&lt;420,A6&gt;1440),0,Afleiding_Tapwater_schema!G$96)</f>
        <v>0</v>
      </c>
      <c r="E6" s="13">
        <f>_xlfn.NORM.DIST(A6,-30,Afleiding_Tapwater_schema!G$94,FALSE)*Afleiding_Tapwater_schema!G$95/K$4 + _xlfn.NORM.DIST(A6,Afleiding_Tapwater_schema!G$66*60,Afleiding_Tapwater_schema!G$94,FALSE)*Afleiding_Tapwater_schema!G$95/K$4 + _xlfn.NORM.DIST(A6,1415,Afleiding_Tapwater_schema!G$94,FALSE)*Afleiding_Tapwater_schema!G$95/K$4</f>
        <v>24060.448776541471</v>
      </c>
      <c r="F6">
        <v>2000</v>
      </c>
      <c r="G6" s="13">
        <f>D6+E6+F6</f>
        <v>26060.448776541471</v>
      </c>
      <c r="H6" s="13">
        <f>(F6*E$3+(D6+E6)*E$2)/(D6+E6+F6)</f>
        <v>36.918616230623314</v>
      </c>
      <c r="I6" s="27">
        <f>G6/((Afleiding_Tapwater_schema!D$4*1000)*(E$4-H6))</f>
        <v>1.881910644711773E-4</v>
      </c>
      <c r="J6" s="27">
        <f>I6*1000*60</f>
        <v>11.291463868270638</v>
      </c>
      <c r="K6">
        <f>G6/1000</f>
        <v>26.06044877654147</v>
      </c>
    </row>
    <row r="7" spans="1:11" x14ac:dyDescent="0.25">
      <c r="A7">
        <f>A6+D$1</f>
        <v>5</v>
      </c>
      <c r="B7">
        <f t="shared" ref="B7:B70" si="0">A7*60</f>
        <v>300</v>
      </c>
      <c r="C7">
        <f t="shared" ref="C7:C70" si="1">A7/60</f>
        <v>8.3333333333333329E-2</v>
      </c>
      <c r="D7">
        <f>IF(OR(A7&lt;420,A7&gt;1440),0,Afleiding_Tapwater_schema!G$96)</f>
        <v>0</v>
      </c>
      <c r="E7" s="13">
        <f>_xlfn.NORM.DIST(A7,-30,Afleiding_Tapwater_schema!G$94,FALSE)*Afleiding_Tapwater_schema!G$95/K$4 + _xlfn.NORM.DIST(A7,Afleiding_Tapwater_schema!G$66*60,Afleiding_Tapwater_schema!G$94,FALSE)*Afleiding_Tapwater_schema!G$95/K$4 + _xlfn.NORM.DIST(A7,1415,Afleiding_Tapwater_schema!G$94,FALSE)*Afleiding_Tapwater_schema!G$95/K$4</f>
        <v>16027.71422315165</v>
      </c>
      <c r="F7">
        <v>2000</v>
      </c>
      <c r="G7" s="13">
        <f t="shared" ref="G7:G70" si="2">D7+E7+F7</f>
        <v>18027.714223151648</v>
      </c>
      <c r="H7" s="13">
        <f t="shared" ref="H7:H70" si="3">(F7*E$3+(D7+E7)*E$2)/(D7+E7+F7)</f>
        <v>37.773507466397973</v>
      </c>
      <c r="I7" s="27">
        <f>G7/((Afleiding_Tapwater_schema!D$4*1000)*(E$4-H7))</f>
        <v>1.3363751787001129E-4</v>
      </c>
      <c r="J7" s="27">
        <f t="shared" ref="J7:J70" si="4">I7*1000*60</f>
        <v>8.0182510722006786</v>
      </c>
      <c r="K7">
        <f t="shared" ref="K7:K70" si="5">G7/1000</f>
        <v>18.027714223151648</v>
      </c>
    </row>
    <row r="8" spans="1:11" x14ac:dyDescent="0.25">
      <c r="A8">
        <f t="shared" ref="A8:A73" si="6">A7+D$1</f>
        <v>10</v>
      </c>
      <c r="B8">
        <f t="shared" si="0"/>
        <v>600</v>
      </c>
      <c r="C8">
        <f t="shared" si="1"/>
        <v>0.16666666666666666</v>
      </c>
      <c r="D8">
        <f>IF(OR(A8&lt;420,A8&gt;1440),0,Afleiding_Tapwater_schema!G$96)</f>
        <v>0</v>
      </c>
      <c r="E8" s="13">
        <f>_xlfn.NORM.DIST(A8,-30,Afleiding_Tapwater_schema!G$94,FALSE)*Afleiding_Tapwater_schema!G$95/K$4 + _xlfn.NORM.DIST(A8,Afleiding_Tapwater_schema!G$66*60,Afleiding_Tapwater_schema!G$94,FALSE)*Afleiding_Tapwater_schema!G$95/K$4 + _xlfn.NORM.DIST(A8,1415,Afleiding_Tapwater_schema!G$94,FALSE)*Afleiding_Tapwater_schema!G$95/K$4</f>
        <v>10029.887271360376</v>
      </c>
      <c r="F8">
        <v>2000</v>
      </c>
      <c r="G8" s="13">
        <f t="shared" si="2"/>
        <v>12029.887271360376</v>
      </c>
      <c r="H8" s="13">
        <f t="shared" si="3"/>
        <v>39.156314924000604</v>
      </c>
      <c r="I8" s="27">
        <f>G8/((Afleiding_Tapwater_schema!D$4*1000)*(E$4-H8))</f>
        <v>9.3174286022235558E-5</v>
      </c>
      <c r="J8" s="27">
        <f t="shared" si="4"/>
        <v>5.5904571613341334</v>
      </c>
      <c r="K8">
        <f t="shared" si="5"/>
        <v>12.029887271360376</v>
      </c>
    </row>
    <row r="9" spans="1:11" x14ac:dyDescent="0.25">
      <c r="A9">
        <f t="shared" si="6"/>
        <v>15</v>
      </c>
      <c r="B9">
        <f t="shared" si="0"/>
        <v>900</v>
      </c>
      <c r="C9">
        <f t="shared" si="1"/>
        <v>0.25</v>
      </c>
      <c r="D9">
        <f>IF(OR(A9&lt;420,A9&gt;1440),0,Afleiding_Tapwater_schema!G$96)</f>
        <v>0</v>
      </c>
      <c r="E9" s="13">
        <f>_xlfn.NORM.DIST(A9,-30,Afleiding_Tapwater_schema!G$94,FALSE)*Afleiding_Tapwater_schema!G$95/K$4 + _xlfn.NORM.DIST(A9,Afleiding_Tapwater_schema!G$66*60,Afleiding_Tapwater_schema!G$94,FALSE)*Afleiding_Tapwater_schema!G$95/K$4 + _xlfn.NORM.DIST(A9,1415,Afleiding_Tapwater_schema!G$94,FALSE)*Afleiding_Tapwater_schema!G$95/K$4</f>
        <v>5896.2665516686066</v>
      </c>
      <c r="F9">
        <v>2000</v>
      </c>
      <c r="G9" s="13">
        <f t="shared" si="2"/>
        <v>7896.2665516686066</v>
      </c>
      <c r="H9" s="13">
        <f t="shared" si="3"/>
        <v>41.332106404061825</v>
      </c>
      <c r="I9" s="27">
        <f>G9/((Afleiding_Tapwater_schema!D$4*1000)*(E$4-H9))</f>
        <v>6.5800136171315895E-5</v>
      </c>
      <c r="J9" s="27">
        <f t="shared" si="4"/>
        <v>3.9480081702789542</v>
      </c>
      <c r="K9">
        <f t="shared" si="5"/>
        <v>7.8962665516686066</v>
      </c>
    </row>
    <row r="10" spans="1:11" x14ac:dyDescent="0.25">
      <c r="A10">
        <f t="shared" si="6"/>
        <v>20</v>
      </c>
      <c r="B10">
        <f t="shared" si="0"/>
        <v>1200</v>
      </c>
      <c r="C10">
        <f t="shared" si="1"/>
        <v>0.33333333333333331</v>
      </c>
      <c r="D10">
        <f>IF(OR(A10&lt;420,A10&gt;1440),0,Afleiding_Tapwater_schema!G$96)</f>
        <v>0</v>
      </c>
      <c r="E10" s="13">
        <f>_xlfn.NORM.DIST(A10,-30,Afleiding_Tapwater_schema!G$94,FALSE)*Afleiding_Tapwater_schema!G$95/K$4 + _xlfn.NORM.DIST(A10,Afleiding_Tapwater_schema!G$66*60,Afleiding_Tapwater_schema!G$94,FALSE)*Afleiding_Tapwater_schema!G$95/K$4 + _xlfn.NORM.DIST(A10,1415,Afleiding_Tapwater_schema!G$94,FALSE)*Afleiding_Tapwater_schema!G$95/K$4</f>
        <v>3256.2276499732516</v>
      </c>
      <c r="F10">
        <v>2000</v>
      </c>
      <c r="G10" s="13">
        <f t="shared" si="2"/>
        <v>5256.2276499732516</v>
      </c>
      <c r="H10" s="13">
        <f t="shared" si="3"/>
        <v>44.512525584818313</v>
      </c>
      <c r="I10" s="27">
        <f>G10/((Afleiding_Tapwater_schema!D$4*1000)*(E$4-H10))</f>
        <v>4.9266094963556345E-5</v>
      </c>
      <c r="J10" s="27">
        <f t="shared" si="4"/>
        <v>2.9559656978133804</v>
      </c>
      <c r="K10">
        <f t="shared" si="5"/>
        <v>5.2562276499732512</v>
      </c>
    </row>
    <row r="11" spans="1:11" x14ac:dyDescent="0.25">
      <c r="A11">
        <f t="shared" si="6"/>
        <v>25</v>
      </c>
      <c r="B11">
        <f t="shared" si="0"/>
        <v>1500</v>
      </c>
      <c r="C11">
        <f t="shared" si="1"/>
        <v>0.41666666666666669</v>
      </c>
      <c r="D11">
        <f>IF(OR(A11&lt;420,A11&gt;1440),0,Afleiding_Tapwater_schema!G$96)</f>
        <v>0</v>
      </c>
      <c r="E11" s="13">
        <f>_xlfn.NORM.DIST(A11,-30,Afleiding_Tapwater_schema!G$94,FALSE)*Afleiding_Tapwater_schema!G$95/K$4 + _xlfn.NORM.DIST(A11,Afleiding_Tapwater_schema!G$66*60,Afleiding_Tapwater_schema!G$94,FALSE)*Afleiding_Tapwater_schema!G$95/K$4 + _xlfn.NORM.DIST(A11,1415,Afleiding_Tapwater_schema!G$94,FALSE)*Afleiding_Tapwater_schema!G$95/K$4</f>
        <v>1689.3086506193474</v>
      </c>
      <c r="F11">
        <v>2000</v>
      </c>
      <c r="G11" s="13">
        <f t="shared" si="2"/>
        <v>3689.3086506193476</v>
      </c>
      <c r="H11" s="13">
        <f t="shared" si="3"/>
        <v>48.55267469735994</v>
      </c>
      <c r="I11" s="27">
        <f>G11/((Afleiding_Tapwater_schema!D$4*1000)*(E$4-H11))</f>
        <v>4.109345219491411E-5</v>
      </c>
      <c r="J11" s="27">
        <f t="shared" si="4"/>
        <v>2.4656071316948465</v>
      </c>
      <c r="K11">
        <f t="shared" si="5"/>
        <v>3.6893086506193478</v>
      </c>
    </row>
    <row r="12" spans="1:11" x14ac:dyDescent="0.25">
      <c r="A12">
        <f t="shared" si="6"/>
        <v>30</v>
      </c>
      <c r="B12">
        <f t="shared" si="0"/>
        <v>1800</v>
      </c>
      <c r="C12">
        <f t="shared" si="1"/>
        <v>0.5</v>
      </c>
      <c r="D12">
        <f>IF(OR(A12&lt;420,A12&gt;1440),0,Afleiding_Tapwater_schema!G$96)</f>
        <v>0</v>
      </c>
      <c r="E12" s="13">
        <f>_xlfn.NORM.DIST(A12,-30,Afleiding_Tapwater_schema!G$94,FALSE)*Afleiding_Tapwater_schema!G$95/K$4 + _xlfn.NORM.DIST(A12,Afleiding_Tapwater_schema!G$66*60,Afleiding_Tapwater_schema!G$94,FALSE)*Afleiding_Tapwater_schema!G$95/K$4 + _xlfn.NORM.DIST(A12,1415,Afleiding_Tapwater_schema!G$94,FALSE)*Afleiding_Tapwater_schema!G$95/K$4</f>
        <v>823.30328286747624</v>
      </c>
      <c r="F12">
        <v>2000</v>
      </c>
      <c r="G12" s="13">
        <f t="shared" si="2"/>
        <v>2823.3032828674764</v>
      </c>
      <c r="H12" s="13">
        <f t="shared" si="3"/>
        <v>52.709751659842119</v>
      </c>
      <c r="I12" s="27">
        <f>G12/((Afleiding_Tapwater_schema!D$4*1000)*(E$4-H12))</f>
        <v>3.9008304855315366E-5</v>
      </c>
      <c r="J12" s="27">
        <f t="shared" si="4"/>
        <v>2.3404982913189221</v>
      </c>
      <c r="K12">
        <f t="shared" si="5"/>
        <v>2.8233032828674762</v>
      </c>
    </row>
    <row r="13" spans="1:11" x14ac:dyDescent="0.25">
      <c r="A13">
        <f t="shared" si="6"/>
        <v>35</v>
      </c>
      <c r="B13">
        <f t="shared" si="0"/>
        <v>2100</v>
      </c>
      <c r="C13">
        <f t="shared" si="1"/>
        <v>0.58333333333333337</v>
      </c>
      <c r="D13">
        <f>IF(OR(A13&lt;420,A13&gt;1440),0,Afleiding_Tapwater_schema!G$96)</f>
        <v>0</v>
      </c>
      <c r="E13" s="13">
        <f>_xlfn.NORM.DIST(A13,-30,Afleiding_Tapwater_schema!G$94,FALSE)*Afleiding_Tapwater_schema!G$95/K$4 + _xlfn.NORM.DIST(A13,Afleiding_Tapwater_schema!G$66*60,Afleiding_Tapwater_schema!G$94,FALSE)*Afleiding_Tapwater_schema!G$95/K$4 + _xlfn.NORM.DIST(A13,1415,Afleiding_Tapwater_schema!G$94,FALSE)*Afleiding_Tapwater_schema!G$95/K$4</f>
        <v>376.93570975282307</v>
      </c>
      <c r="F13">
        <v>2000</v>
      </c>
      <c r="G13" s="13">
        <f t="shared" si="2"/>
        <v>2376.9357097528232</v>
      </c>
      <c r="H13" s="13">
        <f t="shared" si="3"/>
        <v>56.035486906458857</v>
      </c>
      <c r="I13" s="27">
        <f>G13/((Afleiding_Tapwater_schema!D$4*1000)*(E$4-H13))</f>
        <v>4.0662344335245733E-5</v>
      </c>
      <c r="J13" s="27">
        <f t="shared" si="4"/>
        <v>2.4397406601147438</v>
      </c>
      <c r="K13">
        <f t="shared" si="5"/>
        <v>2.3769357097528232</v>
      </c>
    </row>
    <row r="14" spans="1:11" x14ac:dyDescent="0.25">
      <c r="A14">
        <f t="shared" si="6"/>
        <v>40</v>
      </c>
      <c r="B14">
        <f t="shared" si="0"/>
        <v>2400</v>
      </c>
      <c r="C14">
        <f t="shared" si="1"/>
        <v>0.66666666666666663</v>
      </c>
      <c r="D14">
        <f>IF(OR(A14&lt;420,A14&gt;1440),0,Afleiding_Tapwater_schema!G$96)</f>
        <v>0</v>
      </c>
      <c r="E14" s="13">
        <f>_xlfn.NORM.DIST(A14,-30,Afleiding_Tapwater_schema!G$94,FALSE)*Afleiding_Tapwater_schema!G$95/K$4 + _xlfn.NORM.DIST(A14,Afleiding_Tapwater_schema!G$66*60,Afleiding_Tapwater_schema!G$94,FALSE)*Afleiding_Tapwater_schema!G$95/K$4 + _xlfn.NORM.DIST(A14,1415,Afleiding_Tapwater_schema!G$94,FALSE)*Afleiding_Tapwater_schema!G$95/K$4</f>
        <v>162.1180286305472</v>
      </c>
      <c r="F14">
        <v>2000</v>
      </c>
      <c r="G14" s="13">
        <f t="shared" si="2"/>
        <v>2162.1180286305471</v>
      </c>
      <c r="H14" s="13">
        <f t="shared" si="3"/>
        <v>58.125472031547346</v>
      </c>
      <c r="I14" s="27">
        <f>G14/((Afleiding_Tapwater_schema!D$4*1000)*(E$4-H14))</f>
        <v>4.3497452184831558E-5</v>
      </c>
      <c r="J14" s="27">
        <f t="shared" si="4"/>
        <v>2.6098471310898934</v>
      </c>
      <c r="K14">
        <f t="shared" si="5"/>
        <v>2.1621180286305473</v>
      </c>
    </row>
    <row r="15" spans="1:11" x14ac:dyDescent="0.25">
      <c r="A15">
        <f t="shared" si="6"/>
        <v>45</v>
      </c>
      <c r="B15">
        <f t="shared" si="0"/>
        <v>2700</v>
      </c>
      <c r="C15">
        <f t="shared" si="1"/>
        <v>0.75</v>
      </c>
      <c r="D15">
        <f>IF(OR(A15&lt;420,A15&gt;1440),0,Afleiding_Tapwater_schema!G$96)</f>
        <v>0</v>
      </c>
      <c r="E15" s="13">
        <f>_xlfn.NORM.DIST(A15,-30,Afleiding_Tapwater_schema!G$94,FALSE)*Afleiding_Tapwater_schema!G$95/K$4 + _xlfn.NORM.DIST(A15,Afleiding_Tapwater_schema!G$66*60,Afleiding_Tapwater_schema!G$94,FALSE)*Afleiding_Tapwater_schema!G$95/K$4 + _xlfn.NORM.DIST(A15,1415,Afleiding_Tapwater_schema!G$94,FALSE)*Afleiding_Tapwater_schema!G$95/K$4</f>
        <v>65.501604711040457</v>
      </c>
      <c r="F15">
        <v>2000</v>
      </c>
      <c r="G15" s="13">
        <f t="shared" si="2"/>
        <v>2065.5016047110403</v>
      </c>
      <c r="H15" s="13">
        <f t="shared" si="3"/>
        <v>59.207194942845327</v>
      </c>
      <c r="I15" s="27">
        <f>G15/((Afleiding_Tapwater_schema!D$4*1000)*(E$4-H15))</f>
        <v>4.5718500732644407E-5</v>
      </c>
      <c r="J15" s="27">
        <f t="shared" si="4"/>
        <v>2.7431100439586644</v>
      </c>
      <c r="K15">
        <f t="shared" si="5"/>
        <v>2.0655016047110402</v>
      </c>
    </row>
    <row r="16" spans="1:11" x14ac:dyDescent="0.25">
      <c r="A16">
        <f t="shared" si="6"/>
        <v>50</v>
      </c>
      <c r="B16">
        <f t="shared" si="0"/>
        <v>3000</v>
      </c>
      <c r="C16">
        <f t="shared" si="1"/>
        <v>0.83333333333333337</v>
      </c>
      <c r="D16">
        <f>IF(OR(A16&lt;420,A16&gt;1440),0,Afleiding_Tapwater_schema!G$96)</f>
        <v>0</v>
      </c>
      <c r="E16" s="13">
        <f>_xlfn.NORM.DIST(A16,-30,Afleiding_Tapwater_schema!G$94,FALSE)*Afleiding_Tapwater_schema!G$95/K$4 + _xlfn.NORM.DIST(A16,Afleiding_Tapwater_schema!G$66*60,Afleiding_Tapwater_schema!G$94,FALSE)*Afleiding_Tapwater_schema!G$95/K$4 + _xlfn.NORM.DIST(A16,1415,Afleiding_Tapwater_schema!G$94,FALSE)*Afleiding_Tapwater_schema!G$95/K$4</f>
        <v>24.861604905602729</v>
      </c>
      <c r="F16">
        <v>2000</v>
      </c>
      <c r="G16" s="13">
        <f t="shared" si="2"/>
        <v>2024.8616049056027</v>
      </c>
      <c r="H16" s="13">
        <f t="shared" si="3"/>
        <v>59.693045627842288</v>
      </c>
      <c r="I16" s="27">
        <f>G16/((Afleiding_Tapwater_schema!D$4*1000)*(E$4-H16))</f>
        <v>4.693164403140562E-5</v>
      </c>
      <c r="J16" s="27">
        <f t="shared" si="4"/>
        <v>2.8158986418843375</v>
      </c>
      <c r="K16">
        <f t="shared" si="5"/>
        <v>2.0248616049056025</v>
      </c>
    </row>
    <row r="17" spans="1:11" x14ac:dyDescent="0.25">
      <c r="A17">
        <f t="shared" si="6"/>
        <v>55</v>
      </c>
      <c r="B17">
        <f t="shared" si="0"/>
        <v>3300</v>
      </c>
      <c r="C17">
        <f t="shared" si="1"/>
        <v>0.91666666666666663</v>
      </c>
      <c r="D17">
        <f>IF(OR(A17&lt;420,A17&gt;1440),0,Afleiding_Tapwater_schema!G$96)</f>
        <v>0</v>
      </c>
      <c r="E17" s="13">
        <f>_xlfn.NORM.DIST(A17,-30,Afleiding_Tapwater_schema!G$94,FALSE)*Afleiding_Tapwater_schema!G$95/K$4 + _xlfn.NORM.DIST(A17,Afleiding_Tapwater_schema!G$66*60,Afleiding_Tapwater_schema!G$94,FALSE)*Afleiding_Tapwater_schema!G$95/K$4 + _xlfn.NORM.DIST(A17,1415,Afleiding_Tapwater_schema!G$94,FALSE)*Afleiding_Tapwater_schema!G$95/K$4</f>
        <v>8.8646782260213044</v>
      </c>
      <c r="F17">
        <v>2000</v>
      </c>
      <c r="G17" s="13">
        <f t="shared" si="2"/>
        <v>2008.8646782260214</v>
      </c>
      <c r="H17" s="13">
        <f t="shared" si="3"/>
        <v>59.88968049562888</v>
      </c>
      <c r="I17" s="27">
        <f>G17/((Afleiding_Tapwater_schema!D$4*1000)*(E$4-H17))</f>
        <v>4.7466430999830602E-5</v>
      </c>
      <c r="J17" s="27">
        <f t="shared" si="4"/>
        <v>2.8479858599898362</v>
      </c>
      <c r="K17">
        <f t="shared" si="5"/>
        <v>2.0088646782260215</v>
      </c>
    </row>
    <row r="18" spans="1:11" x14ac:dyDescent="0.25">
      <c r="A18">
        <f t="shared" si="6"/>
        <v>60</v>
      </c>
      <c r="B18">
        <f t="shared" si="0"/>
        <v>3600</v>
      </c>
      <c r="C18">
        <f t="shared" si="1"/>
        <v>1</v>
      </c>
      <c r="D18">
        <f>IF(OR(A18&lt;420,A18&gt;1440),0,Afleiding_Tapwater_schema!G$96)</f>
        <v>0</v>
      </c>
      <c r="E18" s="13">
        <f>_xlfn.NORM.DIST(A18,-30,Afleiding_Tapwater_schema!G$94,FALSE)*Afleiding_Tapwater_schema!G$95/K$4 + _xlfn.NORM.DIST(A18,Afleiding_Tapwater_schema!G$66*60,Afleiding_Tapwater_schema!G$94,FALSE)*Afleiding_Tapwater_schema!G$95/K$4 + _xlfn.NORM.DIST(A18,1415,Afleiding_Tapwater_schema!G$94,FALSE)*Afleiding_Tapwater_schema!G$95/K$4</f>
        <v>2.9692952697505719</v>
      </c>
      <c r="F18">
        <v>2000</v>
      </c>
      <c r="G18" s="13">
        <f t="shared" si="2"/>
        <v>2002.9692952697505</v>
      </c>
      <c r="H18" s="13">
        <f t="shared" si="3"/>
        <v>59.962938831903678</v>
      </c>
      <c r="I18" s="27">
        <f>G18/((Afleiding_Tapwater_schema!D$4*1000)*(E$4-H18))</f>
        <v>4.7672562515509298E-5</v>
      </c>
      <c r="J18" s="27">
        <f t="shared" si="4"/>
        <v>2.8603537509305577</v>
      </c>
      <c r="K18">
        <f t="shared" si="5"/>
        <v>2.0029692952697506</v>
      </c>
    </row>
    <row r="19" spans="1:11" x14ac:dyDescent="0.25">
      <c r="A19">
        <f t="shared" si="6"/>
        <v>65</v>
      </c>
      <c r="B19">
        <f t="shared" si="0"/>
        <v>3900</v>
      </c>
      <c r="C19">
        <f t="shared" si="1"/>
        <v>1.0833333333333333</v>
      </c>
      <c r="D19">
        <f>IF(OR(A19&lt;420,A19&gt;1440),0,Afleiding_Tapwater_schema!G$96)</f>
        <v>0</v>
      </c>
      <c r="E19" s="13">
        <f>_xlfn.NORM.DIST(A19,-30,Afleiding_Tapwater_schema!G$94,FALSE)*Afleiding_Tapwater_schema!G$95/K$4 + _xlfn.NORM.DIST(A19,Afleiding_Tapwater_schema!G$66*60,Afleiding_Tapwater_schema!G$94,FALSE)*Afleiding_Tapwater_schema!G$95/K$4 + _xlfn.NORM.DIST(A19,1415,Afleiding_Tapwater_schema!G$94,FALSE)*Afleiding_Tapwater_schema!G$95/K$4</f>
        <v>0.93433021101308866</v>
      </c>
      <c r="F19">
        <v>2000</v>
      </c>
      <c r="G19" s="13">
        <f t="shared" si="2"/>
        <v>2000.934330211013</v>
      </c>
      <c r="H19" s="13">
        <f t="shared" si="3"/>
        <v>59.988326325895535</v>
      </c>
      <c r="I19" s="27">
        <f>G19/((Afleiding_Tapwater_schema!D$4*1000)*(E$4-H19))</f>
        <v>4.7744893174167496E-5</v>
      </c>
      <c r="J19" s="27">
        <f t="shared" si="4"/>
        <v>2.8646935904500497</v>
      </c>
      <c r="K19">
        <f t="shared" si="5"/>
        <v>2.0009343302110132</v>
      </c>
    </row>
    <row r="20" spans="1:11" x14ac:dyDescent="0.25">
      <c r="A20">
        <f t="shared" si="6"/>
        <v>70</v>
      </c>
      <c r="B20">
        <f t="shared" si="0"/>
        <v>4200</v>
      </c>
      <c r="C20">
        <f t="shared" si="1"/>
        <v>1.1666666666666667</v>
      </c>
      <c r="D20">
        <f>IF(OR(A20&lt;420,A20&gt;1440),0,Afleiding_Tapwater_schema!G$96)</f>
        <v>0</v>
      </c>
      <c r="E20" s="13">
        <f>_xlfn.NORM.DIST(A20,-30,Afleiding_Tapwater_schema!G$94,FALSE)*Afleiding_Tapwater_schema!G$95/K$4 + _xlfn.NORM.DIST(A20,Afleiding_Tapwater_schema!G$66*60,Afleiding_Tapwater_schema!G$94,FALSE)*Afleiding_Tapwater_schema!G$95/K$4 + _xlfn.NORM.DIST(A20,1415,Afleiding_Tapwater_schema!G$94,FALSE)*Afleiding_Tapwater_schema!G$95/K$4</f>
        <v>0.27618748283148864</v>
      </c>
      <c r="F20">
        <v>2000</v>
      </c>
      <c r="G20" s="13">
        <f t="shared" si="2"/>
        <v>2000.2761874828316</v>
      </c>
      <c r="H20" s="13">
        <f t="shared" si="3"/>
        <v>59.996548133145808</v>
      </c>
      <c r="I20" s="27">
        <f>G20/((Afleiding_Tapwater_schema!D$4*1000)*(E$4-H20))</f>
        <v>4.7768417511565028E-5</v>
      </c>
      <c r="J20" s="27">
        <f t="shared" si="4"/>
        <v>2.8661050506939016</v>
      </c>
      <c r="K20">
        <f t="shared" si="5"/>
        <v>2.0002761874828314</v>
      </c>
    </row>
    <row r="21" spans="1:11" x14ac:dyDescent="0.25">
      <c r="A21">
        <f t="shared" si="6"/>
        <v>75</v>
      </c>
      <c r="B21">
        <f t="shared" si="0"/>
        <v>4500</v>
      </c>
      <c r="C21">
        <f t="shared" si="1"/>
        <v>1.25</v>
      </c>
      <c r="D21">
        <f>IF(OR(A21&lt;420,A21&gt;1440),0,Afleiding_Tapwater_schema!G$96)</f>
        <v>0</v>
      </c>
      <c r="E21" s="13">
        <f>_xlfn.NORM.DIST(A21,-30,Afleiding_Tapwater_schema!G$94,FALSE)*Afleiding_Tapwater_schema!G$95/K$4 + _xlfn.NORM.DIST(A21,Afleiding_Tapwater_schema!G$66*60,Afleiding_Tapwater_schema!G$94,FALSE)*Afleiding_Tapwater_schema!G$95/K$4 + _xlfn.NORM.DIST(A21,1415,Afleiding_Tapwater_schema!G$94,FALSE)*Afleiding_Tapwater_schema!G$95/K$4</f>
        <v>7.6694494085276441E-2</v>
      </c>
      <c r="F21">
        <v>2000</v>
      </c>
      <c r="G21" s="13">
        <f t="shared" si="2"/>
        <v>2000.0766944940854</v>
      </c>
      <c r="H21" s="13">
        <f t="shared" si="3"/>
        <v>59.999041355585312</v>
      </c>
      <c r="I21" s="27">
        <f>G21/((Afleiding_Tapwater_schema!D$4*1000)*(E$4-H21))</f>
        <v>4.7775560837023363E-5</v>
      </c>
      <c r="J21" s="27">
        <f t="shared" si="4"/>
        <v>2.8665336502214016</v>
      </c>
      <c r="K21">
        <f t="shared" si="5"/>
        <v>2.0000766944940853</v>
      </c>
    </row>
    <row r="22" spans="1:11" x14ac:dyDescent="0.25">
      <c r="A22">
        <f t="shared" si="6"/>
        <v>80</v>
      </c>
      <c r="B22">
        <f t="shared" si="0"/>
        <v>4800</v>
      </c>
      <c r="C22">
        <f t="shared" si="1"/>
        <v>1.3333333333333333</v>
      </c>
      <c r="D22">
        <f>IF(OR(A22&lt;420,A22&gt;1440),0,Afleiding_Tapwater_schema!G$96)</f>
        <v>0</v>
      </c>
      <c r="E22" s="13">
        <f>_xlfn.NORM.DIST(A22,-30,Afleiding_Tapwater_schema!G$94,FALSE)*Afleiding_Tapwater_schema!G$95/K$4 + _xlfn.NORM.DIST(A22,Afleiding_Tapwater_schema!G$66*60,Afleiding_Tapwater_schema!G$94,FALSE)*Afleiding_Tapwater_schema!G$95/K$4 + _xlfn.NORM.DIST(A22,1415,Afleiding_Tapwater_schema!G$94,FALSE)*Afleiding_Tapwater_schema!G$95/K$4</f>
        <v>2.000695415221453E-2</v>
      </c>
      <c r="F22">
        <v>2000</v>
      </c>
      <c r="G22" s="13">
        <f t="shared" si="2"/>
        <v>2000.0200069541522</v>
      </c>
      <c r="H22" s="13">
        <f t="shared" si="3"/>
        <v>59.99974991557481</v>
      </c>
      <c r="I22" s="27">
        <f>G22/((Afleiding_Tapwater_schema!D$4*1000)*(E$4-H22))</f>
        <v>4.777759175393209E-5</v>
      </c>
      <c r="J22" s="27">
        <f t="shared" si="4"/>
        <v>2.8666555052359257</v>
      </c>
      <c r="K22">
        <f t="shared" si="5"/>
        <v>2.0000200069541521</v>
      </c>
    </row>
    <row r="23" spans="1:11" x14ac:dyDescent="0.25">
      <c r="A23">
        <f t="shared" si="6"/>
        <v>85</v>
      </c>
      <c r="B23">
        <f t="shared" si="0"/>
        <v>5100</v>
      </c>
      <c r="C23">
        <f t="shared" si="1"/>
        <v>1.4166666666666667</v>
      </c>
      <c r="D23">
        <f>IF(OR(A23&lt;420,A23&gt;1440),0,Afleiding_Tapwater_schema!G$96)</f>
        <v>0</v>
      </c>
      <c r="E23" s="13">
        <f>_xlfn.NORM.DIST(A23,-30,Afleiding_Tapwater_schema!G$94,FALSE)*Afleiding_Tapwater_schema!G$95/K$4 + _xlfn.NORM.DIST(A23,Afleiding_Tapwater_schema!G$66*60,Afleiding_Tapwater_schema!G$94,FALSE)*Afleiding_Tapwater_schema!G$95/K$4 + _xlfn.NORM.DIST(A23,1415,Afleiding_Tapwater_schema!G$94,FALSE)*Afleiding_Tapwater_schema!G$95/K$4</f>
        <v>4.9029149732022076E-3</v>
      </c>
      <c r="F23">
        <v>2000</v>
      </c>
      <c r="G23" s="13">
        <f t="shared" si="2"/>
        <v>2000.0049029149732</v>
      </c>
      <c r="H23" s="13">
        <f t="shared" si="3"/>
        <v>59.999938713713071</v>
      </c>
      <c r="I23" s="27">
        <f>G23/((Afleiding_Tapwater_schema!D$4*1000)*(E$4-H23))</f>
        <v>4.7778132959929744E-5</v>
      </c>
      <c r="J23" s="27">
        <f t="shared" si="4"/>
        <v>2.8666879775957845</v>
      </c>
      <c r="K23">
        <f t="shared" si="5"/>
        <v>2.0000049029149731</v>
      </c>
    </row>
    <row r="24" spans="1:11" x14ac:dyDescent="0.25">
      <c r="A24">
        <f t="shared" si="6"/>
        <v>90</v>
      </c>
      <c r="B24">
        <f t="shared" si="0"/>
        <v>5400</v>
      </c>
      <c r="C24">
        <f t="shared" si="1"/>
        <v>1.5</v>
      </c>
      <c r="D24">
        <f>IF(OR(A24&lt;420,A24&gt;1440),0,Afleiding_Tapwater_schema!G$96)</f>
        <v>0</v>
      </c>
      <c r="E24" s="13">
        <f>_xlfn.NORM.DIST(A24,-30,Afleiding_Tapwater_schema!G$94,FALSE)*Afleiding_Tapwater_schema!G$95/K$4 + _xlfn.NORM.DIST(A24,Afleiding_Tapwater_schema!G$66*60,Afleiding_Tapwater_schema!G$94,FALSE)*Afleiding_Tapwater_schema!G$95/K$4 + _xlfn.NORM.DIST(A24,1415,Afleiding_Tapwater_schema!G$94,FALSE)*Afleiding_Tapwater_schema!G$95/K$4</f>
        <v>1.1287151164970127E-3</v>
      </c>
      <c r="F24">
        <v>2000</v>
      </c>
      <c r="G24" s="13">
        <f t="shared" si="2"/>
        <v>2000.0011287151165</v>
      </c>
      <c r="H24" s="13">
        <f t="shared" si="3"/>
        <v>59.999985891069009</v>
      </c>
      <c r="I24" s="27">
        <f>G24/((Afleiding_Tapwater_schema!D$4*1000)*(E$4-H24))</f>
        <v>4.7778268201894581E-5</v>
      </c>
      <c r="J24" s="27">
        <f t="shared" si="4"/>
        <v>2.866696092113675</v>
      </c>
      <c r="K24">
        <f t="shared" si="5"/>
        <v>2.0000011287151165</v>
      </c>
    </row>
    <row r="25" spans="1:11" x14ac:dyDescent="0.25">
      <c r="A25">
        <f t="shared" si="6"/>
        <v>95</v>
      </c>
      <c r="B25">
        <f t="shared" si="0"/>
        <v>5700</v>
      </c>
      <c r="C25">
        <f t="shared" si="1"/>
        <v>1.5833333333333333</v>
      </c>
      <c r="D25">
        <f>IF(OR(A25&lt;420,A25&gt;1440),0,Afleiding_Tapwater_schema!G$96)</f>
        <v>0</v>
      </c>
      <c r="E25" s="13">
        <f>_xlfn.NORM.DIST(A25,-30,Afleiding_Tapwater_schema!G$94,FALSE)*Afleiding_Tapwater_schema!G$95/K$4 + _xlfn.NORM.DIST(A25,Afleiding_Tapwater_schema!G$66*60,Afleiding_Tapwater_schema!G$94,FALSE)*Afleiding_Tapwater_schema!G$95/K$4 + _xlfn.NORM.DIST(A25,1415,Afleiding_Tapwater_schema!G$94,FALSE)*Afleiding_Tapwater_schema!G$95/K$4</f>
        <v>2.4410176297264214E-4</v>
      </c>
      <c r="F25">
        <v>2000</v>
      </c>
      <c r="G25" s="13">
        <f t="shared" si="2"/>
        <v>2000.000244101763</v>
      </c>
      <c r="H25" s="13">
        <f t="shared" si="3"/>
        <v>59.999996948728338</v>
      </c>
      <c r="I25" s="27">
        <f>G25/((Afleiding_Tapwater_schema!D$4*1000)*(E$4-H25))</f>
        <v>4.7778299900801298E-5</v>
      </c>
      <c r="J25" s="27">
        <f t="shared" si="4"/>
        <v>2.8666979940480779</v>
      </c>
      <c r="K25">
        <f t="shared" si="5"/>
        <v>2.0000002441017628</v>
      </c>
    </row>
    <row r="26" spans="1:11" x14ac:dyDescent="0.25">
      <c r="A26">
        <f t="shared" si="6"/>
        <v>100</v>
      </c>
      <c r="B26">
        <f t="shared" si="0"/>
        <v>6000</v>
      </c>
      <c r="C26">
        <f t="shared" si="1"/>
        <v>1.6666666666666667</v>
      </c>
      <c r="D26">
        <f>IF(OR(A26&lt;420,A26&gt;1440),0,Afleiding_Tapwater_schema!G$96)</f>
        <v>0</v>
      </c>
      <c r="E26" s="13">
        <f>_xlfn.NORM.DIST(A26,-30,Afleiding_Tapwater_schema!G$94,FALSE)*Afleiding_Tapwater_schema!G$95/K$4 + _xlfn.NORM.DIST(A26,Afleiding_Tapwater_schema!G$66*60,Afleiding_Tapwater_schema!G$94,FALSE)*Afleiding_Tapwater_schema!G$95/K$4 + _xlfn.NORM.DIST(A26,1415,Afleiding_Tapwater_schema!G$94,FALSE)*Afleiding_Tapwater_schema!G$95/K$4</f>
        <v>4.9592281153265812E-5</v>
      </c>
      <c r="F26">
        <v>2000</v>
      </c>
      <c r="G26" s="13">
        <f t="shared" si="2"/>
        <v>2000.0000495922811</v>
      </c>
      <c r="H26" s="13">
        <f t="shared" si="3"/>
        <v>59.999999380096497</v>
      </c>
      <c r="I26" s="27">
        <f>G26/((Afleiding_Tapwater_schema!D$4*1000)*(E$4-H26))</f>
        <v>4.7778306870797547E-5</v>
      </c>
      <c r="J26" s="27">
        <f t="shared" si="4"/>
        <v>2.8666984122478527</v>
      </c>
      <c r="K26">
        <f t="shared" si="5"/>
        <v>2.0000000495922809</v>
      </c>
    </row>
    <row r="27" spans="1:11" x14ac:dyDescent="0.25">
      <c r="A27">
        <f t="shared" si="6"/>
        <v>105</v>
      </c>
      <c r="B27">
        <f t="shared" si="0"/>
        <v>6300</v>
      </c>
      <c r="C27">
        <f t="shared" si="1"/>
        <v>1.75</v>
      </c>
      <c r="D27">
        <f>IF(OR(A27&lt;420,A27&gt;1440),0,Afleiding_Tapwater_schema!G$96)</f>
        <v>0</v>
      </c>
      <c r="E27" s="13">
        <f>_xlfn.NORM.DIST(A27,-30,Afleiding_Tapwater_schema!G$94,FALSE)*Afleiding_Tapwater_schema!G$95/K$4 + _xlfn.NORM.DIST(A27,Afleiding_Tapwater_schema!G$66*60,Afleiding_Tapwater_schema!G$94,FALSE)*Afleiding_Tapwater_schema!G$95/K$4 + _xlfn.NORM.DIST(A27,1415,Afleiding_Tapwater_schema!G$94,FALSE)*Afleiding_Tapwater_schema!G$95/K$4</f>
        <v>9.4648524895909712E-6</v>
      </c>
      <c r="F27">
        <v>2000</v>
      </c>
      <c r="G27" s="13">
        <f t="shared" si="2"/>
        <v>2000.0000094648524</v>
      </c>
      <c r="H27" s="13">
        <f t="shared" si="3"/>
        <v>59.999999881689348</v>
      </c>
      <c r="I27" s="27">
        <f>G27/((Afleiding_Tapwater_schema!D$4*1000)*(E$4-H27))</f>
        <v>4.7778308308712899E-5</v>
      </c>
      <c r="J27" s="27">
        <f t="shared" si="4"/>
        <v>2.8666984985227741</v>
      </c>
      <c r="K27">
        <f t="shared" si="5"/>
        <v>2.0000000094648525</v>
      </c>
    </row>
    <row r="28" spans="1:11" x14ac:dyDescent="0.25">
      <c r="A28">
        <f t="shared" si="6"/>
        <v>110</v>
      </c>
      <c r="B28">
        <f t="shared" si="0"/>
        <v>6600</v>
      </c>
      <c r="C28">
        <f t="shared" si="1"/>
        <v>1.8333333333333333</v>
      </c>
      <c r="D28">
        <f>IF(OR(A28&lt;420,A28&gt;1440),0,Afleiding_Tapwater_schema!G$96)</f>
        <v>0</v>
      </c>
      <c r="E28" s="13">
        <f>_xlfn.NORM.DIST(A28,-30,Afleiding_Tapwater_schema!G$94,FALSE)*Afleiding_Tapwater_schema!G$95/K$4 + _xlfn.NORM.DIST(A28,Afleiding_Tapwater_schema!G$66*60,Afleiding_Tapwater_schema!G$94,FALSE)*Afleiding_Tapwater_schema!G$95/K$4 + _xlfn.NORM.DIST(A28,1415,Afleiding_Tapwater_schema!G$94,FALSE)*Afleiding_Tapwater_schema!G$95/K$4</f>
        <v>1.6969545438478554E-6</v>
      </c>
      <c r="F28">
        <v>2000</v>
      </c>
      <c r="G28" s="13">
        <f t="shared" si="2"/>
        <v>2000.0000016969545</v>
      </c>
      <c r="H28" s="13">
        <f t="shared" si="3"/>
        <v>59.999999978788068</v>
      </c>
      <c r="I28" s="27">
        <f>G28/((Afleiding_Tapwater_schema!D$4*1000)*(E$4-H28))</f>
        <v>4.7778308587065652E-5</v>
      </c>
      <c r="J28" s="27">
        <f t="shared" si="4"/>
        <v>2.866698515223939</v>
      </c>
      <c r="K28">
        <f t="shared" si="5"/>
        <v>2.0000000016969546</v>
      </c>
    </row>
    <row r="29" spans="1:11" x14ac:dyDescent="0.25">
      <c r="A29">
        <f t="shared" si="6"/>
        <v>115</v>
      </c>
      <c r="B29">
        <f t="shared" si="0"/>
        <v>6900</v>
      </c>
      <c r="C29">
        <f t="shared" si="1"/>
        <v>1.9166666666666667</v>
      </c>
      <c r="D29">
        <f>IF(OR(A29&lt;420,A29&gt;1440),0,Afleiding_Tapwater_schema!G$96)</f>
        <v>0</v>
      </c>
      <c r="E29" s="13">
        <f>_xlfn.NORM.DIST(A29,-30,Afleiding_Tapwater_schema!G$94,FALSE)*Afleiding_Tapwater_schema!G$95/K$4 + _xlfn.NORM.DIST(A29,Afleiding_Tapwater_schema!G$66*60,Afleiding_Tapwater_schema!G$94,FALSE)*Afleiding_Tapwater_schema!G$95/K$4 + _xlfn.NORM.DIST(A29,1415,Afleiding_Tapwater_schema!G$94,FALSE)*Afleiding_Tapwater_schema!G$95/K$4</f>
        <v>2.8581377966386439E-7</v>
      </c>
      <c r="F29">
        <v>2000</v>
      </c>
      <c r="G29" s="13">
        <f t="shared" si="2"/>
        <v>2000.0000002858137</v>
      </c>
      <c r="H29" s="13">
        <f t="shared" si="3"/>
        <v>59.999999996427327</v>
      </c>
      <c r="I29" s="27">
        <f>G29/((Afleiding_Tapwater_schema!D$4*1000)*(E$4-H29))</f>
        <v>4.7778308637632089E-5</v>
      </c>
      <c r="J29" s="27">
        <f t="shared" si="4"/>
        <v>2.8666985182579254</v>
      </c>
      <c r="K29">
        <f t="shared" si="5"/>
        <v>2.0000000002858136</v>
      </c>
    </row>
    <row r="30" spans="1:11" x14ac:dyDescent="0.25">
      <c r="A30">
        <f t="shared" si="6"/>
        <v>120</v>
      </c>
      <c r="B30">
        <f t="shared" si="0"/>
        <v>7200</v>
      </c>
      <c r="C30">
        <f t="shared" si="1"/>
        <v>2</v>
      </c>
      <c r="D30">
        <f>IF(OR(A30&lt;420,A30&gt;1440),0,Afleiding_Tapwater_schema!G$96)</f>
        <v>0</v>
      </c>
      <c r="E30" s="13">
        <f>_xlfn.NORM.DIST(A30,-30,Afleiding_Tapwater_schema!G$94,FALSE)*Afleiding_Tapwater_schema!G$95/K$4 + _xlfn.NORM.DIST(A30,Afleiding_Tapwater_schema!G$66*60,Afleiding_Tapwater_schema!G$94,FALSE)*Afleiding_Tapwater_schema!G$95/K$4 + _xlfn.NORM.DIST(A30,1415,Afleiding_Tapwater_schema!G$94,FALSE)*Afleiding_Tapwater_schema!G$95/K$4</f>
        <v>4.5222306814372222E-8</v>
      </c>
      <c r="F30">
        <v>2000</v>
      </c>
      <c r="G30" s="13">
        <f t="shared" si="2"/>
        <v>2000.0000000452224</v>
      </c>
      <c r="H30" s="13">
        <f t="shared" si="3"/>
        <v>59.999999999434721</v>
      </c>
      <c r="I30" s="27">
        <f>G30/((Afleiding_Tapwater_schema!D$4*1000)*(E$4-H30))</f>
        <v>4.777830864625338E-5</v>
      </c>
      <c r="J30" s="27">
        <f t="shared" si="4"/>
        <v>2.8666985187752028</v>
      </c>
      <c r="K30">
        <f t="shared" si="5"/>
        <v>2.0000000000452225</v>
      </c>
    </row>
    <row r="31" spans="1:11" x14ac:dyDescent="0.25">
      <c r="A31">
        <f t="shared" si="6"/>
        <v>125</v>
      </c>
      <c r="B31">
        <f t="shared" si="0"/>
        <v>7500</v>
      </c>
      <c r="C31">
        <f t="shared" si="1"/>
        <v>2.0833333333333335</v>
      </c>
      <c r="D31">
        <f>IF(OR(A31&lt;420,A31&gt;1440),0,Afleiding_Tapwater_schema!G$96)</f>
        <v>0</v>
      </c>
      <c r="E31" s="13">
        <f>_xlfn.NORM.DIST(A31,-30,Afleiding_Tapwater_schema!G$94,FALSE)*Afleiding_Tapwater_schema!G$95/K$4 + _xlfn.NORM.DIST(A31,Afleiding_Tapwater_schema!G$66*60,Afleiding_Tapwater_schema!G$94,FALSE)*Afleiding_Tapwater_schema!G$95/K$4 + _xlfn.NORM.DIST(A31,1415,Afleiding_Tapwater_schema!G$94,FALSE)*Afleiding_Tapwater_schema!G$95/K$4</f>
        <v>6.7216958322801464E-9</v>
      </c>
      <c r="F31">
        <v>2000</v>
      </c>
      <c r="G31" s="13">
        <f t="shared" si="2"/>
        <v>2000.0000000067216</v>
      </c>
      <c r="H31" s="13">
        <f t="shared" si="3"/>
        <v>59.999999999915978</v>
      </c>
      <c r="I31" s="27">
        <f>G31/((Afleiding_Tapwater_schema!D$4*1000)*(E$4-H31))</f>
        <v>4.7778308647633001E-5</v>
      </c>
      <c r="J31" s="27">
        <f t="shared" si="4"/>
        <v>2.8666985188579801</v>
      </c>
      <c r="K31">
        <f t="shared" si="5"/>
        <v>2.0000000000067217</v>
      </c>
    </row>
    <row r="32" spans="1:11" x14ac:dyDescent="0.25">
      <c r="A32">
        <f t="shared" si="6"/>
        <v>130</v>
      </c>
      <c r="B32">
        <f t="shared" si="0"/>
        <v>7800</v>
      </c>
      <c r="C32">
        <f t="shared" si="1"/>
        <v>2.1666666666666665</v>
      </c>
      <c r="D32">
        <f>IF(OR(A32&lt;420,A32&gt;1440),0,Afleiding_Tapwater_schema!G$96)</f>
        <v>0</v>
      </c>
      <c r="E32" s="13">
        <f>_xlfn.NORM.DIST(A32,-30,Afleiding_Tapwater_schema!G$94,FALSE)*Afleiding_Tapwater_schema!G$95/K$4 + _xlfn.NORM.DIST(A32,Afleiding_Tapwater_schema!G$66*60,Afleiding_Tapwater_schema!G$94,FALSE)*Afleiding_Tapwater_schema!G$95/K$4 + _xlfn.NORM.DIST(A32,1415,Afleiding_Tapwater_schema!G$94,FALSE)*Afleiding_Tapwater_schema!G$95/K$4</f>
        <v>9.3855903505359536E-10</v>
      </c>
      <c r="F32">
        <v>2000</v>
      </c>
      <c r="G32" s="13">
        <f t="shared" si="2"/>
        <v>2000.0000000009386</v>
      </c>
      <c r="H32" s="13">
        <f t="shared" si="3"/>
        <v>59.999999999988262</v>
      </c>
      <c r="I32" s="27">
        <f>G32/((Afleiding_Tapwater_schema!D$4*1000)*(E$4-H32))</f>
        <v>4.7778308647840205E-5</v>
      </c>
      <c r="J32" s="27">
        <f t="shared" si="4"/>
        <v>2.8666985188704124</v>
      </c>
      <c r="K32">
        <f t="shared" si="5"/>
        <v>2.0000000000009388</v>
      </c>
    </row>
    <row r="33" spans="1:11" x14ac:dyDescent="0.25">
      <c r="A33">
        <f t="shared" si="6"/>
        <v>135</v>
      </c>
      <c r="B33">
        <f t="shared" si="0"/>
        <v>8100</v>
      </c>
      <c r="C33">
        <f t="shared" si="1"/>
        <v>2.25</v>
      </c>
      <c r="D33">
        <f>IF(OR(A33&lt;420,A33&gt;1440),0,Afleiding_Tapwater_schema!G$96)</f>
        <v>0</v>
      </c>
      <c r="E33" s="13">
        <f>_xlfn.NORM.DIST(A33,-30,Afleiding_Tapwater_schema!G$94,FALSE)*Afleiding_Tapwater_schema!G$95/K$4 + _xlfn.NORM.DIST(A33,Afleiding_Tapwater_schema!G$66*60,Afleiding_Tapwater_schema!G$94,FALSE)*Afleiding_Tapwater_schema!G$95/K$4 + _xlfn.NORM.DIST(A33,1415,Afleiding_Tapwater_schema!G$94,FALSE)*Afleiding_Tapwater_schema!G$95/K$4</f>
        <v>1.2311215358395273E-10</v>
      </c>
      <c r="F33">
        <v>2000</v>
      </c>
      <c r="G33" s="13">
        <f t="shared" si="2"/>
        <v>2000.000000000123</v>
      </c>
      <c r="H33" s="13">
        <f t="shared" si="3"/>
        <v>59.999999999998465</v>
      </c>
      <c r="I33" s="27">
        <f>G33/((Afleiding_Tapwater_schema!D$4*1000)*(E$4-H33))</f>
        <v>4.7778308647869472E-5</v>
      </c>
      <c r="J33" s="27">
        <f t="shared" si="4"/>
        <v>2.8666985188721683</v>
      </c>
      <c r="K33">
        <f t="shared" si="5"/>
        <v>2.000000000000123</v>
      </c>
    </row>
    <row r="34" spans="1:11" x14ac:dyDescent="0.25">
      <c r="A34">
        <f t="shared" si="6"/>
        <v>140</v>
      </c>
      <c r="B34">
        <f t="shared" si="0"/>
        <v>8400</v>
      </c>
      <c r="C34">
        <f t="shared" si="1"/>
        <v>2.3333333333333335</v>
      </c>
      <c r="D34">
        <f>IF(OR(A34&lt;420,A34&gt;1440),0,Afleiding_Tapwater_schema!G$96)</f>
        <v>0</v>
      </c>
      <c r="E34" s="13">
        <f>_xlfn.NORM.DIST(A34,-30,Afleiding_Tapwater_schema!G$94,FALSE)*Afleiding_Tapwater_schema!G$95/K$4 + _xlfn.NORM.DIST(A34,Afleiding_Tapwater_schema!G$66*60,Afleiding_Tapwater_schema!G$94,FALSE)*Afleiding_Tapwater_schema!G$95/K$4 + _xlfn.NORM.DIST(A34,1415,Afleiding_Tapwater_schema!G$94,FALSE)*Afleiding_Tapwater_schema!G$95/K$4</f>
        <v>1.5170393883762977E-11</v>
      </c>
      <c r="F34">
        <v>2000</v>
      </c>
      <c r="G34" s="13">
        <f t="shared" si="2"/>
        <v>2000.0000000000152</v>
      </c>
      <c r="H34" s="13">
        <f t="shared" si="3"/>
        <v>59.999999999999808</v>
      </c>
      <c r="I34" s="27">
        <f>G34/((Afleiding_Tapwater_schema!D$4*1000)*(E$4-H34))</f>
        <v>4.7778308647873314E-5</v>
      </c>
      <c r="J34" s="27">
        <f t="shared" si="4"/>
        <v>2.8666985188723988</v>
      </c>
      <c r="K34">
        <f t="shared" si="5"/>
        <v>2.0000000000000151</v>
      </c>
    </row>
    <row r="35" spans="1:11" x14ac:dyDescent="0.25">
      <c r="A35">
        <f t="shared" si="6"/>
        <v>145</v>
      </c>
      <c r="B35">
        <f t="shared" si="0"/>
        <v>8700</v>
      </c>
      <c r="C35">
        <f t="shared" si="1"/>
        <v>2.4166666666666665</v>
      </c>
      <c r="D35">
        <f>IF(OR(A35&lt;420,A35&gt;1440),0,Afleiding_Tapwater_schema!G$96)</f>
        <v>0</v>
      </c>
      <c r="E35" s="13">
        <f>_xlfn.NORM.DIST(A35,-30,Afleiding_Tapwater_schema!G$94,FALSE)*Afleiding_Tapwater_schema!G$95/K$4 + _xlfn.NORM.DIST(A35,Afleiding_Tapwater_schema!G$66*60,Afleiding_Tapwater_schema!G$94,FALSE)*Afleiding_Tapwater_schema!G$95/K$4 + _xlfn.NORM.DIST(A35,1415,Afleiding_Tapwater_schema!G$94,FALSE)*Afleiding_Tapwater_schema!G$95/K$4</f>
        <v>1.7561005557621426E-12</v>
      </c>
      <c r="F35">
        <v>2000</v>
      </c>
      <c r="G35" s="13">
        <f t="shared" si="2"/>
        <v>2000.0000000000018</v>
      </c>
      <c r="H35" s="13">
        <f t="shared" si="3"/>
        <v>59.999999999999972</v>
      </c>
      <c r="I35" s="27">
        <f>G35/((Afleiding_Tapwater_schema!D$4*1000)*(E$4-H35))</f>
        <v>4.7778308647873775E-5</v>
      </c>
      <c r="J35" s="27">
        <f t="shared" si="4"/>
        <v>2.8666985188724263</v>
      </c>
      <c r="K35">
        <f t="shared" si="5"/>
        <v>2.0000000000000018</v>
      </c>
    </row>
    <row r="36" spans="1:11" x14ac:dyDescent="0.25">
      <c r="A36">
        <f t="shared" si="6"/>
        <v>150</v>
      </c>
      <c r="B36">
        <f t="shared" si="0"/>
        <v>9000</v>
      </c>
      <c r="C36">
        <f t="shared" si="1"/>
        <v>2.5</v>
      </c>
      <c r="D36">
        <f>IF(OR(A36&lt;420,A36&gt;1440),0,Afleiding_Tapwater_schema!G$96)</f>
        <v>0</v>
      </c>
      <c r="E36" s="13">
        <f>_xlfn.NORM.DIST(A36,-30,Afleiding_Tapwater_schema!G$94,FALSE)*Afleiding_Tapwater_schema!G$95/K$4 + _xlfn.NORM.DIST(A36,Afleiding_Tapwater_schema!G$66*60,Afleiding_Tapwater_schema!G$94,FALSE)*Afleiding_Tapwater_schema!G$95/K$4 + _xlfn.NORM.DIST(A36,1415,Afleiding_Tapwater_schema!G$94,FALSE)*Afleiding_Tapwater_schema!G$95/K$4</f>
        <v>1.9096707608255907E-13</v>
      </c>
      <c r="F36">
        <v>2000</v>
      </c>
      <c r="G36" s="13">
        <f t="shared" si="2"/>
        <v>2000.0000000000002</v>
      </c>
      <c r="H36" s="13">
        <f t="shared" si="3"/>
        <v>59.999999999999993</v>
      </c>
      <c r="I36" s="27">
        <f>G36/((Afleiding_Tapwater_schema!D$4*1000)*(E$4-H36))</f>
        <v>4.7778308647873836E-5</v>
      </c>
      <c r="J36" s="27">
        <f t="shared" si="4"/>
        <v>2.8666985188724303</v>
      </c>
      <c r="K36">
        <f t="shared" si="5"/>
        <v>2.0000000000000004</v>
      </c>
    </row>
    <row r="37" spans="1:11" x14ac:dyDescent="0.25">
      <c r="A37">
        <f t="shared" si="6"/>
        <v>155</v>
      </c>
      <c r="B37">
        <f t="shared" si="0"/>
        <v>9300</v>
      </c>
      <c r="C37">
        <f t="shared" si="1"/>
        <v>2.5833333333333335</v>
      </c>
      <c r="D37">
        <f>IF(OR(A37&lt;420,A37&gt;1440),0,Afleiding_Tapwater_schema!G$96)</f>
        <v>0</v>
      </c>
      <c r="E37" s="13">
        <f>_xlfn.NORM.DIST(A37,-30,Afleiding_Tapwater_schema!G$94,FALSE)*Afleiding_Tapwater_schema!G$95/K$4 + _xlfn.NORM.DIST(A37,Afleiding_Tapwater_schema!G$66*60,Afleiding_Tapwater_schema!G$94,FALSE)*Afleiding_Tapwater_schema!G$95/K$4 + _xlfn.NORM.DIST(A37,1415,Afleiding_Tapwater_schema!G$94,FALSE)*Afleiding_Tapwater_schema!G$95/K$4</f>
        <v>1.9508514994767028E-14</v>
      </c>
      <c r="F37">
        <v>2000</v>
      </c>
      <c r="G37" s="13">
        <f t="shared" si="2"/>
        <v>2000</v>
      </c>
      <c r="H37" s="13">
        <f t="shared" si="3"/>
        <v>60</v>
      </c>
      <c r="I37" s="27">
        <f>G37/((Afleiding_Tapwater_schema!D$4*1000)*(E$4-H37))</f>
        <v>4.7778308647873863E-5</v>
      </c>
      <c r="J37" s="27">
        <f t="shared" si="4"/>
        <v>2.8666985188724317</v>
      </c>
      <c r="K37">
        <f t="shared" si="5"/>
        <v>2</v>
      </c>
    </row>
    <row r="38" spans="1:11" x14ac:dyDescent="0.25">
      <c r="A38">
        <f t="shared" si="6"/>
        <v>160</v>
      </c>
      <c r="B38">
        <f t="shared" si="0"/>
        <v>9600</v>
      </c>
      <c r="C38">
        <f t="shared" si="1"/>
        <v>2.6666666666666665</v>
      </c>
      <c r="D38">
        <f>IF(OR(A38&lt;420,A38&gt;1440),0,Afleiding_Tapwater_schema!G$96)</f>
        <v>0</v>
      </c>
      <c r="E38" s="13">
        <f>_xlfn.NORM.DIST(A38,-30,Afleiding_Tapwater_schema!G$94,FALSE)*Afleiding_Tapwater_schema!G$95/K$4 + _xlfn.NORM.DIST(A38,Afleiding_Tapwater_schema!G$66*60,Afleiding_Tapwater_schema!G$94,FALSE)*Afleiding_Tapwater_schema!G$95/K$4 + _xlfn.NORM.DIST(A38,1415,Afleiding_Tapwater_schema!G$94,FALSE)*Afleiding_Tapwater_schema!G$95/K$4</f>
        <v>1.8721753371129502E-15</v>
      </c>
      <c r="F38">
        <v>2000</v>
      </c>
      <c r="G38" s="13">
        <f t="shared" si="2"/>
        <v>2000</v>
      </c>
      <c r="H38" s="13">
        <f t="shared" si="3"/>
        <v>60</v>
      </c>
      <c r="I38" s="27">
        <f>G38/((Afleiding_Tapwater_schema!D$4*1000)*(E$4-H38))</f>
        <v>4.7778308647873863E-5</v>
      </c>
      <c r="J38" s="27">
        <f t="shared" si="4"/>
        <v>2.8666985188724317</v>
      </c>
      <c r="K38">
        <f t="shared" si="5"/>
        <v>2</v>
      </c>
    </row>
    <row r="39" spans="1:11" x14ac:dyDescent="0.25">
      <c r="A39">
        <f t="shared" si="6"/>
        <v>165</v>
      </c>
      <c r="B39">
        <f t="shared" si="0"/>
        <v>9900</v>
      </c>
      <c r="C39">
        <f t="shared" si="1"/>
        <v>2.75</v>
      </c>
      <c r="D39">
        <f>IF(OR(A39&lt;420,A39&gt;1440),0,Afleiding_Tapwater_schema!G$96)</f>
        <v>0</v>
      </c>
      <c r="E39" s="13">
        <f>_xlfn.NORM.DIST(A39,-30,Afleiding_Tapwater_schema!G$94,FALSE)*Afleiding_Tapwater_schema!G$95/K$4 + _xlfn.NORM.DIST(A39,Afleiding_Tapwater_schema!G$66*60,Afleiding_Tapwater_schema!G$94,FALSE)*Afleiding_Tapwater_schema!G$95/K$4 + _xlfn.NORM.DIST(A39,1415,Afleiding_Tapwater_schema!G$94,FALSE)*Afleiding_Tapwater_schema!G$95/K$4</f>
        <v>1.6878172560023326E-16</v>
      </c>
      <c r="F39">
        <v>2000</v>
      </c>
      <c r="G39" s="13">
        <f t="shared" si="2"/>
        <v>2000</v>
      </c>
      <c r="H39" s="13">
        <f t="shared" si="3"/>
        <v>60</v>
      </c>
      <c r="I39" s="27">
        <f>G39/((Afleiding_Tapwater_schema!D$4*1000)*(E$4-H39))</f>
        <v>4.7778308647873863E-5</v>
      </c>
      <c r="J39" s="27">
        <f t="shared" si="4"/>
        <v>2.8666985188724317</v>
      </c>
      <c r="K39">
        <f t="shared" si="5"/>
        <v>2</v>
      </c>
    </row>
    <row r="40" spans="1:11" x14ac:dyDescent="0.25">
      <c r="A40">
        <f t="shared" si="6"/>
        <v>170</v>
      </c>
      <c r="B40">
        <f t="shared" si="0"/>
        <v>10200</v>
      </c>
      <c r="C40">
        <f t="shared" si="1"/>
        <v>2.8333333333333335</v>
      </c>
      <c r="D40">
        <f>IF(OR(A40&lt;420,A40&gt;1440),0,Afleiding_Tapwater_schema!G$96)</f>
        <v>0</v>
      </c>
      <c r="E40" s="13">
        <f>_xlfn.NORM.DIST(A40,-30,Afleiding_Tapwater_schema!G$94,FALSE)*Afleiding_Tapwater_schema!G$95/K$4 + _xlfn.NORM.DIST(A40,Afleiding_Tapwater_schema!G$66*60,Afleiding_Tapwater_schema!G$94,FALSE)*Afleiding_Tapwater_schema!G$95/K$4 + _xlfn.NORM.DIST(A40,1415,Afleiding_Tapwater_schema!G$94,FALSE)*Afleiding_Tapwater_schema!G$95/K$4</f>
        <v>1.4294235093092014E-17</v>
      </c>
      <c r="F40">
        <v>2000</v>
      </c>
      <c r="G40" s="13">
        <f t="shared" si="2"/>
        <v>2000</v>
      </c>
      <c r="H40" s="13">
        <f t="shared" si="3"/>
        <v>60</v>
      </c>
      <c r="I40" s="27">
        <f>G40/((Afleiding_Tapwater_schema!D$4*1000)*(E$4-H40))</f>
        <v>4.7778308647873863E-5</v>
      </c>
      <c r="J40" s="27">
        <f t="shared" si="4"/>
        <v>2.8666985188724317</v>
      </c>
      <c r="K40">
        <f t="shared" si="5"/>
        <v>2</v>
      </c>
    </row>
    <row r="41" spans="1:11" x14ac:dyDescent="0.25">
      <c r="A41">
        <f t="shared" si="6"/>
        <v>175</v>
      </c>
      <c r="B41">
        <f t="shared" si="0"/>
        <v>10500</v>
      </c>
      <c r="C41">
        <f t="shared" si="1"/>
        <v>2.9166666666666665</v>
      </c>
      <c r="D41">
        <f>IF(OR(A41&lt;420,A41&gt;1440),0,Afleiding_Tapwater_schema!G$96)</f>
        <v>0</v>
      </c>
      <c r="E41" s="13">
        <f>_xlfn.NORM.DIST(A41,-30,Afleiding_Tapwater_schema!G$94,FALSE)*Afleiding_Tapwater_schema!G$95/K$4 + _xlfn.NORM.DIST(A41,Afleiding_Tapwater_schema!G$66*60,Afleiding_Tapwater_schema!G$94,FALSE)*Afleiding_Tapwater_schema!G$95/K$4 + _xlfn.NORM.DIST(A41,1415,Afleiding_Tapwater_schema!G$94,FALSE)*Afleiding_Tapwater_schema!G$95/K$4</f>
        <v>1.1372423217009659E-18</v>
      </c>
      <c r="F41">
        <v>2000</v>
      </c>
      <c r="G41" s="13">
        <f t="shared" si="2"/>
        <v>2000</v>
      </c>
      <c r="H41" s="13">
        <f t="shared" si="3"/>
        <v>60</v>
      </c>
      <c r="I41" s="27">
        <f>G41/((Afleiding_Tapwater_schema!D$4*1000)*(E$4-H41))</f>
        <v>4.7778308647873863E-5</v>
      </c>
      <c r="J41" s="27">
        <f t="shared" si="4"/>
        <v>2.8666985188724317</v>
      </c>
      <c r="K41">
        <f t="shared" si="5"/>
        <v>2</v>
      </c>
    </row>
    <row r="42" spans="1:11" x14ac:dyDescent="0.25">
      <c r="A42">
        <f t="shared" si="6"/>
        <v>180</v>
      </c>
      <c r="B42">
        <f t="shared" si="0"/>
        <v>10800</v>
      </c>
      <c r="C42">
        <f t="shared" si="1"/>
        <v>3</v>
      </c>
      <c r="D42">
        <f>IF(OR(A42&lt;420,A42&gt;1440),0,Afleiding_Tapwater_schema!G$96)</f>
        <v>0</v>
      </c>
      <c r="E42" s="13">
        <f>_xlfn.NORM.DIST(A42,-30,Afleiding_Tapwater_schema!G$94,FALSE)*Afleiding_Tapwater_schema!G$95/K$4 + _xlfn.NORM.DIST(A42,Afleiding_Tapwater_schema!G$66*60,Afleiding_Tapwater_schema!G$94,FALSE)*Afleiding_Tapwater_schema!G$95/K$4 + _xlfn.NORM.DIST(A42,1415,Afleiding_Tapwater_schema!G$94,FALSE)*Afleiding_Tapwater_schema!G$95/K$4</f>
        <v>8.4996632795315601E-20</v>
      </c>
      <c r="F42">
        <v>2000</v>
      </c>
      <c r="G42" s="13">
        <f t="shared" si="2"/>
        <v>2000</v>
      </c>
      <c r="H42" s="13">
        <f t="shared" si="3"/>
        <v>60</v>
      </c>
      <c r="I42" s="27">
        <f>G42/((Afleiding_Tapwater_schema!D$4*1000)*(E$4-H42))</f>
        <v>4.7778308647873863E-5</v>
      </c>
      <c r="J42" s="27">
        <f t="shared" si="4"/>
        <v>2.8666985188724317</v>
      </c>
      <c r="K42">
        <f t="shared" si="5"/>
        <v>2</v>
      </c>
    </row>
    <row r="43" spans="1:11" x14ac:dyDescent="0.25">
      <c r="A43">
        <f t="shared" si="6"/>
        <v>185</v>
      </c>
      <c r="B43">
        <f t="shared" si="0"/>
        <v>11100</v>
      </c>
      <c r="C43">
        <f t="shared" si="1"/>
        <v>3.0833333333333335</v>
      </c>
      <c r="D43">
        <f>IF(OR(A43&lt;420,A43&gt;1440),0,Afleiding_Tapwater_schema!G$96)</f>
        <v>0</v>
      </c>
      <c r="E43" s="13">
        <f>_xlfn.NORM.DIST(A43,-30,Afleiding_Tapwater_schema!G$94,FALSE)*Afleiding_Tapwater_schema!G$95/K$4 + _xlfn.NORM.DIST(A43,Afleiding_Tapwater_schema!G$66*60,Afleiding_Tapwater_schema!G$94,FALSE)*Afleiding_Tapwater_schema!G$95/K$4 + _xlfn.NORM.DIST(A43,1415,Afleiding_Tapwater_schema!G$94,FALSE)*Afleiding_Tapwater_schema!G$95/K$4</f>
        <v>5.9677776300941921E-21</v>
      </c>
      <c r="F43">
        <v>2000</v>
      </c>
      <c r="G43" s="13">
        <f t="shared" si="2"/>
        <v>2000</v>
      </c>
      <c r="H43" s="13">
        <f t="shared" si="3"/>
        <v>60</v>
      </c>
      <c r="I43" s="27">
        <f>G43/((Afleiding_Tapwater_schema!D$4*1000)*(E$4-H43))</f>
        <v>4.7778308647873863E-5</v>
      </c>
      <c r="J43" s="27">
        <f t="shared" si="4"/>
        <v>2.8666985188724317</v>
      </c>
      <c r="K43">
        <f t="shared" si="5"/>
        <v>2</v>
      </c>
    </row>
    <row r="44" spans="1:11" x14ac:dyDescent="0.25">
      <c r="A44">
        <f t="shared" si="6"/>
        <v>190</v>
      </c>
      <c r="B44">
        <f t="shared" si="0"/>
        <v>11400</v>
      </c>
      <c r="C44">
        <f t="shared" si="1"/>
        <v>3.1666666666666665</v>
      </c>
      <c r="D44">
        <f>IF(OR(A44&lt;420,A44&gt;1440),0,Afleiding_Tapwater_schema!G$96)</f>
        <v>0</v>
      </c>
      <c r="E44" s="13">
        <f>_xlfn.NORM.DIST(A44,-30,Afleiding_Tapwater_schema!G$94,FALSE)*Afleiding_Tapwater_schema!G$95/K$4 + _xlfn.NORM.DIST(A44,Afleiding_Tapwater_schema!G$66*60,Afleiding_Tapwater_schema!G$94,FALSE)*Afleiding_Tapwater_schema!G$95/K$4 + _xlfn.NORM.DIST(A44,1415,Afleiding_Tapwater_schema!G$94,FALSE)*Afleiding_Tapwater_schema!G$95/K$4</f>
        <v>3.9503206889659677E-22</v>
      </c>
      <c r="F44">
        <v>2000</v>
      </c>
      <c r="G44" s="13">
        <f t="shared" si="2"/>
        <v>2000</v>
      </c>
      <c r="H44" s="13">
        <f t="shared" si="3"/>
        <v>60</v>
      </c>
      <c r="I44" s="27">
        <f>G44/((Afleiding_Tapwater_schema!D$4*1000)*(E$4-H44))</f>
        <v>4.7778308647873863E-5</v>
      </c>
      <c r="J44" s="27">
        <f t="shared" si="4"/>
        <v>2.8666985188724317</v>
      </c>
      <c r="K44">
        <f t="shared" si="5"/>
        <v>2</v>
      </c>
    </row>
    <row r="45" spans="1:11" x14ac:dyDescent="0.25">
      <c r="A45">
        <f t="shared" si="6"/>
        <v>195</v>
      </c>
      <c r="B45">
        <f t="shared" si="0"/>
        <v>11700</v>
      </c>
      <c r="C45">
        <f t="shared" si="1"/>
        <v>3.25</v>
      </c>
      <c r="D45">
        <f>IF(OR(A45&lt;420,A45&gt;1440),0,Afleiding_Tapwater_schema!G$96)</f>
        <v>0</v>
      </c>
      <c r="E45" s="13">
        <f>_xlfn.NORM.DIST(A45,-30,Afleiding_Tapwater_schema!G$94,FALSE)*Afleiding_Tapwater_schema!G$95/K$4 + _xlfn.NORM.DIST(A45,Afleiding_Tapwater_schema!G$66*60,Afleiding_Tapwater_schema!G$94,FALSE)*Afleiding_Tapwater_schema!G$95/K$4 + _xlfn.NORM.DIST(A45,1415,Afleiding_Tapwater_schema!G$94,FALSE)*Afleiding_Tapwater_schema!G$95/K$4</f>
        <v>4.8777251879313501E-23</v>
      </c>
      <c r="F45">
        <v>2000</v>
      </c>
      <c r="G45" s="13">
        <f t="shared" si="2"/>
        <v>2000</v>
      </c>
      <c r="H45" s="13">
        <f t="shared" si="3"/>
        <v>60</v>
      </c>
      <c r="I45" s="27">
        <f>G45/((Afleiding_Tapwater_schema!D$4*1000)*(E$4-H45))</f>
        <v>4.7778308647873863E-5</v>
      </c>
      <c r="J45" s="27">
        <f t="shared" si="4"/>
        <v>2.8666985188724317</v>
      </c>
      <c r="K45">
        <f t="shared" si="5"/>
        <v>2</v>
      </c>
    </row>
    <row r="46" spans="1:11" x14ac:dyDescent="0.25">
      <c r="A46">
        <f t="shared" si="6"/>
        <v>200</v>
      </c>
      <c r="B46">
        <f t="shared" si="0"/>
        <v>12000</v>
      </c>
      <c r="C46">
        <f t="shared" si="1"/>
        <v>3.3333333333333335</v>
      </c>
      <c r="D46">
        <f>IF(OR(A46&lt;420,A46&gt;1440),0,Afleiding_Tapwater_schema!G$96)</f>
        <v>0</v>
      </c>
      <c r="E46" s="13">
        <f>_xlfn.NORM.DIST(A46,-30,Afleiding_Tapwater_schema!G$94,FALSE)*Afleiding_Tapwater_schema!G$95/K$4 + _xlfn.NORM.DIST(A46,Afleiding_Tapwater_schema!G$66*60,Afleiding_Tapwater_schema!G$94,FALSE)*Afleiding_Tapwater_schema!G$95/K$4 + _xlfn.NORM.DIST(A46,1415,Afleiding_Tapwater_schema!G$94,FALSE)*Afleiding_Tapwater_schema!G$95/K$4</f>
        <v>3.9503206889659677E-22</v>
      </c>
      <c r="F46">
        <v>2000</v>
      </c>
      <c r="G46" s="13">
        <f t="shared" si="2"/>
        <v>2000</v>
      </c>
      <c r="H46" s="13">
        <f t="shared" si="3"/>
        <v>60</v>
      </c>
      <c r="I46" s="27">
        <f>G46/((Afleiding_Tapwater_schema!D$4*1000)*(E$4-H46))</f>
        <v>4.7778308647873863E-5</v>
      </c>
      <c r="J46" s="27">
        <f t="shared" si="4"/>
        <v>2.8666985188724317</v>
      </c>
      <c r="K46">
        <f t="shared" si="5"/>
        <v>2</v>
      </c>
    </row>
    <row r="47" spans="1:11" x14ac:dyDescent="0.25">
      <c r="A47">
        <f t="shared" si="6"/>
        <v>205</v>
      </c>
      <c r="B47">
        <f t="shared" si="0"/>
        <v>12300</v>
      </c>
      <c r="C47">
        <f t="shared" si="1"/>
        <v>3.4166666666666665</v>
      </c>
      <c r="D47">
        <f>IF(OR(A47&lt;420,A47&gt;1440),0,Afleiding_Tapwater_schema!G$96)</f>
        <v>0</v>
      </c>
      <c r="E47" s="13">
        <f>_xlfn.NORM.DIST(A47,-30,Afleiding_Tapwater_schema!G$94,FALSE)*Afleiding_Tapwater_schema!G$95/K$4 + _xlfn.NORM.DIST(A47,Afleiding_Tapwater_schema!G$66*60,Afleiding_Tapwater_schema!G$94,FALSE)*Afleiding_Tapwater_schema!G$95/K$4 + _xlfn.NORM.DIST(A47,1415,Afleiding_Tapwater_schema!G$94,FALSE)*Afleiding_Tapwater_schema!G$95/K$4</f>
        <v>5.9677776300941921E-21</v>
      </c>
      <c r="F47">
        <v>2000</v>
      </c>
      <c r="G47" s="13">
        <f t="shared" si="2"/>
        <v>2000</v>
      </c>
      <c r="H47" s="13">
        <f t="shared" si="3"/>
        <v>60</v>
      </c>
      <c r="I47" s="27">
        <f>G47/((Afleiding_Tapwater_schema!D$4*1000)*(E$4-H47))</f>
        <v>4.7778308647873863E-5</v>
      </c>
      <c r="J47" s="27">
        <f t="shared" si="4"/>
        <v>2.8666985188724317</v>
      </c>
      <c r="K47">
        <f t="shared" si="5"/>
        <v>2</v>
      </c>
    </row>
    <row r="48" spans="1:11" x14ac:dyDescent="0.25">
      <c r="A48">
        <f t="shared" si="6"/>
        <v>210</v>
      </c>
      <c r="B48">
        <f t="shared" si="0"/>
        <v>12600</v>
      </c>
      <c r="C48">
        <f t="shared" si="1"/>
        <v>3.5</v>
      </c>
      <c r="D48">
        <f>IF(OR(A48&lt;420,A48&gt;1440),0,Afleiding_Tapwater_schema!G$96)</f>
        <v>0</v>
      </c>
      <c r="E48" s="13">
        <f>_xlfn.NORM.DIST(A48,-30,Afleiding_Tapwater_schema!G$94,FALSE)*Afleiding_Tapwater_schema!G$95/K$4 + _xlfn.NORM.DIST(A48,Afleiding_Tapwater_schema!G$66*60,Afleiding_Tapwater_schema!G$94,FALSE)*Afleiding_Tapwater_schema!G$95/K$4 + _xlfn.NORM.DIST(A48,1415,Afleiding_Tapwater_schema!G$94,FALSE)*Afleiding_Tapwater_schema!G$95/K$4</f>
        <v>8.4996632795315601E-20</v>
      </c>
      <c r="F48">
        <v>2000</v>
      </c>
      <c r="G48" s="13">
        <f t="shared" si="2"/>
        <v>2000</v>
      </c>
      <c r="H48" s="13">
        <f t="shared" si="3"/>
        <v>60</v>
      </c>
      <c r="I48" s="27">
        <f>G48/((Afleiding_Tapwater_schema!D$4*1000)*(E$4-H48))</f>
        <v>4.7778308647873863E-5</v>
      </c>
      <c r="J48" s="27">
        <f t="shared" si="4"/>
        <v>2.8666985188724317</v>
      </c>
      <c r="K48">
        <f t="shared" si="5"/>
        <v>2</v>
      </c>
    </row>
    <row r="49" spans="1:11" x14ac:dyDescent="0.25">
      <c r="A49">
        <f t="shared" si="6"/>
        <v>215</v>
      </c>
      <c r="B49">
        <f t="shared" si="0"/>
        <v>12900</v>
      </c>
      <c r="C49">
        <f t="shared" si="1"/>
        <v>3.5833333333333335</v>
      </c>
      <c r="D49">
        <f>IF(OR(A49&lt;420,A49&gt;1440),0,Afleiding_Tapwater_schema!G$96)</f>
        <v>0</v>
      </c>
      <c r="E49" s="13">
        <f>_xlfn.NORM.DIST(A49,-30,Afleiding_Tapwater_schema!G$94,FALSE)*Afleiding_Tapwater_schema!G$95/K$4 + _xlfn.NORM.DIST(A49,Afleiding_Tapwater_schema!G$66*60,Afleiding_Tapwater_schema!G$94,FALSE)*Afleiding_Tapwater_schema!G$95/K$4 + _xlfn.NORM.DIST(A49,1415,Afleiding_Tapwater_schema!G$94,FALSE)*Afleiding_Tapwater_schema!G$95/K$4</f>
        <v>1.1372423217009659E-18</v>
      </c>
      <c r="F49">
        <v>2000</v>
      </c>
      <c r="G49" s="13">
        <f t="shared" si="2"/>
        <v>2000</v>
      </c>
      <c r="H49" s="13">
        <f t="shared" si="3"/>
        <v>60</v>
      </c>
      <c r="I49" s="27">
        <f>G49/((Afleiding_Tapwater_schema!D$4*1000)*(E$4-H49))</f>
        <v>4.7778308647873863E-5</v>
      </c>
      <c r="J49" s="27">
        <f t="shared" si="4"/>
        <v>2.8666985188724317</v>
      </c>
      <c r="K49">
        <f t="shared" si="5"/>
        <v>2</v>
      </c>
    </row>
    <row r="50" spans="1:11" x14ac:dyDescent="0.25">
      <c r="A50">
        <f t="shared" si="6"/>
        <v>220</v>
      </c>
      <c r="B50">
        <f t="shared" si="0"/>
        <v>13200</v>
      </c>
      <c r="C50">
        <f t="shared" si="1"/>
        <v>3.6666666666666665</v>
      </c>
      <c r="D50">
        <f>IF(OR(A50&lt;420,A50&gt;1440),0,Afleiding_Tapwater_schema!G$96)</f>
        <v>0</v>
      </c>
      <c r="E50" s="13">
        <f>_xlfn.NORM.DIST(A50,-30,Afleiding_Tapwater_schema!G$94,FALSE)*Afleiding_Tapwater_schema!G$95/K$4 + _xlfn.NORM.DIST(A50,Afleiding_Tapwater_schema!G$66*60,Afleiding_Tapwater_schema!G$94,FALSE)*Afleiding_Tapwater_schema!G$95/K$4 + _xlfn.NORM.DIST(A50,1415,Afleiding_Tapwater_schema!G$94,FALSE)*Afleiding_Tapwater_schema!G$95/K$4</f>
        <v>1.4294235093092014E-17</v>
      </c>
      <c r="F50">
        <v>2000</v>
      </c>
      <c r="G50" s="13">
        <f t="shared" si="2"/>
        <v>2000</v>
      </c>
      <c r="H50" s="13">
        <f t="shared" si="3"/>
        <v>60</v>
      </c>
      <c r="I50" s="27">
        <f>G50/((Afleiding_Tapwater_schema!D$4*1000)*(E$4-H50))</f>
        <v>4.7778308647873863E-5</v>
      </c>
      <c r="J50" s="27">
        <f t="shared" si="4"/>
        <v>2.8666985188724317</v>
      </c>
      <c r="K50">
        <f t="shared" si="5"/>
        <v>2</v>
      </c>
    </row>
    <row r="51" spans="1:11" x14ac:dyDescent="0.25">
      <c r="A51">
        <f t="shared" si="6"/>
        <v>225</v>
      </c>
      <c r="B51">
        <f t="shared" si="0"/>
        <v>13500</v>
      </c>
      <c r="C51">
        <f t="shared" si="1"/>
        <v>3.75</v>
      </c>
      <c r="D51">
        <f>IF(OR(A51&lt;420,A51&gt;1440),0,Afleiding_Tapwater_schema!G$96)</f>
        <v>0</v>
      </c>
      <c r="E51" s="13">
        <f>_xlfn.NORM.DIST(A51,-30,Afleiding_Tapwater_schema!G$94,FALSE)*Afleiding_Tapwater_schema!G$95/K$4 + _xlfn.NORM.DIST(A51,Afleiding_Tapwater_schema!G$66*60,Afleiding_Tapwater_schema!G$94,FALSE)*Afleiding_Tapwater_schema!G$95/K$4 + _xlfn.NORM.DIST(A51,1415,Afleiding_Tapwater_schema!G$94,FALSE)*Afleiding_Tapwater_schema!G$95/K$4</f>
        <v>1.6878172560023326E-16</v>
      </c>
      <c r="F51">
        <v>2000</v>
      </c>
      <c r="G51" s="13">
        <f t="shared" si="2"/>
        <v>2000</v>
      </c>
      <c r="H51" s="13">
        <f t="shared" si="3"/>
        <v>60</v>
      </c>
      <c r="I51" s="27">
        <f>G51/((Afleiding_Tapwater_schema!D$4*1000)*(E$4-H51))</f>
        <v>4.7778308647873863E-5</v>
      </c>
      <c r="J51" s="27">
        <f t="shared" si="4"/>
        <v>2.8666985188724317</v>
      </c>
      <c r="K51">
        <f t="shared" si="5"/>
        <v>2</v>
      </c>
    </row>
    <row r="52" spans="1:11" x14ac:dyDescent="0.25">
      <c r="A52">
        <f t="shared" si="6"/>
        <v>230</v>
      </c>
      <c r="B52">
        <f t="shared" si="0"/>
        <v>13800</v>
      </c>
      <c r="C52">
        <f t="shared" si="1"/>
        <v>3.8333333333333335</v>
      </c>
      <c r="D52">
        <f>IF(OR(A52&lt;420,A52&gt;1440),0,Afleiding_Tapwater_schema!G$96)</f>
        <v>0</v>
      </c>
      <c r="E52" s="13">
        <f>_xlfn.NORM.DIST(A52,-30,Afleiding_Tapwater_schema!G$94,FALSE)*Afleiding_Tapwater_schema!G$95/K$4 + _xlfn.NORM.DIST(A52,Afleiding_Tapwater_schema!G$66*60,Afleiding_Tapwater_schema!G$94,FALSE)*Afleiding_Tapwater_schema!G$95/K$4 + _xlfn.NORM.DIST(A52,1415,Afleiding_Tapwater_schema!G$94,FALSE)*Afleiding_Tapwater_schema!G$95/K$4</f>
        <v>1.8721753371129502E-15</v>
      </c>
      <c r="F52">
        <v>2000</v>
      </c>
      <c r="G52" s="13">
        <f t="shared" si="2"/>
        <v>2000</v>
      </c>
      <c r="H52" s="13">
        <f t="shared" si="3"/>
        <v>60</v>
      </c>
      <c r="I52" s="27">
        <f>G52/((Afleiding_Tapwater_schema!D$4*1000)*(E$4-H52))</f>
        <v>4.7778308647873863E-5</v>
      </c>
      <c r="J52" s="27">
        <f t="shared" si="4"/>
        <v>2.8666985188724317</v>
      </c>
      <c r="K52">
        <f t="shared" si="5"/>
        <v>2</v>
      </c>
    </row>
    <row r="53" spans="1:11" x14ac:dyDescent="0.25">
      <c r="A53">
        <f t="shared" si="6"/>
        <v>235</v>
      </c>
      <c r="B53">
        <f t="shared" si="0"/>
        <v>14100</v>
      </c>
      <c r="C53">
        <f t="shared" si="1"/>
        <v>3.9166666666666665</v>
      </c>
      <c r="D53">
        <f>IF(OR(A53&lt;420,A53&gt;1440),0,Afleiding_Tapwater_schema!G$96)</f>
        <v>0</v>
      </c>
      <c r="E53" s="13">
        <f>_xlfn.NORM.DIST(A53,-30,Afleiding_Tapwater_schema!G$94,FALSE)*Afleiding_Tapwater_schema!G$95/K$4 + _xlfn.NORM.DIST(A53,Afleiding_Tapwater_schema!G$66*60,Afleiding_Tapwater_schema!G$94,FALSE)*Afleiding_Tapwater_schema!G$95/K$4 + _xlfn.NORM.DIST(A53,1415,Afleiding_Tapwater_schema!G$94,FALSE)*Afleiding_Tapwater_schema!G$95/K$4</f>
        <v>1.9508514994767028E-14</v>
      </c>
      <c r="F53">
        <v>2000</v>
      </c>
      <c r="G53" s="13">
        <f t="shared" si="2"/>
        <v>2000</v>
      </c>
      <c r="H53" s="13">
        <f t="shared" si="3"/>
        <v>60</v>
      </c>
      <c r="I53" s="27">
        <f>G53/((Afleiding_Tapwater_schema!D$4*1000)*(E$4-H53))</f>
        <v>4.7778308647873863E-5</v>
      </c>
      <c r="J53" s="27">
        <f t="shared" si="4"/>
        <v>2.8666985188724317</v>
      </c>
      <c r="K53">
        <f t="shared" si="5"/>
        <v>2</v>
      </c>
    </row>
    <row r="54" spans="1:11" x14ac:dyDescent="0.25">
      <c r="A54">
        <f t="shared" si="6"/>
        <v>240</v>
      </c>
      <c r="B54">
        <f t="shared" si="0"/>
        <v>14400</v>
      </c>
      <c r="C54">
        <f t="shared" si="1"/>
        <v>4</v>
      </c>
      <c r="D54">
        <f>IF(OR(A54&lt;420,A54&gt;1440),0,Afleiding_Tapwater_schema!G$96)</f>
        <v>0</v>
      </c>
      <c r="E54" s="13">
        <f>_xlfn.NORM.DIST(A54,-30,Afleiding_Tapwater_schema!G$94,FALSE)*Afleiding_Tapwater_schema!G$95/K$4 + _xlfn.NORM.DIST(A54,Afleiding_Tapwater_schema!G$66*60,Afleiding_Tapwater_schema!G$94,FALSE)*Afleiding_Tapwater_schema!G$95/K$4 + _xlfn.NORM.DIST(A54,1415,Afleiding_Tapwater_schema!G$94,FALSE)*Afleiding_Tapwater_schema!G$95/K$4</f>
        <v>1.9096707608255907E-13</v>
      </c>
      <c r="F54">
        <v>2000</v>
      </c>
      <c r="G54" s="13">
        <f t="shared" si="2"/>
        <v>2000.0000000000002</v>
      </c>
      <c r="H54" s="13">
        <f t="shared" si="3"/>
        <v>59.999999999999993</v>
      </c>
      <c r="I54" s="27">
        <f>G54/((Afleiding_Tapwater_schema!D$4*1000)*(E$4-H54))</f>
        <v>4.7778308647873836E-5</v>
      </c>
      <c r="J54" s="27">
        <f t="shared" si="4"/>
        <v>2.8666985188724303</v>
      </c>
      <c r="K54">
        <f t="shared" si="5"/>
        <v>2.0000000000000004</v>
      </c>
    </row>
    <row r="55" spans="1:11" x14ac:dyDescent="0.25">
      <c r="A55">
        <f t="shared" si="6"/>
        <v>245</v>
      </c>
      <c r="B55">
        <f t="shared" si="0"/>
        <v>14700</v>
      </c>
      <c r="C55">
        <f t="shared" si="1"/>
        <v>4.083333333333333</v>
      </c>
      <c r="D55">
        <f>IF(OR(A55&lt;420,A55&gt;1440),0,Afleiding_Tapwater_schema!G$96)</f>
        <v>0</v>
      </c>
      <c r="E55" s="13">
        <f>_xlfn.NORM.DIST(A55,-30,Afleiding_Tapwater_schema!G$94,FALSE)*Afleiding_Tapwater_schema!G$95/K$4 + _xlfn.NORM.DIST(A55,Afleiding_Tapwater_schema!G$66*60,Afleiding_Tapwater_schema!G$94,FALSE)*Afleiding_Tapwater_schema!G$95/K$4 + _xlfn.NORM.DIST(A55,1415,Afleiding_Tapwater_schema!G$94,FALSE)*Afleiding_Tapwater_schema!G$95/K$4</f>
        <v>1.7561005557621426E-12</v>
      </c>
      <c r="F55">
        <v>2000</v>
      </c>
      <c r="G55" s="13">
        <f t="shared" si="2"/>
        <v>2000.0000000000018</v>
      </c>
      <c r="H55" s="13">
        <f t="shared" si="3"/>
        <v>59.999999999999972</v>
      </c>
      <c r="I55" s="27">
        <f>G55/((Afleiding_Tapwater_schema!D$4*1000)*(E$4-H55))</f>
        <v>4.7778308647873775E-5</v>
      </c>
      <c r="J55" s="27">
        <f t="shared" si="4"/>
        <v>2.8666985188724263</v>
      </c>
      <c r="K55">
        <f t="shared" si="5"/>
        <v>2.0000000000000018</v>
      </c>
    </row>
    <row r="56" spans="1:11" x14ac:dyDescent="0.25">
      <c r="A56">
        <f t="shared" si="6"/>
        <v>250</v>
      </c>
      <c r="B56">
        <f t="shared" si="0"/>
        <v>15000</v>
      </c>
      <c r="C56">
        <f t="shared" si="1"/>
        <v>4.166666666666667</v>
      </c>
      <c r="D56">
        <f>IF(OR(A56&lt;420,A56&gt;1440),0,Afleiding_Tapwater_schema!G$96)</f>
        <v>0</v>
      </c>
      <c r="E56" s="13">
        <f>_xlfn.NORM.DIST(A56,-30,Afleiding_Tapwater_schema!G$94,FALSE)*Afleiding_Tapwater_schema!G$95/K$4 + _xlfn.NORM.DIST(A56,Afleiding_Tapwater_schema!G$66*60,Afleiding_Tapwater_schema!G$94,FALSE)*Afleiding_Tapwater_schema!G$95/K$4 + _xlfn.NORM.DIST(A56,1415,Afleiding_Tapwater_schema!G$94,FALSE)*Afleiding_Tapwater_schema!G$95/K$4</f>
        <v>1.5170393883762977E-11</v>
      </c>
      <c r="F56">
        <v>2000</v>
      </c>
      <c r="G56" s="13">
        <f t="shared" si="2"/>
        <v>2000.0000000000152</v>
      </c>
      <c r="H56" s="13">
        <f t="shared" si="3"/>
        <v>59.999999999999808</v>
      </c>
      <c r="I56" s="27">
        <f>G56/((Afleiding_Tapwater_schema!D$4*1000)*(E$4-H56))</f>
        <v>4.7778308647873314E-5</v>
      </c>
      <c r="J56" s="27">
        <f t="shared" si="4"/>
        <v>2.8666985188723988</v>
      </c>
      <c r="K56">
        <f t="shared" si="5"/>
        <v>2.0000000000000151</v>
      </c>
    </row>
    <row r="57" spans="1:11" x14ac:dyDescent="0.25">
      <c r="A57">
        <f t="shared" si="6"/>
        <v>255</v>
      </c>
      <c r="B57">
        <f t="shared" si="0"/>
        <v>15300</v>
      </c>
      <c r="C57">
        <f t="shared" si="1"/>
        <v>4.25</v>
      </c>
      <c r="D57">
        <f>IF(OR(A57&lt;420,A57&gt;1440),0,Afleiding_Tapwater_schema!G$96)</f>
        <v>0</v>
      </c>
      <c r="E57" s="13">
        <f>_xlfn.NORM.DIST(A57,-30,Afleiding_Tapwater_schema!G$94,FALSE)*Afleiding_Tapwater_schema!G$95/K$4 + _xlfn.NORM.DIST(A57,Afleiding_Tapwater_schema!G$66*60,Afleiding_Tapwater_schema!G$94,FALSE)*Afleiding_Tapwater_schema!G$95/K$4 + _xlfn.NORM.DIST(A57,1415,Afleiding_Tapwater_schema!G$94,FALSE)*Afleiding_Tapwater_schema!G$95/K$4</f>
        <v>1.2311215358395273E-10</v>
      </c>
      <c r="F57">
        <v>2000</v>
      </c>
      <c r="G57" s="13">
        <f t="shared" si="2"/>
        <v>2000.000000000123</v>
      </c>
      <c r="H57" s="13">
        <f t="shared" si="3"/>
        <v>59.999999999998465</v>
      </c>
      <c r="I57" s="27">
        <f>G57/((Afleiding_Tapwater_schema!D$4*1000)*(E$4-H57))</f>
        <v>4.7778308647869472E-5</v>
      </c>
      <c r="J57" s="27">
        <f t="shared" si="4"/>
        <v>2.8666985188721683</v>
      </c>
      <c r="K57">
        <f t="shared" si="5"/>
        <v>2.000000000000123</v>
      </c>
    </row>
    <row r="58" spans="1:11" x14ac:dyDescent="0.25">
      <c r="A58">
        <f t="shared" si="6"/>
        <v>260</v>
      </c>
      <c r="B58">
        <f t="shared" si="0"/>
        <v>15600</v>
      </c>
      <c r="C58">
        <f t="shared" si="1"/>
        <v>4.333333333333333</v>
      </c>
      <c r="D58">
        <f>IF(OR(A58&lt;420,A58&gt;1440),0,Afleiding_Tapwater_schema!G$96)</f>
        <v>0</v>
      </c>
      <c r="E58" s="13">
        <f>_xlfn.NORM.DIST(A58,-30,Afleiding_Tapwater_schema!G$94,FALSE)*Afleiding_Tapwater_schema!G$95/K$4 + _xlfn.NORM.DIST(A58,Afleiding_Tapwater_schema!G$66*60,Afleiding_Tapwater_schema!G$94,FALSE)*Afleiding_Tapwater_schema!G$95/K$4 + _xlfn.NORM.DIST(A58,1415,Afleiding_Tapwater_schema!G$94,FALSE)*Afleiding_Tapwater_schema!G$95/K$4</f>
        <v>9.3855903505359536E-10</v>
      </c>
      <c r="F58">
        <v>2000</v>
      </c>
      <c r="G58" s="13">
        <f t="shared" si="2"/>
        <v>2000.0000000009386</v>
      </c>
      <c r="H58" s="13">
        <f t="shared" si="3"/>
        <v>59.999999999988262</v>
      </c>
      <c r="I58" s="27">
        <f>G58/((Afleiding_Tapwater_schema!D$4*1000)*(E$4-H58))</f>
        <v>4.7778308647840205E-5</v>
      </c>
      <c r="J58" s="27">
        <f t="shared" si="4"/>
        <v>2.8666985188704124</v>
      </c>
      <c r="K58">
        <f t="shared" si="5"/>
        <v>2.0000000000009388</v>
      </c>
    </row>
    <row r="59" spans="1:11" x14ac:dyDescent="0.25">
      <c r="A59">
        <f t="shared" si="6"/>
        <v>265</v>
      </c>
      <c r="B59">
        <f t="shared" si="0"/>
        <v>15900</v>
      </c>
      <c r="C59">
        <f t="shared" si="1"/>
        <v>4.416666666666667</v>
      </c>
      <c r="D59">
        <f>IF(OR(A59&lt;420,A59&gt;1440),0,Afleiding_Tapwater_schema!G$96)</f>
        <v>0</v>
      </c>
      <c r="E59" s="13">
        <f>_xlfn.NORM.DIST(A59,-30,Afleiding_Tapwater_schema!G$94,FALSE)*Afleiding_Tapwater_schema!G$95/K$4 + _xlfn.NORM.DIST(A59,Afleiding_Tapwater_schema!G$66*60,Afleiding_Tapwater_schema!G$94,FALSE)*Afleiding_Tapwater_schema!G$95/K$4 + _xlfn.NORM.DIST(A59,1415,Afleiding_Tapwater_schema!G$94,FALSE)*Afleiding_Tapwater_schema!G$95/K$4</f>
        <v>6.7216958322801464E-9</v>
      </c>
      <c r="F59">
        <v>2000</v>
      </c>
      <c r="G59" s="13">
        <f t="shared" si="2"/>
        <v>2000.0000000067216</v>
      </c>
      <c r="H59" s="13">
        <f t="shared" si="3"/>
        <v>59.999999999915978</v>
      </c>
      <c r="I59" s="27">
        <f>G59/((Afleiding_Tapwater_schema!D$4*1000)*(E$4-H59))</f>
        <v>4.7778308647633001E-5</v>
      </c>
      <c r="J59" s="27">
        <f t="shared" si="4"/>
        <v>2.8666985188579801</v>
      </c>
      <c r="K59">
        <f t="shared" si="5"/>
        <v>2.0000000000067217</v>
      </c>
    </row>
    <row r="60" spans="1:11" x14ac:dyDescent="0.25">
      <c r="A60">
        <f t="shared" si="6"/>
        <v>270</v>
      </c>
      <c r="B60">
        <f t="shared" si="0"/>
        <v>16200</v>
      </c>
      <c r="C60">
        <f t="shared" si="1"/>
        <v>4.5</v>
      </c>
      <c r="D60">
        <f>IF(OR(A60&lt;420,A60&gt;1440),0,Afleiding_Tapwater_schema!G$96)</f>
        <v>0</v>
      </c>
      <c r="E60" s="13">
        <f>_xlfn.NORM.DIST(A60,-30,Afleiding_Tapwater_schema!G$94,FALSE)*Afleiding_Tapwater_schema!G$95/K$4 + _xlfn.NORM.DIST(A60,Afleiding_Tapwater_schema!G$66*60,Afleiding_Tapwater_schema!G$94,FALSE)*Afleiding_Tapwater_schema!G$95/K$4 + _xlfn.NORM.DIST(A60,1415,Afleiding_Tapwater_schema!G$94,FALSE)*Afleiding_Tapwater_schema!G$95/K$4</f>
        <v>4.5222306814372222E-8</v>
      </c>
      <c r="F60">
        <v>2000</v>
      </c>
      <c r="G60" s="13">
        <f t="shared" si="2"/>
        <v>2000.0000000452224</v>
      </c>
      <c r="H60" s="13">
        <f t="shared" si="3"/>
        <v>59.999999999434721</v>
      </c>
      <c r="I60" s="27">
        <f>G60/((Afleiding_Tapwater_schema!D$4*1000)*(E$4-H60))</f>
        <v>4.777830864625338E-5</v>
      </c>
      <c r="J60" s="27">
        <f t="shared" si="4"/>
        <v>2.8666985187752028</v>
      </c>
      <c r="K60">
        <f t="shared" si="5"/>
        <v>2.0000000000452225</v>
      </c>
    </row>
    <row r="61" spans="1:11" x14ac:dyDescent="0.25">
      <c r="A61">
        <f t="shared" si="6"/>
        <v>275</v>
      </c>
      <c r="B61">
        <f t="shared" si="0"/>
        <v>16500</v>
      </c>
      <c r="C61">
        <f t="shared" si="1"/>
        <v>4.583333333333333</v>
      </c>
      <c r="D61">
        <f>IF(OR(A61&lt;420,A61&gt;1440),0,Afleiding_Tapwater_schema!G$96)</f>
        <v>0</v>
      </c>
      <c r="E61" s="13">
        <f>_xlfn.NORM.DIST(A61,-30,Afleiding_Tapwater_schema!G$94,FALSE)*Afleiding_Tapwater_schema!G$95/K$4 + _xlfn.NORM.DIST(A61,Afleiding_Tapwater_schema!G$66*60,Afleiding_Tapwater_schema!G$94,FALSE)*Afleiding_Tapwater_schema!G$95/K$4 + _xlfn.NORM.DIST(A61,1415,Afleiding_Tapwater_schema!G$94,FALSE)*Afleiding_Tapwater_schema!G$95/K$4</f>
        <v>2.8581377966386439E-7</v>
      </c>
      <c r="F61">
        <v>2000</v>
      </c>
      <c r="G61" s="13">
        <f t="shared" si="2"/>
        <v>2000.0000002858137</v>
      </c>
      <c r="H61" s="13">
        <f t="shared" si="3"/>
        <v>59.999999996427327</v>
      </c>
      <c r="I61" s="27">
        <f>G61/((Afleiding_Tapwater_schema!D$4*1000)*(E$4-H61))</f>
        <v>4.7778308637632089E-5</v>
      </c>
      <c r="J61" s="27">
        <f t="shared" si="4"/>
        <v>2.8666985182579254</v>
      </c>
      <c r="K61">
        <f t="shared" si="5"/>
        <v>2.0000000002858136</v>
      </c>
    </row>
    <row r="62" spans="1:11" x14ac:dyDescent="0.25">
      <c r="A62">
        <f t="shared" si="6"/>
        <v>280</v>
      </c>
      <c r="B62">
        <f t="shared" si="0"/>
        <v>16800</v>
      </c>
      <c r="C62">
        <f t="shared" si="1"/>
        <v>4.666666666666667</v>
      </c>
      <c r="D62">
        <f>IF(OR(A62&lt;420,A62&gt;1440),0,Afleiding_Tapwater_schema!G$96)</f>
        <v>0</v>
      </c>
      <c r="E62" s="13">
        <f>_xlfn.NORM.DIST(A62,-30,Afleiding_Tapwater_schema!G$94,FALSE)*Afleiding_Tapwater_schema!G$95/K$4 + _xlfn.NORM.DIST(A62,Afleiding_Tapwater_schema!G$66*60,Afleiding_Tapwater_schema!G$94,FALSE)*Afleiding_Tapwater_schema!G$95/K$4 + _xlfn.NORM.DIST(A62,1415,Afleiding_Tapwater_schema!G$94,FALSE)*Afleiding_Tapwater_schema!G$95/K$4</f>
        <v>1.6969545438478554E-6</v>
      </c>
      <c r="F62">
        <v>2000</v>
      </c>
      <c r="G62" s="13">
        <f t="shared" si="2"/>
        <v>2000.0000016969545</v>
      </c>
      <c r="H62" s="13">
        <f t="shared" si="3"/>
        <v>59.999999978788068</v>
      </c>
      <c r="I62" s="27">
        <f>G62/((Afleiding_Tapwater_schema!D$4*1000)*(E$4-H62))</f>
        <v>4.7778308587065652E-5</v>
      </c>
      <c r="J62" s="27">
        <f t="shared" si="4"/>
        <v>2.866698515223939</v>
      </c>
      <c r="K62">
        <f t="shared" si="5"/>
        <v>2.0000000016969546</v>
      </c>
    </row>
    <row r="63" spans="1:11" x14ac:dyDescent="0.25">
      <c r="A63">
        <f t="shared" si="6"/>
        <v>285</v>
      </c>
      <c r="B63">
        <f t="shared" si="0"/>
        <v>17100</v>
      </c>
      <c r="C63">
        <f t="shared" si="1"/>
        <v>4.75</v>
      </c>
      <c r="D63">
        <f>IF(OR(A63&lt;420,A63&gt;1440),0,Afleiding_Tapwater_schema!G$96)</f>
        <v>0</v>
      </c>
      <c r="E63" s="13">
        <f>_xlfn.NORM.DIST(A63,-30,Afleiding_Tapwater_schema!G$94,FALSE)*Afleiding_Tapwater_schema!G$95/K$4 + _xlfn.NORM.DIST(A63,Afleiding_Tapwater_schema!G$66*60,Afleiding_Tapwater_schema!G$94,FALSE)*Afleiding_Tapwater_schema!G$95/K$4 + _xlfn.NORM.DIST(A63,1415,Afleiding_Tapwater_schema!G$94,FALSE)*Afleiding_Tapwater_schema!G$95/K$4</f>
        <v>9.4648524895909712E-6</v>
      </c>
      <c r="F63">
        <v>2000</v>
      </c>
      <c r="G63" s="13">
        <f t="shared" si="2"/>
        <v>2000.0000094648524</v>
      </c>
      <c r="H63" s="13">
        <f t="shared" si="3"/>
        <v>59.999999881689348</v>
      </c>
      <c r="I63" s="27">
        <f>G63/((Afleiding_Tapwater_schema!D$4*1000)*(E$4-H63))</f>
        <v>4.7778308308712899E-5</v>
      </c>
      <c r="J63" s="27">
        <f t="shared" si="4"/>
        <v>2.8666984985227741</v>
      </c>
      <c r="K63">
        <f t="shared" si="5"/>
        <v>2.0000000094648525</v>
      </c>
    </row>
    <row r="64" spans="1:11" x14ac:dyDescent="0.25">
      <c r="A64">
        <f t="shared" si="6"/>
        <v>290</v>
      </c>
      <c r="B64">
        <f t="shared" si="0"/>
        <v>17400</v>
      </c>
      <c r="C64">
        <f t="shared" si="1"/>
        <v>4.833333333333333</v>
      </c>
      <c r="D64">
        <f>IF(OR(A64&lt;420,A64&gt;1440),0,Afleiding_Tapwater_schema!G$96)</f>
        <v>0</v>
      </c>
      <c r="E64" s="13">
        <f>_xlfn.NORM.DIST(A64,-30,Afleiding_Tapwater_schema!G$94,FALSE)*Afleiding_Tapwater_schema!G$95/K$4 + _xlfn.NORM.DIST(A64,Afleiding_Tapwater_schema!G$66*60,Afleiding_Tapwater_schema!G$94,FALSE)*Afleiding_Tapwater_schema!G$95/K$4 + _xlfn.NORM.DIST(A64,1415,Afleiding_Tapwater_schema!G$94,FALSE)*Afleiding_Tapwater_schema!G$95/K$4</f>
        <v>4.9592281153265812E-5</v>
      </c>
      <c r="F64">
        <v>2000</v>
      </c>
      <c r="G64" s="13">
        <f t="shared" si="2"/>
        <v>2000.0000495922811</v>
      </c>
      <c r="H64" s="13">
        <f t="shared" si="3"/>
        <v>59.999999380096497</v>
      </c>
      <c r="I64" s="27">
        <f>G64/((Afleiding_Tapwater_schema!D$4*1000)*(E$4-H64))</f>
        <v>4.7778306870797547E-5</v>
      </c>
      <c r="J64" s="27">
        <f t="shared" si="4"/>
        <v>2.8666984122478527</v>
      </c>
      <c r="K64">
        <f t="shared" si="5"/>
        <v>2.0000000495922809</v>
      </c>
    </row>
    <row r="65" spans="1:11" x14ac:dyDescent="0.25">
      <c r="A65">
        <f t="shared" si="6"/>
        <v>295</v>
      </c>
      <c r="B65">
        <f t="shared" si="0"/>
        <v>17700</v>
      </c>
      <c r="C65">
        <f t="shared" si="1"/>
        <v>4.916666666666667</v>
      </c>
      <c r="D65">
        <f>IF(OR(A65&lt;420,A65&gt;1440),0,Afleiding_Tapwater_schema!G$96)</f>
        <v>0</v>
      </c>
      <c r="E65" s="13">
        <f>_xlfn.NORM.DIST(A65,-30,Afleiding_Tapwater_schema!G$94,FALSE)*Afleiding_Tapwater_schema!G$95/K$4 + _xlfn.NORM.DIST(A65,Afleiding_Tapwater_schema!G$66*60,Afleiding_Tapwater_schema!G$94,FALSE)*Afleiding_Tapwater_schema!G$95/K$4 + _xlfn.NORM.DIST(A65,1415,Afleiding_Tapwater_schema!G$94,FALSE)*Afleiding_Tapwater_schema!G$95/K$4</f>
        <v>2.4410176297264214E-4</v>
      </c>
      <c r="F65">
        <v>2000</v>
      </c>
      <c r="G65" s="13">
        <f t="shared" si="2"/>
        <v>2000.000244101763</v>
      </c>
      <c r="H65" s="13">
        <f t="shared" si="3"/>
        <v>59.999996948728338</v>
      </c>
      <c r="I65" s="27">
        <f>G65/((Afleiding_Tapwater_schema!D$4*1000)*(E$4-H65))</f>
        <v>4.7778299900801298E-5</v>
      </c>
      <c r="J65" s="27">
        <f t="shared" si="4"/>
        <v>2.8666979940480779</v>
      </c>
      <c r="K65">
        <f t="shared" si="5"/>
        <v>2.0000002441017628</v>
      </c>
    </row>
    <row r="66" spans="1:11" x14ac:dyDescent="0.25">
      <c r="A66">
        <f t="shared" si="6"/>
        <v>300</v>
      </c>
      <c r="B66">
        <f t="shared" si="0"/>
        <v>18000</v>
      </c>
      <c r="C66">
        <f t="shared" si="1"/>
        <v>5</v>
      </c>
      <c r="D66">
        <f>IF(OR(A66&lt;420,A66&gt;1440),0,Afleiding_Tapwater_schema!G$96)</f>
        <v>0</v>
      </c>
      <c r="E66" s="13">
        <f>_xlfn.NORM.DIST(A66,-30,Afleiding_Tapwater_schema!G$94,FALSE)*Afleiding_Tapwater_schema!G$95/K$4 + _xlfn.NORM.DIST(A66,Afleiding_Tapwater_schema!G$66*60,Afleiding_Tapwater_schema!G$94,FALSE)*Afleiding_Tapwater_schema!G$95/K$4 + _xlfn.NORM.DIST(A66,1415,Afleiding_Tapwater_schema!G$94,FALSE)*Afleiding_Tapwater_schema!G$95/K$4</f>
        <v>1.1287151164970127E-3</v>
      </c>
      <c r="F66">
        <v>2000</v>
      </c>
      <c r="G66" s="13">
        <f t="shared" si="2"/>
        <v>2000.0011287151165</v>
      </c>
      <c r="H66" s="13">
        <f t="shared" si="3"/>
        <v>59.999985891069009</v>
      </c>
      <c r="I66" s="27">
        <f>G66/((Afleiding_Tapwater_schema!D$4*1000)*(E$4-H66))</f>
        <v>4.7778268201894581E-5</v>
      </c>
      <c r="J66" s="27">
        <f t="shared" si="4"/>
        <v>2.866696092113675</v>
      </c>
      <c r="K66">
        <f t="shared" si="5"/>
        <v>2.0000011287151165</v>
      </c>
    </row>
    <row r="67" spans="1:11" x14ac:dyDescent="0.25">
      <c r="A67">
        <f t="shared" si="6"/>
        <v>305</v>
      </c>
      <c r="B67">
        <f t="shared" si="0"/>
        <v>18300</v>
      </c>
      <c r="C67">
        <f t="shared" si="1"/>
        <v>5.083333333333333</v>
      </c>
      <c r="D67">
        <f>IF(OR(A67&lt;420,A67&gt;1440),0,Afleiding_Tapwater_schema!G$96)</f>
        <v>0</v>
      </c>
      <c r="E67" s="13">
        <f>_xlfn.NORM.DIST(A67,-30,Afleiding_Tapwater_schema!G$94,FALSE)*Afleiding_Tapwater_schema!G$95/K$4 + _xlfn.NORM.DIST(A67,Afleiding_Tapwater_schema!G$66*60,Afleiding_Tapwater_schema!G$94,FALSE)*Afleiding_Tapwater_schema!G$95/K$4 + _xlfn.NORM.DIST(A67,1415,Afleiding_Tapwater_schema!G$94,FALSE)*Afleiding_Tapwater_schema!G$95/K$4</f>
        <v>4.9029149732022076E-3</v>
      </c>
      <c r="F67">
        <v>2000</v>
      </c>
      <c r="G67" s="13">
        <f t="shared" si="2"/>
        <v>2000.0049029149732</v>
      </c>
      <c r="H67" s="13">
        <f t="shared" si="3"/>
        <v>59.999938713713071</v>
      </c>
      <c r="I67" s="27">
        <f>G67/((Afleiding_Tapwater_schema!D$4*1000)*(E$4-H67))</f>
        <v>4.7778132959929744E-5</v>
      </c>
      <c r="J67" s="27">
        <f t="shared" si="4"/>
        <v>2.8666879775957845</v>
      </c>
      <c r="K67">
        <f t="shared" si="5"/>
        <v>2.0000049029149731</v>
      </c>
    </row>
    <row r="68" spans="1:11" x14ac:dyDescent="0.25">
      <c r="A68">
        <f t="shared" si="6"/>
        <v>310</v>
      </c>
      <c r="B68">
        <f t="shared" si="0"/>
        <v>18600</v>
      </c>
      <c r="C68">
        <f t="shared" si="1"/>
        <v>5.166666666666667</v>
      </c>
      <c r="D68">
        <f>IF(OR(A68&lt;420,A68&gt;1440),0,Afleiding_Tapwater_schema!G$96)</f>
        <v>0</v>
      </c>
      <c r="E68" s="13">
        <f>_xlfn.NORM.DIST(A68,-30,Afleiding_Tapwater_schema!G$94,FALSE)*Afleiding_Tapwater_schema!G$95/K$4 + _xlfn.NORM.DIST(A68,Afleiding_Tapwater_schema!G$66*60,Afleiding_Tapwater_schema!G$94,FALSE)*Afleiding_Tapwater_schema!G$95/K$4 + _xlfn.NORM.DIST(A68,1415,Afleiding_Tapwater_schema!G$94,FALSE)*Afleiding_Tapwater_schema!G$95/K$4</f>
        <v>2.000695415221453E-2</v>
      </c>
      <c r="F68">
        <v>2000</v>
      </c>
      <c r="G68" s="13">
        <f t="shared" si="2"/>
        <v>2000.0200069541522</v>
      </c>
      <c r="H68" s="13">
        <f t="shared" si="3"/>
        <v>59.99974991557481</v>
      </c>
      <c r="I68" s="27">
        <f>G68/((Afleiding_Tapwater_schema!D$4*1000)*(E$4-H68))</f>
        <v>4.777759175393209E-5</v>
      </c>
      <c r="J68" s="27">
        <f t="shared" si="4"/>
        <v>2.8666555052359257</v>
      </c>
      <c r="K68">
        <f t="shared" si="5"/>
        <v>2.0000200069541521</v>
      </c>
    </row>
    <row r="69" spans="1:11" x14ac:dyDescent="0.25">
      <c r="A69">
        <f t="shared" si="6"/>
        <v>315</v>
      </c>
      <c r="B69">
        <f t="shared" si="0"/>
        <v>18900</v>
      </c>
      <c r="C69">
        <f t="shared" si="1"/>
        <v>5.25</v>
      </c>
      <c r="D69">
        <f>IF(OR(A69&lt;420,A69&gt;1440),0,Afleiding_Tapwater_schema!G$96)</f>
        <v>0</v>
      </c>
      <c r="E69" s="13">
        <f>_xlfn.NORM.DIST(A69,-30,Afleiding_Tapwater_schema!G$94,FALSE)*Afleiding_Tapwater_schema!G$95/K$4 + _xlfn.NORM.DIST(A69,Afleiding_Tapwater_schema!G$66*60,Afleiding_Tapwater_schema!G$94,FALSE)*Afleiding_Tapwater_schema!G$95/K$4 + _xlfn.NORM.DIST(A69,1415,Afleiding_Tapwater_schema!G$94,FALSE)*Afleiding_Tapwater_schema!G$95/K$4</f>
        <v>7.6694494085276441E-2</v>
      </c>
      <c r="F69">
        <v>2000</v>
      </c>
      <c r="G69" s="13">
        <f t="shared" si="2"/>
        <v>2000.0766944940854</v>
      </c>
      <c r="H69" s="13">
        <f t="shared" si="3"/>
        <v>59.999041355585312</v>
      </c>
      <c r="I69" s="27">
        <f>G69/((Afleiding_Tapwater_schema!D$4*1000)*(E$4-H69))</f>
        <v>4.7775560837023363E-5</v>
      </c>
      <c r="J69" s="27">
        <f t="shared" si="4"/>
        <v>2.8665336502214016</v>
      </c>
      <c r="K69">
        <f t="shared" si="5"/>
        <v>2.0000766944940853</v>
      </c>
    </row>
    <row r="70" spans="1:11" x14ac:dyDescent="0.25">
      <c r="A70">
        <f t="shared" si="6"/>
        <v>320</v>
      </c>
      <c r="B70">
        <f t="shared" si="0"/>
        <v>19200</v>
      </c>
      <c r="C70">
        <f t="shared" si="1"/>
        <v>5.333333333333333</v>
      </c>
      <c r="D70">
        <f>IF(OR(A70&lt;420,A70&gt;1440),0,Afleiding_Tapwater_schema!G$96)</f>
        <v>0</v>
      </c>
      <c r="E70" s="13">
        <f>_xlfn.NORM.DIST(A70,-30,Afleiding_Tapwater_schema!G$94,FALSE)*Afleiding_Tapwater_schema!G$95/K$4 + _xlfn.NORM.DIST(A70,Afleiding_Tapwater_schema!G$66*60,Afleiding_Tapwater_schema!G$94,FALSE)*Afleiding_Tapwater_schema!G$95/K$4 + _xlfn.NORM.DIST(A70,1415,Afleiding_Tapwater_schema!G$94,FALSE)*Afleiding_Tapwater_schema!G$95/K$4</f>
        <v>0.27618748283148864</v>
      </c>
      <c r="F70">
        <v>2000</v>
      </c>
      <c r="G70" s="13">
        <f t="shared" si="2"/>
        <v>2000.2761874828316</v>
      </c>
      <c r="H70" s="13">
        <f t="shared" si="3"/>
        <v>59.996548133145808</v>
      </c>
      <c r="I70" s="27">
        <f>G70/((Afleiding_Tapwater_schema!D$4*1000)*(E$4-H70))</f>
        <v>4.7768417511565028E-5</v>
      </c>
      <c r="J70" s="27">
        <f t="shared" si="4"/>
        <v>2.8661050506939016</v>
      </c>
      <c r="K70">
        <f t="shared" si="5"/>
        <v>2.0002761874828314</v>
      </c>
    </row>
    <row r="71" spans="1:11" x14ac:dyDescent="0.25">
      <c r="A71">
        <f t="shared" si="6"/>
        <v>325</v>
      </c>
      <c r="B71">
        <f t="shared" ref="B71:B134" si="7">A71*60</f>
        <v>19500</v>
      </c>
      <c r="C71">
        <f t="shared" ref="C71:C134" si="8">A71/60</f>
        <v>5.416666666666667</v>
      </c>
      <c r="D71">
        <f>IF(OR(A71&lt;420,A71&gt;1440),0,Afleiding_Tapwater_schema!G$96)</f>
        <v>0</v>
      </c>
      <c r="E71" s="13">
        <f>_xlfn.NORM.DIST(A71,-30,Afleiding_Tapwater_schema!G$94,FALSE)*Afleiding_Tapwater_schema!G$95/K$4 + _xlfn.NORM.DIST(A71,Afleiding_Tapwater_schema!G$66*60,Afleiding_Tapwater_schema!G$94,FALSE)*Afleiding_Tapwater_schema!G$95/K$4 + _xlfn.NORM.DIST(A71,1415,Afleiding_Tapwater_schema!G$94,FALSE)*Afleiding_Tapwater_schema!G$95/K$4</f>
        <v>0.93433021101308866</v>
      </c>
      <c r="F71">
        <v>2000</v>
      </c>
      <c r="G71" s="13">
        <f t="shared" ref="G71:G134" si="9">D71+E71+F71</f>
        <v>2000.934330211013</v>
      </c>
      <c r="H71" s="13">
        <f t="shared" ref="H71:H134" si="10">(F71*E$3+(D71+E71)*E$2)/(D71+E71+F71)</f>
        <v>59.988326325895535</v>
      </c>
      <c r="I71" s="27">
        <f>G71/((Afleiding_Tapwater_schema!D$4*1000)*(E$4-H71))</f>
        <v>4.7744893174167496E-5</v>
      </c>
      <c r="J71" s="27">
        <f t="shared" ref="J71:J134" si="11">I71*1000*60</f>
        <v>2.8646935904500497</v>
      </c>
      <c r="K71">
        <f t="shared" ref="K71:K134" si="12">G71/1000</f>
        <v>2.0009343302110132</v>
      </c>
    </row>
    <row r="72" spans="1:11" x14ac:dyDescent="0.25">
      <c r="A72">
        <f t="shared" ref="A72" si="13">A71+D$1</f>
        <v>330</v>
      </c>
      <c r="B72">
        <f t="shared" si="7"/>
        <v>19800</v>
      </c>
      <c r="C72">
        <f t="shared" si="8"/>
        <v>5.5</v>
      </c>
      <c r="D72">
        <f>IF(OR(A72&lt;420,A72&gt;1440),0,Afleiding_Tapwater_schema!G$96)</f>
        <v>0</v>
      </c>
      <c r="E72" s="13">
        <f>_xlfn.NORM.DIST(A72,-30,Afleiding_Tapwater_schema!G$94,FALSE)*Afleiding_Tapwater_schema!G$95/K$4 + _xlfn.NORM.DIST(A72,Afleiding_Tapwater_schema!G$66*60,Afleiding_Tapwater_schema!G$94,FALSE)*Afleiding_Tapwater_schema!G$95/K$4 + _xlfn.NORM.DIST(A72,1415,Afleiding_Tapwater_schema!G$94,FALSE)*Afleiding_Tapwater_schema!G$95/K$4</f>
        <v>2.9692952697505719</v>
      </c>
      <c r="F72">
        <v>2000</v>
      </c>
      <c r="G72" s="13">
        <f t="shared" si="9"/>
        <v>2002.9692952697505</v>
      </c>
      <c r="H72" s="13">
        <f t="shared" si="10"/>
        <v>59.962938831903678</v>
      </c>
      <c r="I72" s="27">
        <f>G72/((Afleiding_Tapwater_schema!D$4*1000)*(E$4-H72))</f>
        <v>4.7672562515509298E-5</v>
      </c>
      <c r="J72" s="27">
        <f t="shared" si="11"/>
        <v>2.8603537509305577</v>
      </c>
      <c r="K72">
        <f t="shared" si="12"/>
        <v>2.0029692952697506</v>
      </c>
    </row>
    <row r="73" spans="1:11" x14ac:dyDescent="0.25">
      <c r="A73">
        <f t="shared" si="6"/>
        <v>335</v>
      </c>
      <c r="B73">
        <f t="shared" si="7"/>
        <v>20100</v>
      </c>
      <c r="C73">
        <f t="shared" si="8"/>
        <v>5.583333333333333</v>
      </c>
      <c r="D73">
        <f>IF(OR(A73&lt;420,A73&gt;1440),0,Afleiding_Tapwater_schema!G$96)</f>
        <v>0</v>
      </c>
      <c r="E73" s="13">
        <f>_xlfn.NORM.DIST(A73,-30,Afleiding_Tapwater_schema!G$94,FALSE)*Afleiding_Tapwater_schema!G$95/K$4 + _xlfn.NORM.DIST(A73,Afleiding_Tapwater_schema!G$66*60,Afleiding_Tapwater_schema!G$94,FALSE)*Afleiding_Tapwater_schema!G$95/K$4 + _xlfn.NORM.DIST(A73,1415,Afleiding_Tapwater_schema!G$94,FALSE)*Afleiding_Tapwater_schema!G$95/K$4</f>
        <v>8.8646782260213044</v>
      </c>
      <c r="F73">
        <v>2000</v>
      </c>
      <c r="G73" s="13">
        <f t="shared" si="9"/>
        <v>2008.8646782260214</v>
      </c>
      <c r="H73" s="13">
        <f t="shared" si="10"/>
        <v>59.88968049562888</v>
      </c>
      <c r="I73" s="27">
        <f>G73/((Afleiding_Tapwater_schema!D$4*1000)*(E$4-H73))</f>
        <v>4.7466430999830602E-5</v>
      </c>
      <c r="J73" s="27">
        <f t="shared" si="11"/>
        <v>2.8479858599898362</v>
      </c>
      <c r="K73">
        <f t="shared" si="12"/>
        <v>2.0088646782260215</v>
      </c>
    </row>
    <row r="74" spans="1:11" x14ac:dyDescent="0.25">
      <c r="A74">
        <f t="shared" ref="A74:A137" si="14">A73+D$1</f>
        <v>340</v>
      </c>
      <c r="B74">
        <f t="shared" si="7"/>
        <v>20400</v>
      </c>
      <c r="C74">
        <f t="shared" si="8"/>
        <v>5.666666666666667</v>
      </c>
      <c r="D74">
        <f>IF(OR(A74&lt;420,A74&gt;1440),0,Afleiding_Tapwater_schema!G$96)</f>
        <v>0</v>
      </c>
      <c r="E74" s="13">
        <f>_xlfn.NORM.DIST(A74,-30,Afleiding_Tapwater_schema!G$94,FALSE)*Afleiding_Tapwater_schema!G$95/K$4 + _xlfn.NORM.DIST(A74,Afleiding_Tapwater_schema!G$66*60,Afleiding_Tapwater_schema!G$94,FALSE)*Afleiding_Tapwater_schema!G$95/K$4 + _xlfn.NORM.DIST(A74,1415,Afleiding_Tapwater_schema!G$94,FALSE)*Afleiding_Tapwater_schema!G$95/K$4</f>
        <v>24.861604905602729</v>
      </c>
      <c r="F74">
        <v>2000</v>
      </c>
      <c r="G74" s="13">
        <f t="shared" si="9"/>
        <v>2024.8616049056027</v>
      </c>
      <c r="H74" s="13">
        <f t="shared" si="10"/>
        <v>59.693045627842288</v>
      </c>
      <c r="I74" s="27">
        <f>G74/((Afleiding_Tapwater_schema!D$4*1000)*(E$4-H74))</f>
        <v>4.693164403140562E-5</v>
      </c>
      <c r="J74" s="27">
        <f t="shared" si="11"/>
        <v>2.8158986418843375</v>
      </c>
      <c r="K74">
        <f t="shared" si="12"/>
        <v>2.0248616049056025</v>
      </c>
    </row>
    <row r="75" spans="1:11" x14ac:dyDescent="0.25">
      <c r="A75">
        <f t="shared" si="14"/>
        <v>345</v>
      </c>
      <c r="B75">
        <f t="shared" si="7"/>
        <v>20700</v>
      </c>
      <c r="C75">
        <f t="shared" si="8"/>
        <v>5.75</v>
      </c>
      <c r="D75">
        <f>IF(OR(A75&lt;420,A75&gt;1440),0,Afleiding_Tapwater_schema!G$96)</f>
        <v>0</v>
      </c>
      <c r="E75" s="13">
        <f>_xlfn.NORM.DIST(A75,-30,Afleiding_Tapwater_schema!G$94,FALSE)*Afleiding_Tapwater_schema!G$95/K$4 + _xlfn.NORM.DIST(A75,Afleiding_Tapwater_schema!G$66*60,Afleiding_Tapwater_schema!G$94,FALSE)*Afleiding_Tapwater_schema!G$95/K$4 + _xlfn.NORM.DIST(A75,1415,Afleiding_Tapwater_schema!G$94,FALSE)*Afleiding_Tapwater_schema!G$95/K$4</f>
        <v>65.501604711040457</v>
      </c>
      <c r="F75">
        <v>2000</v>
      </c>
      <c r="G75" s="13">
        <f t="shared" si="9"/>
        <v>2065.5016047110403</v>
      </c>
      <c r="H75" s="13">
        <f t="shared" si="10"/>
        <v>59.207194942845327</v>
      </c>
      <c r="I75" s="27">
        <f>G75/((Afleiding_Tapwater_schema!D$4*1000)*(E$4-H75))</f>
        <v>4.5718500732644407E-5</v>
      </c>
      <c r="J75" s="27">
        <f t="shared" si="11"/>
        <v>2.7431100439586644</v>
      </c>
      <c r="K75">
        <f t="shared" si="12"/>
        <v>2.0655016047110402</v>
      </c>
    </row>
    <row r="76" spans="1:11" x14ac:dyDescent="0.25">
      <c r="A76">
        <f t="shared" si="14"/>
        <v>350</v>
      </c>
      <c r="B76">
        <f t="shared" si="7"/>
        <v>21000</v>
      </c>
      <c r="C76">
        <f t="shared" si="8"/>
        <v>5.833333333333333</v>
      </c>
      <c r="D76">
        <f>IF(OR(A76&lt;420,A76&gt;1440),0,Afleiding_Tapwater_schema!G$96)</f>
        <v>0</v>
      </c>
      <c r="E76" s="13">
        <f>_xlfn.NORM.DIST(A76,-30,Afleiding_Tapwater_schema!G$94,FALSE)*Afleiding_Tapwater_schema!G$95/K$4 + _xlfn.NORM.DIST(A76,Afleiding_Tapwater_schema!G$66*60,Afleiding_Tapwater_schema!G$94,FALSE)*Afleiding_Tapwater_schema!G$95/K$4 + _xlfn.NORM.DIST(A76,1415,Afleiding_Tapwater_schema!G$94,FALSE)*Afleiding_Tapwater_schema!G$95/K$4</f>
        <v>162.1180286305472</v>
      </c>
      <c r="F76">
        <v>2000</v>
      </c>
      <c r="G76" s="13">
        <f t="shared" si="9"/>
        <v>2162.1180286305471</v>
      </c>
      <c r="H76" s="13">
        <f t="shared" si="10"/>
        <v>58.125472031547346</v>
      </c>
      <c r="I76" s="27">
        <f>G76/((Afleiding_Tapwater_schema!D$4*1000)*(E$4-H76))</f>
        <v>4.3497452184831558E-5</v>
      </c>
      <c r="J76" s="27">
        <f t="shared" si="11"/>
        <v>2.6098471310898934</v>
      </c>
      <c r="K76">
        <f t="shared" si="12"/>
        <v>2.1621180286305473</v>
      </c>
    </row>
    <row r="77" spans="1:11" x14ac:dyDescent="0.25">
      <c r="A77">
        <f t="shared" si="14"/>
        <v>355</v>
      </c>
      <c r="B77">
        <f t="shared" si="7"/>
        <v>21300</v>
      </c>
      <c r="C77">
        <f t="shared" si="8"/>
        <v>5.916666666666667</v>
      </c>
      <c r="D77">
        <f>IF(OR(A77&lt;420,A77&gt;1440),0,Afleiding_Tapwater_schema!G$96)</f>
        <v>0</v>
      </c>
      <c r="E77" s="13">
        <f>_xlfn.NORM.DIST(A77,-30,Afleiding_Tapwater_schema!G$94,FALSE)*Afleiding_Tapwater_schema!G$95/K$4 + _xlfn.NORM.DIST(A77,Afleiding_Tapwater_schema!G$66*60,Afleiding_Tapwater_schema!G$94,FALSE)*Afleiding_Tapwater_schema!G$95/K$4 + _xlfn.NORM.DIST(A77,1415,Afleiding_Tapwater_schema!G$94,FALSE)*Afleiding_Tapwater_schema!G$95/K$4</f>
        <v>376.93570975282307</v>
      </c>
      <c r="F77">
        <v>2000</v>
      </c>
      <c r="G77" s="13">
        <f t="shared" si="9"/>
        <v>2376.9357097528232</v>
      </c>
      <c r="H77" s="13">
        <f t="shared" si="10"/>
        <v>56.035486906458857</v>
      </c>
      <c r="I77" s="27">
        <f>G77/((Afleiding_Tapwater_schema!D$4*1000)*(E$4-H77))</f>
        <v>4.0662344335245733E-5</v>
      </c>
      <c r="J77" s="27">
        <f t="shared" si="11"/>
        <v>2.4397406601147438</v>
      </c>
      <c r="K77">
        <f t="shared" si="12"/>
        <v>2.3769357097528232</v>
      </c>
    </row>
    <row r="78" spans="1:11" x14ac:dyDescent="0.25">
      <c r="A78">
        <f t="shared" si="14"/>
        <v>360</v>
      </c>
      <c r="B78">
        <f t="shared" si="7"/>
        <v>21600</v>
      </c>
      <c r="C78">
        <f t="shared" si="8"/>
        <v>6</v>
      </c>
      <c r="D78">
        <f>IF(OR(A78&lt;420,A78&gt;1440),0,Afleiding_Tapwater_schema!G$96)</f>
        <v>0</v>
      </c>
      <c r="E78" s="13">
        <f>_xlfn.NORM.DIST(A78,-30,Afleiding_Tapwater_schema!G$94,FALSE)*Afleiding_Tapwater_schema!G$95/K$4 + _xlfn.NORM.DIST(A78,Afleiding_Tapwater_schema!G$66*60,Afleiding_Tapwater_schema!G$94,FALSE)*Afleiding_Tapwater_schema!G$95/K$4 + _xlfn.NORM.DIST(A78,1415,Afleiding_Tapwater_schema!G$94,FALSE)*Afleiding_Tapwater_schema!G$95/K$4</f>
        <v>823.30328286747624</v>
      </c>
      <c r="F78">
        <v>2000</v>
      </c>
      <c r="G78" s="13">
        <f t="shared" si="9"/>
        <v>2823.3032828674764</v>
      </c>
      <c r="H78" s="13">
        <f t="shared" si="10"/>
        <v>52.709751659842119</v>
      </c>
      <c r="I78" s="27">
        <f>G78/((Afleiding_Tapwater_schema!D$4*1000)*(E$4-H78))</f>
        <v>3.9008304855315366E-5</v>
      </c>
      <c r="J78" s="27">
        <f t="shared" si="11"/>
        <v>2.3404982913189221</v>
      </c>
      <c r="K78">
        <f t="shared" si="12"/>
        <v>2.8233032828674762</v>
      </c>
    </row>
    <row r="79" spans="1:11" x14ac:dyDescent="0.25">
      <c r="A79">
        <f t="shared" si="14"/>
        <v>365</v>
      </c>
      <c r="B79">
        <f t="shared" si="7"/>
        <v>21900</v>
      </c>
      <c r="C79">
        <f t="shared" si="8"/>
        <v>6.083333333333333</v>
      </c>
      <c r="D79">
        <f>IF(OR(A79&lt;420,A79&gt;1440),0,Afleiding_Tapwater_schema!G$96)</f>
        <v>0</v>
      </c>
      <c r="E79" s="13">
        <f>_xlfn.NORM.DIST(A79,-30,Afleiding_Tapwater_schema!G$94,FALSE)*Afleiding_Tapwater_schema!G$95/K$4 + _xlfn.NORM.DIST(A79,Afleiding_Tapwater_schema!G$66*60,Afleiding_Tapwater_schema!G$94,FALSE)*Afleiding_Tapwater_schema!G$95/K$4 + _xlfn.NORM.DIST(A79,1415,Afleiding_Tapwater_schema!G$94,FALSE)*Afleiding_Tapwater_schema!G$95/K$4</f>
        <v>1689.3086506193474</v>
      </c>
      <c r="F79">
        <v>2000</v>
      </c>
      <c r="G79" s="13">
        <f t="shared" si="9"/>
        <v>3689.3086506193476</v>
      </c>
      <c r="H79" s="13">
        <f t="shared" si="10"/>
        <v>48.55267469735994</v>
      </c>
      <c r="I79" s="27">
        <f>G79/((Afleiding_Tapwater_schema!D$4*1000)*(E$4-H79))</f>
        <v>4.109345219491411E-5</v>
      </c>
      <c r="J79" s="27">
        <f t="shared" si="11"/>
        <v>2.4656071316948465</v>
      </c>
      <c r="K79">
        <f t="shared" si="12"/>
        <v>3.6893086506193478</v>
      </c>
    </row>
    <row r="80" spans="1:11" x14ac:dyDescent="0.25">
      <c r="A80">
        <f t="shared" si="14"/>
        <v>370</v>
      </c>
      <c r="B80">
        <f t="shared" si="7"/>
        <v>22200</v>
      </c>
      <c r="C80">
        <f t="shared" si="8"/>
        <v>6.166666666666667</v>
      </c>
      <c r="D80">
        <f>IF(OR(A80&lt;420,A80&gt;1440),0,Afleiding_Tapwater_schema!G$96)</f>
        <v>0</v>
      </c>
      <c r="E80" s="13">
        <f>_xlfn.NORM.DIST(A80,-30,Afleiding_Tapwater_schema!G$94,FALSE)*Afleiding_Tapwater_schema!G$95/K$4 + _xlfn.NORM.DIST(A80,Afleiding_Tapwater_schema!G$66*60,Afleiding_Tapwater_schema!G$94,FALSE)*Afleiding_Tapwater_schema!G$95/K$4 + _xlfn.NORM.DIST(A80,1415,Afleiding_Tapwater_schema!G$94,FALSE)*Afleiding_Tapwater_schema!G$95/K$4</f>
        <v>3256.2276499732516</v>
      </c>
      <c r="F80">
        <v>2000</v>
      </c>
      <c r="G80" s="13">
        <f t="shared" si="9"/>
        <v>5256.2276499732516</v>
      </c>
      <c r="H80" s="13">
        <f t="shared" si="10"/>
        <v>44.512525584818313</v>
      </c>
      <c r="I80" s="27">
        <f>G80/((Afleiding_Tapwater_schema!D$4*1000)*(E$4-H80))</f>
        <v>4.9266094963556345E-5</v>
      </c>
      <c r="J80" s="27">
        <f t="shared" si="11"/>
        <v>2.9559656978133804</v>
      </c>
      <c r="K80">
        <f t="shared" si="12"/>
        <v>5.2562276499732512</v>
      </c>
    </row>
    <row r="81" spans="1:11" x14ac:dyDescent="0.25">
      <c r="A81">
        <f t="shared" si="14"/>
        <v>375</v>
      </c>
      <c r="B81">
        <f t="shared" si="7"/>
        <v>22500</v>
      </c>
      <c r="C81">
        <f t="shared" si="8"/>
        <v>6.25</v>
      </c>
      <c r="D81">
        <f>IF(OR(A81&lt;420,A81&gt;1440),0,Afleiding_Tapwater_schema!G$96)</f>
        <v>0</v>
      </c>
      <c r="E81" s="13">
        <f>_xlfn.NORM.DIST(A81,-30,Afleiding_Tapwater_schema!G$94,FALSE)*Afleiding_Tapwater_schema!G$95/K$4 + _xlfn.NORM.DIST(A81,Afleiding_Tapwater_schema!G$66*60,Afleiding_Tapwater_schema!G$94,FALSE)*Afleiding_Tapwater_schema!G$95/K$4 + _xlfn.NORM.DIST(A81,1415,Afleiding_Tapwater_schema!G$94,FALSE)*Afleiding_Tapwater_schema!G$95/K$4</f>
        <v>5896.2665516686066</v>
      </c>
      <c r="F81">
        <v>2000</v>
      </c>
      <c r="G81" s="13">
        <f t="shared" si="9"/>
        <v>7896.2665516686066</v>
      </c>
      <c r="H81" s="13">
        <f t="shared" si="10"/>
        <v>41.332106404061825</v>
      </c>
      <c r="I81" s="27">
        <f>G81/((Afleiding_Tapwater_schema!D$4*1000)*(E$4-H81))</f>
        <v>6.5800136171315895E-5</v>
      </c>
      <c r="J81" s="27">
        <f t="shared" si="11"/>
        <v>3.9480081702789542</v>
      </c>
      <c r="K81">
        <f t="shared" si="12"/>
        <v>7.8962665516686066</v>
      </c>
    </row>
    <row r="82" spans="1:11" x14ac:dyDescent="0.25">
      <c r="A82">
        <f t="shared" si="14"/>
        <v>380</v>
      </c>
      <c r="B82">
        <f t="shared" si="7"/>
        <v>22800</v>
      </c>
      <c r="C82">
        <f t="shared" si="8"/>
        <v>6.333333333333333</v>
      </c>
      <c r="D82">
        <f>IF(OR(A82&lt;420,A82&gt;1440),0,Afleiding_Tapwater_schema!G$96)</f>
        <v>0</v>
      </c>
      <c r="E82" s="13">
        <f>_xlfn.NORM.DIST(A82,-30,Afleiding_Tapwater_schema!G$94,FALSE)*Afleiding_Tapwater_schema!G$95/K$4 + _xlfn.NORM.DIST(A82,Afleiding_Tapwater_schema!G$66*60,Afleiding_Tapwater_schema!G$94,FALSE)*Afleiding_Tapwater_schema!G$95/K$4 + _xlfn.NORM.DIST(A82,1415,Afleiding_Tapwater_schema!G$94,FALSE)*Afleiding_Tapwater_schema!G$95/K$4</f>
        <v>10029.887271360376</v>
      </c>
      <c r="F82">
        <v>2000</v>
      </c>
      <c r="G82" s="13">
        <f t="shared" si="9"/>
        <v>12029.887271360376</v>
      </c>
      <c r="H82" s="13">
        <f t="shared" si="10"/>
        <v>39.156314924000604</v>
      </c>
      <c r="I82" s="27">
        <f>G82/((Afleiding_Tapwater_schema!D$4*1000)*(E$4-H82))</f>
        <v>9.3174286022235558E-5</v>
      </c>
      <c r="J82" s="27">
        <f t="shared" si="11"/>
        <v>5.5904571613341334</v>
      </c>
      <c r="K82">
        <f t="shared" si="12"/>
        <v>12.029887271360376</v>
      </c>
    </row>
    <row r="83" spans="1:11" x14ac:dyDescent="0.25">
      <c r="A83">
        <f t="shared" si="14"/>
        <v>385</v>
      </c>
      <c r="B83">
        <f t="shared" si="7"/>
        <v>23100</v>
      </c>
      <c r="C83">
        <f t="shared" si="8"/>
        <v>6.416666666666667</v>
      </c>
      <c r="D83">
        <f>IF(OR(A83&lt;420,A83&gt;1440),0,Afleiding_Tapwater_schema!G$96)</f>
        <v>0</v>
      </c>
      <c r="E83" s="13">
        <f>_xlfn.NORM.DIST(A83,-30,Afleiding_Tapwater_schema!G$94,FALSE)*Afleiding_Tapwater_schema!G$95/K$4 + _xlfn.NORM.DIST(A83,Afleiding_Tapwater_schema!G$66*60,Afleiding_Tapwater_schema!G$94,FALSE)*Afleiding_Tapwater_schema!G$95/K$4 + _xlfn.NORM.DIST(A83,1415,Afleiding_Tapwater_schema!G$94,FALSE)*Afleiding_Tapwater_schema!G$95/K$4</f>
        <v>16027.71422315165</v>
      </c>
      <c r="F83">
        <v>2000</v>
      </c>
      <c r="G83" s="13">
        <f t="shared" si="9"/>
        <v>18027.714223151648</v>
      </c>
      <c r="H83" s="13">
        <f t="shared" si="10"/>
        <v>37.773507466397973</v>
      </c>
      <c r="I83" s="27">
        <f>G83/((Afleiding_Tapwater_schema!D$4*1000)*(E$4-H83))</f>
        <v>1.3363751787001129E-4</v>
      </c>
      <c r="J83" s="27">
        <f t="shared" si="11"/>
        <v>8.0182510722006786</v>
      </c>
      <c r="K83">
        <f t="shared" si="12"/>
        <v>18.027714223151648</v>
      </c>
    </row>
    <row r="84" spans="1:11" x14ac:dyDescent="0.25">
      <c r="A84">
        <f t="shared" si="14"/>
        <v>390</v>
      </c>
      <c r="B84">
        <f t="shared" si="7"/>
        <v>23400</v>
      </c>
      <c r="C84">
        <f t="shared" si="8"/>
        <v>6.5</v>
      </c>
      <c r="D84">
        <f>IF(OR(A84&lt;420,A84&gt;1440),0,Afleiding_Tapwater_schema!G$96)</f>
        <v>0</v>
      </c>
      <c r="E84" s="13">
        <f>_xlfn.NORM.DIST(A84,-30,Afleiding_Tapwater_schema!G$94,FALSE)*Afleiding_Tapwater_schema!G$95/K$4 + _xlfn.NORM.DIST(A84,Afleiding_Tapwater_schema!G$66*60,Afleiding_Tapwater_schema!G$94,FALSE)*Afleiding_Tapwater_schema!G$95/K$4 + _xlfn.NORM.DIST(A84,1415,Afleiding_Tapwater_schema!G$94,FALSE)*Afleiding_Tapwater_schema!G$95/K$4</f>
        <v>24060.448776541471</v>
      </c>
      <c r="F84">
        <v>2000</v>
      </c>
      <c r="G84" s="13">
        <f t="shared" si="9"/>
        <v>26060.448776541471</v>
      </c>
      <c r="H84" s="13">
        <f t="shared" si="10"/>
        <v>36.918616230623314</v>
      </c>
      <c r="I84" s="27">
        <f>G84/((Afleiding_Tapwater_schema!D$4*1000)*(E$4-H84))</f>
        <v>1.881910644711773E-4</v>
      </c>
      <c r="J84" s="27">
        <f t="shared" si="11"/>
        <v>11.291463868270638</v>
      </c>
      <c r="K84">
        <f t="shared" si="12"/>
        <v>26.06044877654147</v>
      </c>
    </row>
    <row r="85" spans="1:11" x14ac:dyDescent="0.25">
      <c r="A85">
        <f t="shared" si="14"/>
        <v>395</v>
      </c>
      <c r="B85">
        <f t="shared" si="7"/>
        <v>23700</v>
      </c>
      <c r="C85">
        <f t="shared" si="8"/>
        <v>6.583333333333333</v>
      </c>
      <c r="D85">
        <f>IF(OR(A85&lt;420,A85&gt;1440),0,Afleiding_Tapwater_schema!G$96)</f>
        <v>0</v>
      </c>
      <c r="E85" s="13">
        <f>_xlfn.NORM.DIST(A85,-30,Afleiding_Tapwater_schema!G$94,FALSE)*Afleiding_Tapwater_schema!G$95/K$4 + _xlfn.NORM.DIST(A85,Afleiding_Tapwater_schema!G$66*60,Afleiding_Tapwater_schema!G$94,FALSE)*Afleiding_Tapwater_schema!G$95/K$4 + _xlfn.NORM.DIST(A85,1415,Afleiding_Tapwater_schema!G$94,FALSE)*Afleiding_Tapwater_schema!G$95/K$4</f>
        <v>33930.671276675246</v>
      </c>
      <c r="F85">
        <v>2000</v>
      </c>
      <c r="G85" s="13">
        <f t="shared" si="9"/>
        <v>35930.671276675246</v>
      </c>
      <c r="H85" s="13">
        <f t="shared" si="10"/>
        <v>36.391568769060484</v>
      </c>
      <c r="I85" s="27">
        <f>G85/((Afleiding_Tapwater_schema!D$4*1000)*(E$4-H85))</f>
        <v>2.5539821992671686E-4</v>
      </c>
      <c r="J85" s="27">
        <f t="shared" si="11"/>
        <v>15.323893195603011</v>
      </c>
      <c r="K85">
        <f t="shared" si="12"/>
        <v>35.930671276675248</v>
      </c>
    </row>
    <row r="86" spans="1:11" x14ac:dyDescent="0.25">
      <c r="A86">
        <f t="shared" si="14"/>
        <v>400</v>
      </c>
      <c r="B86">
        <f t="shared" si="7"/>
        <v>24000</v>
      </c>
      <c r="C86">
        <f t="shared" si="8"/>
        <v>6.666666666666667</v>
      </c>
      <c r="D86">
        <f>IF(OR(A86&lt;420,A86&gt;1440),0,Afleiding_Tapwater_schema!G$96)</f>
        <v>0</v>
      </c>
      <c r="E86" s="13">
        <f>_xlfn.NORM.DIST(A86,-30,Afleiding_Tapwater_schema!G$94,FALSE)*Afleiding_Tapwater_schema!G$95/K$4 + _xlfn.NORM.DIST(A86,Afleiding_Tapwater_schema!G$66*60,Afleiding_Tapwater_schema!G$94,FALSE)*Afleiding_Tapwater_schema!G$95/K$4 + _xlfn.NORM.DIST(A86,1415,Afleiding_Tapwater_schema!G$94,FALSE)*Afleiding_Tapwater_schema!G$95/K$4</f>
        <v>44950.836160778657</v>
      </c>
      <c r="F86">
        <v>2000</v>
      </c>
      <c r="G86" s="13">
        <f t="shared" si="9"/>
        <v>46950.836160778657</v>
      </c>
      <c r="H86" s="13">
        <f t="shared" si="10"/>
        <v>36.064943760080858</v>
      </c>
      <c r="I86" s="27">
        <f>G86/((Afleiding_Tapwater_schema!D$4*1000)*(E$4-H86))</f>
        <v>3.3051831791671506E-4</v>
      </c>
      <c r="J86" s="27">
        <f t="shared" si="11"/>
        <v>19.831099075002903</v>
      </c>
      <c r="K86">
        <f t="shared" si="12"/>
        <v>46.950836160778657</v>
      </c>
    </row>
    <row r="87" spans="1:11" x14ac:dyDescent="0.25">
      <c r="A87">
        <f t="shared" si="14"/>
        <v>405</v>
      </c>
      <c r="B87">
        <f t="shared" si="7"/>
        <v>24300</v>
      </c>
      <c r="C87">
        <f t="shared" si="8"/>
        <v>6.75</v>
      </c>
      <c r="D87">
        <f>IF(OR(A87&lt;420,A87&gt;1440),0,Afleiding_Tapwater_schema!G$96)</f>
        <v>0</v>
      </c>
      <c r="E87" s="13">
        <f>_xlfn.NORM.DIST(A87,-30,Afleiding_Tapwater_schema!G$94,FALSE)*Afleiding_Tapwater_schema!G$95/K$4 + _xlfn.NORM.DIST(A87,Afleiding_Tapwater_schema!G$66*60,Afleiding_Tapwater_schema!G$94,FALSE)*Afleiding_Tapwater_schema!G$95/K$4 + _xlfn.NORM.DIST(A87,1415,Afleiding_Tapwater_schema!G$94,FALSE)*Afleiding_Tapwater_schema!G$95/K$4</f>
        <v>55942.219462988338</v>
      </c>
      <c r="F87">
        <v>2000</v>
      </c>
      <c r="G87" s="13">
        <f t="shared" si="9"/>
        <v>57942.219462988338</v>
      </c>
      <c r="H87" s="13">
        <f t="shared" si="10"/>
        <v>35.862928628958343</v>
      </c>
      <c r="I87" s="27">
        <f>G87/((Afleiding_Tapwater_schema!D$4*1000)*(E$4-H87))</f>
        <v>4.0548019119090398E-4</v>
      </c>
      <c r="J87" s="27">
        <f t="shared" si="11"/>
        <v>24.328811471454241</v>
      </c>
      <c r="K87">
        <f t="shared" si="12"/>
        <v>57.942219462988341</v>
      </c>
    </row>
    <row r="88" spans="1:11" x14ac:dyDescent="0.25">
      <c r="A88">
        <f t="shared" si="14"/>
        <v>410</v>
      </c>
      <c r="B88">
        <f t="shared" si="7"/>
        <v>24600</v>
      </c>
      <c r="C88">
        <f t="shared" si="8"/>
        <v>6.833333333333333</v>
      </c>
      <c r="D88">
        <f>IF(OR(A88&lt;420,A88&gt;1440),0,Afleiding_Tapwater_schema!G$96)</f>
        <v>0</v>
      </c>
      <c r="E88" s="13">
        <f>_xlfn.NORM.DIST(A88,-30,Afleiding_Tapwater_schema!G$94,FALSE)*Afleiding_Tapwater_schema!G$95/K$4 + _xlfn.NORM.DIST(A88,Afleiding_Tapwater_schema!G$66*60,Afleiding_Tapwater_schema!G$94,FALSE)*Afleiding_Tapwater_schema!G$95/K$4 + _xlfn.NORM.DIST(A88,1415,Afleiding_Tapwater_schema!G$94,FALSE)*Afleiding_Tapwater_schema!G$95/K$4</f>
        <v>65403.080693842348</v>
      </c>
      <c r="F88">
        <v>2000</v>
      </c>
      <c r="G88" s="13">
        <f t="shared" si="9"/>
        <v>67403.080693842348</v>
      </c>
      <c r="H88" s="13">
        <f t="shared" si="10"/>
        <v>35.741805856428279</v>
      </c>
      <c r="I88" s="27">
        <f>G88/((Afleiding_Tapwater_schema!D$4*1000)*(E$4-H88))</f>
        <v>4.7001969510004541E-4</v>
      </c>
      <c r="J88" s="27">
        <f t="shared" si="11"/>
        <v>28.201181706002725</v>
      </c>
      <c r="K88">
        <f t="shared" si="12"/>
        <v>67.403080693842355</v>
      </c>
    </row>
    <row r="89" spans="1:11" x14ac:dyDescent="0.25">
      <c r="A89">
        <f t="shared" si="14"/>
        <v>415</v>
      </c>
      <c r="B89">
        <f t="shared" si="7"/>
        <v>24900</v>
      </c>
      <c r="C89">
        <f t="shared" si="8"/>
        <v>6.916666666666667</v>
      </c>
      <c r="D89">
        <f>IF(OR(A89&lt;420,A89&gt;1440),0,Afleiding_Tapwater_schema!G$96)</f>
        <v>0</v>
      </c>
      <c r="E89" s="13">
        <f>_xlfn.NORM.DIST(A89,-30,Afleiding_Tapwater_schema!G$94,FALSE)*Afleiding_Tapwater_schema!G$95/K$4 + _xlfn.NORM.DIST(A89,Afleiding_Tapwater_schema!G$66*60,Afleiding_Tapwater_schema!G$94,FALSE)*Afleiding_Tapwater_schema!G$95/K$4 + _xlfn.NORM.DIST(A89,1415,Afleiding_Tapwater_schema!G$94,FALSE)*Afleiding_Tapwater_schema!G$95/K$4</f>
        <v>71831.231656400691</v>
      </c>
      <c r="F89">
        <v>2000</v>
      </c>
      <c r="G89" s="13">
        <f t="shared" si="9"/>
        <v>73831.231656400691</v>
      </c>
      <c r="H89" s="13">
        <f t="shared" si="10"/>
        <v>35.677220180108769</v>
      </c>
      <c r="I89" s="27">
        <f>G89/((Afleiding_Tapwater_schema!D$4*1000)*(E$4-H89))</f>
        <v>5.1387611849082536E-4</v>
      </c>
      <c r="J89" s="27">
        <f t="shared" si="11"/>
        <v>30.832567109449521</v>
      </c>
      <c r="K89">
        <f t="shared" si="12"/>
        <v>73.831231656400689</v>
      </c>
    </row>
    <row r="90" spans="1:11" x14ac:dyDescent="0.25">
      <c r="A90">
        <f t="shared" si="14"/>
        <v>420</v>
      </c>
      <c r="B90">
        <f t="shared" si="7"/>
        <v>25200</v>
      </c>
      <c r="C90">
        <f t="shared" si="8"/>
        <v>7</v>
      </c>
      <c r="D90">
        <f>IF(OR(A90&lt;420,A90&gt;1440),0,Afleiding_Tapwater_schema!G$96)</f>
        <v>15553.041960784316</v>
      </c>
      <c r="E90" s="13">
        <f>_xlfn.NORM.DIST(A90,-30,Afleiding_Tapwater_schema!G$94,FALSE)*Afleiding_Tapwater_schema!G$95/K$4 + _xlfn.NORM.DIST(A90,Afleiding_Tapwater_schema!G$66*60,Afleiding_Tapwater_schema!G$94,FALSE)*Afleiding_Tapwater_schema!G$95/K$4 + _xlfn.NORM.DIST(A90,1415,Afleiding_Tapwater_schema!G$94,FALSE)*Afleiding_Tapwater_schema!G$95/K$4</f>
        <v>74111.399714032275</v>
      </c>
      <c r="F90">
        <v>2000</v>
      </c>
      <c r="G90" s="13">
        <f t="shared" si="9"/>
        <v>91664.441674816597</v>
      </c>
      <c r="H90" s="13">
        <f t="shared" si="10"/>
        <v>35.545467785396838</v>
      </c>
      <c r="I90" s="27">
        <f>G90/((Afleiding_Tapwater_schema!D$4*1000)*(E$4-H90))</f>
        <v>6.3555818420285906E-4</v>
      </c>
      <c r="J90" s="27">
        <f t="shared" si="11"/>
        <v>38.133491052171543</v>
      </c>
      <c r="K90">
        <f t="shared" si="12"/>
        <v>91.664441674816601</v>
      </c>
    </row>
    <row r="91" spans="1:11" x14ac:dyDescent="0.25">
      <c r="A91">
        <f t="shared" si="14"/>
        <v>425</v>
      </c>
      <c r="B91">
        <f t="shared" si="7"/>
        <v>25500</v>
      </c>
      <c r="C91">
        <f t="shared" si="8"/>
        <v>7.083333333333333</v>
      </c>
      <c r="D91">
        <f>IF(OR(A91&lt;420,A91&gt;1440),0,Afleiding_Tapwater_schema!G$96)</f>
        <v>15553.041960784316</v>
      </c>
      <c r="E91" s="13">
        <f>_xlfn.NORM.DIST(A91,-30,Afleiding_Tapwater_schema!G$94,FALSE)*Afleiding_Tapwater_schema!G$95/K$4 + _xlfn.NORM.DIST(A91,Afleiding_Tapwater_schema!G$66*60,Afleiding_Tapwater_schema!G$94,FALSE)*Afleiding_Tapwater_schema!G$95/K$4 + _xlfn.NORM.DIST(A91,1415,Afleiding_Tapwater_schema!G$94,FALSE)*Afleiding_Tapwater_schema!G$95/K$4</f>
        <v>71831.231656400691</v>
      </c>
      <c r="F91">
        <v>2000</v>
      </c>
      <c r="G91" s="13">
        <f t="shared" si="9"/>
        <v>89384.273617185012</v>
      </c>
      <c r="H91" s="13">
        <f t="shared" si="10"/>
        <v>35.559382517490043</v>
      </c>
      <c r="I91" s="27">
        <f>G91/((Afleiding_Tapwater_schema!D$4*1000)*(E$4-H91))</f>
        <v>6.1999896130152663E-4</v>
      </c>
      <c r="J91" s="27">
        <f t="shared" si="11"/>
        <v>37.199937678091601</v>
      </c>
      <c r="K91">
        <f t="shared" si="12"/>
        <v>89.384273617185016</v>
      </c>
    </row>
    <row r="92" spans="1:11" x14ac:dyDescent="0.25">
      <c r="A92">
        <f t="shared" si="14"/>
        <v>430</v>
      </c>
      <c r="B92">
        <f t="shared" si="7"/>
        <v>25800</v>
      </c>
      <c r="C92">
        <f t="shared" si="8"/>
        <v>7.166666666666667</v>
      </c>
      <c r="D92">
        <f>IF(OR(A92&lt;420,A92&gt;1440),0,Afleiding_Tapwater_schema!G$96)</f>
        <v>15553.041960784316</v>
      </c>
      <c r="E92" s="13">
        <f>_xlfn.NORM.DIST(A92,-30,Afleiding_Tapwater_schema!G$94,FALSE)*Afleiding_Tapwater_schema!G$95/K$4 + _xlfn.NORM.DIST(A92,Afleiding_Tapwater_schema!G$66*60,Afleiding_Tapwater_schema!G$94,FALSE)*Afleiding_Tapwater_schema!G$95/K$4 + _xlfn.NORM.DIST(A92,1415,Afleiding_Tapwater_schema!G$94,FALSE)*Afleiding_Tapwater_schema!G$95/K$4</f>
        <v>65403.080693842348</v>
      </c>
      <c r="F92">
        <v>2000</v>
      </c>
      <c r="G92" s="13">
        <f t="shared" si="9"/>
        <v>82956.12265462667</v>
      </c>
      <c r="H92" s="13">
        <f t="shared" si="10"/>
        <v>35.602728266461611</v>
      </c>
      <c r="I92" s="27">
        <f>G92/((Afleiding_Tapwater_schema!D$4*1000)*(E$4-H92))</f>
        <v>5.7613627951764231E-4</v>
      </c>
      <c r="J92" s="27">
        <f t="shared" si="11"/>
        <v>34.568176771058539</v>
      </c>
      <c r="K92">
        <f t="shared" si="12"/>
        <v>82.956122654626668</v>
      </c>
    </row>
    <row r="93" spans="1:11" x14ac:dyDescent="0.25">
      <c r="A93">
        <f t="shared" si="14"/>
        <v>435</v>
      </c>
      <c r="B93">
        <f t="shared" si="7"/>
        <v>26100</v>
      </c>
      <c r="C93">
        <f t="shared" si="8"/>
        <v>7.25</v>
      </c>
      <c r="D93">
        <f>IF(OR(A93&lt;420,A93&gt;1440),0,Afleiding_Tapwater_schema!G$96)</f>
        <v>15553.041960784316</v>
      </c>
      <c r="E93" s="13">
        <f>_xlfn.NORM.DIST(A93,-30,Afleiding_Tapwater_schema!G$94,FALSE)*Afleiding_Tapwater_schema!G$95/K$4 + _xlfn.NORM.DIST(A93,Afleiding_Tapwater_schema!G$66*60,Afleiding_Tapwater_schema!G$94,FALSE)*Afleiding_Tapwater_schema!G$95/K$4 + _xlfn.NORM.DIST(A93,1415,Afleiding_Tapwater_schema!G$94,FALSE)*Afleiding_Tapwater_schema!G$95/K$4</f>
        <v>55942.219462988338</v>
      </c>
      <c r="F93">
        <v>2000</v>
      </c>
      <c r="G93" s="13">
        <f t="shared" si="9"/>
        <v>73495.261423772652</v>
      </c>
      <c r="H93" s="13">
        <f t="shared" si="10"/>
        <v>35.680315969103106</v>
      </c>
      <c r="I93" s="27">
        <f>G93/((Afleiding_Tapwater_schema!D$4*1000)*(E$4-H93))</f>
        <v>5.1158385976105101E-4</v>
      </c>
      <c r="J93" s="27">
        <f t="shared" si="11"/>
        <v>30.695031585663063</v>
      </c>
      <c r="K93">
        <f t="shared" si="12"/>
        <v>73.495261423772646</v>
      </c>
    </row>
    <row r="94" spans="1:11" x14ac:dyDescent="0.25">
      <c r="A94">
        <f t="shared" si="14"/>
        <v>440</v>
      </c>
      <c r="B94">
        <f t="shared" si="7"/>
        <v>26400</v>
      </c>
      <c r="C94">
        <f t="shared" si="8"/>
        <v>7.333333333333333</v>
      </c>
      <c r="D94">
        <f>IF(OR(A94&lt;420,A94&gt;1440),0,Afleiding_Tapwater_schema!G$96)</f>
        <v>15553.041960784316</v>
      </c>
      <c r="E94" s="13">
        <f>_xlfn.NORM.DIST(A94,-30,Afleiding_Tapwater_schema!G$94,FALSE)*Afleiding_Tapwater_schema!G$95/K$4 + _xlfn.NORM.DIST(A94,Afleiding_Tapwater_schema!G$66*60,Afleiding_Tapwater_schema!G$94,FALSE)*Afleiding_Tapwater_schema!G$95/K$4 + _xlfn.NORM.DIST(A94,1415,Afleiding_Tapwater_schema!G$94,FALSE)*Afleiding_Tapwater_schema!G$95/K$4</f>
        <v>44950.836160778657</v>
      </c>
      <c r="F94">
        <v>2000</v>
      </c>
      <c r="G94" s="13">
        <f t="shared" si="9"/>
        <v>62503.878121562972</v>
      </c>
      <c r="H94" s="13">
        <f t="shared" si="10"/>
        <v>35.799950363123955</v>
      </c>
      <c r="I94" s="27">
        <f>G94/((Afleiding_Tapwater_schema!D$4*1000)*(E$4-H94))</f>
        <v>4.3659725823338134E-4</v>
      </c>
      <c r="J94" s="27">
        <f t="shared" si="11"/>
        <v>26.195835494002882</v>
      </c>
      <c r="K94">
        <f t="shared" si="12"/>
        <v>62.50387812156297</v>
      </c>
    </row>
    <row r="95" spans="1:11" x14ac:dyDescent="0.25">
      <c r="A95">
        <f t="shared" si="14"/>
        <v>445</v>
      </c>
      <c r="B95">
        <f t="shared" si="7"/>
        <v>26700</v>
      </c>
      <c r="C95">
        <f t="shared" si="8"/>
        <v>7.416666666666667</v>
      </c>
      <c r="D95">
        <f>IF(OR(A95&lt;420,A95&gt;1440),0,Afleiding_Tapwater_schema!G$96)</f>
        <v>15553.041960784316</v>
      </c>
      <c r="E95" s="13">
        <f>_xlfn.NORM.DIST(A95,-30,Afleiding_Tapwater_schema!G$94,FALSE)*Afleiding_Tapwater_schema!G$95/K$4 + _xlfn.NORM.DIST(A95,Afleiding_Tapwater_schema!G$66*60,Afleiding_Tapwater_schema!G$94,FALSE)*Afleiding_Tapwater_schema!G$95/K$4 + _xlfn.NORM.DIST(A95,1415,Afleiding_Tapwater_schema!G$94,FALSE)*Afleiding_Tapwater_schema!G$95/K$4</f>
        <v>33930.671276675246</v>
      </c>
      <c r="F95">
        <v>2000</v>
      </c>
      <c r="G95" s="13">
        <f t="shared" si="9"/>
        <v>51483.71323745956</v>
      </c>
      <c r="H95" s="13">
        <f t="shared" si="10"/>
        <v>35.971180920253047</v>
      </c>
      <c r="I95" s="27">
        <f>G95/((Afleiding_Tapwater_schema!D$4*1000)*(E$4-H95))</f>
        <v>3.6142963639634244E-4</v>
      </c>
      <c r="J95" s="27">
        <f t="shared" si="11"/>
        <v>21.685778183780549</v>
      </c>
      <c r="K95">
        <f t="shared" si="12"/>
        <v>51.483713237459561</v>
      </c>
    </row>
    <row r="96" spans="1:11" x14ac:dyDescent="0.25">
      <c r="A96">
        <f t="shared" si="14"/>
        <v>450</v>
      </c>
      <c r="B96">
        <f t="shared" si="7"/>
        <v>27000</v>
      </c>
      <c r="C96">
        <f t="shared" si="8"/>
        <v>7.5</v>
      </c>
      <c r="D96">
        <f>IF(OR(A96&lt;420,A96&gt;1440),0,Afleiding_Tapwater_schema!G$96)</f>
        <v>15553.041960784316</v>
      </c>
      <c r="E96" s="13">
        <f>_xlfn.NORM.DIST(A96,-30,Afleiding_Tapwater_schema!G$94,FALSE)*Afleiding_Tapwater_schema!G$95/K$4 + _xlfn.NORM.DIST(A96,Afleiding_Tapwater_schema!G$66*60,Afleiding_Tapwater_schema!G$94,FALSE)*Afleiding_Tapwater_schema!G$95/K$4 + _xlfn.NORM.DIST(A96,1415,Afleiding_Tapwater_schema!G$94,FALSE)*Afleiding_Tapwater_schema!G$95/K$4</f>
        <v>24060.448776541471</v>
      </c>
      <c r="F96">
        <v>2000</v>
      </c>
      <c r="G96" s="13">
        <f t="shared" si="9"/>
        <v>41613.490737325788</v>
      </c>
      <c r="H96" s="13">
        <f t="shared" si="10"/>
        <v>36.201533423754618</v>
      </c>
      <c r="I96" s="27">
        <f>G96/((Afleiding_Tapwater_schema!D$4*1000)*(E$4-H96))</f>
        <v>2.9412905462414919E-4</v>
      </c>
      <c r="J96" s="27">
        <f t="shared" si="11"/>
        <v>17.647743277448949</v>
      </c>
      <c r="K96">
        <f t="shared" si="12"/>
        <v>41.61349073732579</v>
      </c>
    </row>
    <row r="97" spans="1:11" x14ac:dyDescent="0.25">
      <c r="A97">
        <f t="shared" si="14"/>
        <v>455</v>
      </c>
      <c r="B97">
        <f t="shared" si="7"/>
        <v>27300</v>
      </c>
      <c r="C97">
        <f t="shared" si="8"/>
        <v>7.583333333333333</v>
      </c>
      <c r="D97">
        <f>IF(OR(A97&lt;420,A97&gt;1440),0,Afleiding_Tapwater_schema!G$96)</f>
        <v>15553.041960784316</v>
      </c>
      <c r="E97" s="13">
        <f>_xlfn.NORM.DIST(A97,-30,Afleiding_Tapwater_schema!G$94,FALSE)*Afleiding_Tapwater_schema!G$95/K$4 + _xlfn.NORM.DIST(A97,Afleiding_Tapwater_schema!G$66*60,Afleiding_Tapwater_schema!G$94,FALSE)*Afleiding_Tapwater_schema!G$95/K$4 + _xlfn.NORM.DIST(A97,1415,Afleiding_Tapwater_schema!G$94,FALSE)*Afleiding_Tapwater_schema!G$95/K$4</f>
        <v>16027.71422315165</v>
      </c>
      <c r="F97">
        <v>2000</v>
      </c>
      <c r="G97" s="13">
        <f t="shared" si="9"/>
        <v>33580.75618393597</v>
      </c>
      <c r="H97" s="13">
        <f t="shared" si="10"/>
        <v>36.488948007189855</v>
      </c>
      <c r="I97" s="27">
        <f>G97/((Afleiding_Tapwater_schema!D$4*1000)*(E$4-H97))</f>
        <v>2.3938844622504318E-4</v>
      </c>
      <c r="J97" s="27">
        <f t="shared" si="11"/>
        <v>14.363306773502591</v>
      </c>
      <c r="K97">
        <f t="shared" si="12"/>
        <v>33.580756183935968</v>
      </c>
    </row>
    <row r="98" spans="1:11" x14ac:dyDescent="0.25">
      <c r="A98">
        <f t="shared" si="14"/>
        <v>460</v>
      </c>
      <c r="B98">
        <f t="shared" si="7"/>
        <v>27600</v>
      </c>
      <c r="C98">
        <f t="shared" si="8"/>
        <v>7.666666666666667</v>
      </c>
      <c r="D98">
        <f>IF(OR(A98&lt;420,A98&gt;1440),0,Afleiding_Tapwater_schema!G$96)</f>
        <v>15553.041960784316</v>
      </c>
      <c r="E98" s="13">
        <f>_xlfn.NORM.DIST(A98,-30,Afleiding_Tapwater_schema!G$94,FALSE)*Afleiding_Tapwater_schema!G$95/K$4 + _xlfn.NORM.DIST(A98,Afleiding_Tapwater_schema!G$66*60,Afleiding_Tapwater_schema!G$94,FALSE)*Afleiding_Tapwater_schema!G$95/K$4 + _xlfn.NORM.DIST(A98,1415,Afleiding_Tapwater_schema!G$94,FALSE)*Afleiding_Tapwater_schema!G$95/K$4</f>
        <v>10029.887271360376</v>
      </c>
      <c r="F98">
        <v>2000</v>
      </c>
      <c r="G98" s="13">
        <f t="shared" si="9"/>
        <v>27582.929232144692</v>
      </c>
      <c r="H98" s="13">
        <f t="shared" si="10"/>
        <v>36.812715378384496</v>
      </c>
      <c r="I98" s="27">
        <f>G98/((Afleiding_Tapwater_schema!D$4*1000)*(E$4-H98))</f>
        <v>1.9854979418947713E-4</v>
      </c>
      <c r="J98" s="27">
        <f t="shared" si="11"/>
        <v>11.912987651368628</v>
      </c>
      <c r="K98">
        <f t="shared" si="12"/>
        <v>27.582929232144693</v>
      </c>
    </row>
    <row r="99" spans="1:11" x14ac:dyDescent="0.25">
      <c r="A99">
        <f t="shared" si="14"/>
        <v>465</v>
      </c>
      <c r="B99">
        <f t="shared" si="7"/>
        <v>27900</v>
      </c>
      <c r="C99">
        <f t="shared" si="8"/>
        <v>7.75</v>
      </c>
      <c r="D99">
        <f>IF(OR(A99&lt;420,A99&gt;1440),0,Afleiding_Tapwater_schema!G$96)</f>
        <v>15553.041960784316</v>
      </c>
      <c r="E99" s="13">
        <f>_xlfn.NORM.DIST(A99,-30,Afleiding_Tapwater_schema!G$94,FALSE)*Afleiding_Tapwater_schema!G$95/K$4 + _xlfn.NORM.DIST(A99,Afleiding_Tapwater_schema!G$66*60,Afleiding_Tapwater_schema!G$94,FALSE)*Afleiding_Tapwater_schema!G$95/K$4 + _xlfn.NORM.DIST(A99,1415,Afleiding_Tapwater_schema!G$94,FALSE)*Afleiding_Tapwater_schema!G$95/K$4</f>
        <v>5896.2665516686066</v>
      </c>
      <c r="F99">
        <v>2000</v>
      </c>
      <c r="G99" s="13">
        <f t="shared" si="9"/>
        <v>23449.308512452924</v>
      </c>
      <c r="H99" s="13">
        <f t="shared" si="10"/>
        <v>37.132259037551023</v>
      </c>
      <c r="I99" s="27">
        <f>G99/((Afleiding_Tapwater_schema!D$4*1000)*(E$4-H99))</f>
        <v>1.7043585395284694E-4</v>
      </c>
      <c r="J99" s="27">
        <f t="shared" si="11"/>
        <v>10.226151237170816</v>
      </c>
      <c r="K99">
        <f t="shared" si="12"/>
        <v>23.449308512452923</v>
      </c>
    </row>
    <row r="100" spans="1:11" x14ac:dyDescent="0.25">
      <c r="A100">
        <f t="shared" si="14"/>
        <v>470</v>
      </c>
      <c r="B100">
        <f t="shared" si="7"/>
        <v>28200</v>
      </c>
      <c r="C100">
        <f t="shared" si="8"/>
        <v>7.833333333333333</v>
      </c>
      <c r="D100">
        <f>IF(OR(A100&lt;420,A100&gt;1440),0,Afleiding_Tapwater_schema!G$96)</f>
        <v>15553.041960784316</v>
      </c>
      <c r="E100" s="13">
        <f>_xlfn.NORM.DIST(A100,-30,Afleiding_Tapwater_schema!G$94,FALSE)*Afleiding_Tapwater_schema!G$95/K$4 + _xlfn.NORM.DIST(A100,Afleiding_Tapwater_schema!G$66*60,Afleiding_Tapwater_schema!G$94,FALSE)*Afleiding_Tapwater_schema!G$95/K$4 + _xlfn.NORM.DIST(A100,1415,Afleiding_Tapwater_schema!G$94,FALSE)*Afleiding_Tapwater_schema!G$95/K$4</f>
        <v>3256.2276499732516</v>
      </c>
      <c r="F100">
        <v>2000</v>
      </c>
      <c r="G100" s="13">
        <f t="shared" si="9"/>
        <v>20809.269610757568</v>
      </c>
      <c r="H100" s="13">
        <f t="shared" si="10"/>
        <v>37.402775346528834</v>
      </c>
      <c r="I100" s="27">
        <f>G100/((Afleiding_Tapwater_schema!D$4*1000)*(E$4-H100))</f>
        <v>1.5250250853698441E-4</v>
      </c>
      <c r="J100" s="27">
        <f t="shared" si="11"/>
        <v>9.1501505122190654</v>
      </c>
      <c r="K100">
        <f t="shared" si="12"/>
        <v>20.809269610757568</v>
      </c>
    </row>
    <row r="101" spans="1:11" x14ac:dyDescent="0.25">
      <c r="A101">
        <f t="shared" si="14"/>
        <v>475</v>
      </c>
      <c r="B101">
        <f t="shared" si="7"/>
        <v>28500</v>
      </c>
      <c r="C101">
        <f t="shared" si="8"/>
        <v>7.916666666666667</v>
      </c>
      <c r="D101">
        <f>IF(OR(A101&lt;420,A101&gt;1440),0,Afleiding_Tapwater_schema!G$96)</f>
        <v>15553.041960784316</v>
      </c>
      <c r="E101" s="13">
        <f>_xlfn.NORM.DIST(A101,-30,Afleiding_Tapwater_schema!G$94,FALSE)*Afleiding_Tapwater_schema!G$95/K$4 + _xlfn.NORM.DIST(A101,Afleiding_Tapwater_schema!G$66*60,Afleiding_Tapwater_schema!G$94,FALSE)*Afleiding_Tapwater_schema!G$95/K$4 + _xlfn.NORM.DIST(A101,1415,Afleiding_Tapwater_schema!G$94,FALSE)*Afleiding_Tapwater_schema!G$95/K$4</f>
        <v>1689.3086506193474</v>
      </c>
      <c r="F101">
        <v>2000</v>
      </c>
      <c r="G101" s="13">
        <f t="shared" si="9"/>
        <v>19242.350611403665</v>
      </c>
      <c r="H101" s="13">
        <f t="shared" si="10"/>
        <v>37.598435139746819</v>
      </c>
      <c r="I101" s="27">
        <f>G101/((Afleiding_Tapwater_schema!D$4*1000)*(E$4-H101))</f>
        <v>1.4187076620950968E-4</v>
      </c>
      <c r="J101" s="27">
        <f t="shared" si="11"/>
        <v>8.5122459725705806</v>
      </c>
      <c r="K101">
        <f t="shared" si="12"/>
        <v>19.242350611403666</v>
      </c>
    </row>
    <row r="102" spans="1:11" x14ac:dyDescent="0.25">
      <c r="A102">
        <f t="shared" si="14"/>
        <v>480</v>
      </c>
      <c r="B102">
        <f t="shared" si="7"/>
        <v>28800</v>
      </c>
      <c r="C102">
        <f t="shared" si="8"/>
        <v>8</v>
      </c>
      <c r="D102">
        <f>IF(OR(A102&lt;420,A102&gt;1440),0,Afleiding_Tapwater_schema!G$96)</f>
        <v>15553.041960784316</v>
      </c>
      <c r="E102" s="13">
        <f>_xlfn.NORM.DIST(A102,-30,Afleiding_Tapwater_schema!G$94,FALSE)*Afleiding_Tapwater_schema!G$95/K$4 + _xlfn.NORM.DIST(A102,Afleiding_Tapwater_schema!G$66*60,Afleiding_Tapwater_schema!G$94,FALSE)*Afleiding_Tapwater_schema!G$95/K$4 + _xlfn.NORM.DIST(A102,1415,Afleiding_Tapwater_schema!G$94,FALSE)*Afleiding_Tapwater_schema!G$95/K$4</f>
        <v>823.30328286747624</v>
      </c>
      <c r="F102">
        <v>2000</v>
      </c>
      <c r="G102" s="13">
        <f t="shared" si="9"/>
        <v>18376.345243651791</v>
      </c>
      <c r="H102" s="13">
        <f t="shared" si="10"/>
        <v>37.720889237606855</v>
      </c>
      <c r="I102" s="27">
        <f>G102/((Afleiding_Tapwater_schema!D$4*1000)*(E$4-H102))</f>
        <v>1.3599982684374152E-4</v>
      </c>
      <c r="J102" s="27">
        <f t="shared" si="11"/>
        <v>8.1599896106244909</v>
      </c>
      <c r="K102">
        <f t="shared" si="12"/>
        <v>18.376345243651791</v>
      </c>
    </row>
    <row r="103" spans="1:11" x14ac:dyDescent="0.25">
      <c r="A103">
        <f t="shared" si="14"/>
        <v>485</v>
      </c>
      <c r="B103">
        <f t="shared" si="7"/>
        <v>29100</v>
      </c>
      <c r="C103">
        <f t="shared" si="8"/>
        <v>8.0833333333333339</v>
      </c>
      <c r="D103">
        <f>IF(OR(A103&lt;420,A103&gt;1440),0,Afleiding_Tapwater_schema!G$96)</f>
        <v>15553.041960784316</v>
      </c>
      <c r="E103" s="13">
        <f>_xlfn.NORM.DIST(A103,-30,Afleiding_Tapwater_schema!G$94,FALSE)*Afleiding_Tapwater_schema!G$95/K$4 + _xlfn.NORM.DIST(A103,Afleiding_Tapwater_schema!G$66*60,Afleiding_Tapwater_schema!G$94,FALSE)*Afleiding_Tapwater_schema!G$95/K$4 + _xlfn.NORM.DIST(A103,1415,Afleiding_Tapwater_schema!G$94,FALSE)*Afleiding_Tapwater_schema!G$95/K$4</f>
        <v>376.93570975282307</v>
      </c>
      <c r="F103">
        <v>2000</v>
      </c>
      <c r="G103" s="13">
        <f t="shared" si="9"/>
        <v>17929.977670537141</v>
      </c>
      <c r="H103" s="13">
        <f t="shared" si="10"/>
        <v>37.788625893391981</v>
      </c>
      <c r="I103" s="27">
        <f>G103/((Afleiding_Tapwater_schema!D$4*1000)*(E$4-H103))</f>
        <v>1.3297539005277474E-4</v>
      </c>
      <c r="J103" s="27">
        <f t="shared" si="11"/>
        <v>7.9785234031664833</v>
      </c>
      <c r="K103">
        <f t="shared" si="12"/>
        <v>17.929977670537141</v>
      </c>
    </row>
    <row r="104" spans="1:11" x14ac:dyDescent="0.25">
      <c r="A104">
        <f t="shared" si="14"/>
        <v>490</v>
      </c>
      <c r="B104">
        <f t="shared" si="7"/>
        <v>29400</v>
      </c>
      <c r="C104">
        <f t="shared" si="8"/>
        <v>8.1666666666666661</v>
      </c>
      <c r="D104">
        <f>IF(OR(A104&lt;420,A104&gt;1440),0,Afleiding_Tapwater_schema!G$96)</f>
        <v>15553.041960784316</v>
      </c>
      <c r="E104" s="13">
        <f>_xlfn.NORM.DIST(A104,-30,Afleiding_Tapwater_schema!G$94,FALSE)*Afleiding_Tapwater_schema!G$95/K$4 + _xlfn.NORM.DIST(A104,Afleiding_Tapwater_schema!G$66*60,Afleiding_Tapwater_schema!G$94,FALSE)*Afleiding_Tapwater_schema!G$95/K$4 + _xlfn.NORM.DIST(A104,1415,Afleiding_Tapwater_schema!G$94,FALSE)*Afleiding_Tapwater_schema!G$95/K$4</f>
        <v>162.1180286305472</v>
      </c>
      <c r="F104">
        <v>2000</v>
      </c>
      <c r="G104" s="13">
        <f t="shared" si="9"/>
        <v>17715.159989414864</v>
      </c>
      <c r="H104" s="13">
        <f t="shared" si="10"/>
        <v>37.822441345710445</v>
      </c>
      <c r="I104" s="27">
        <f>G104/((Afleiding_Tapwater_schema!D$4*1000)*(E$4-H104))</f>
        <v>1.3152029195476219E-4</v>
      </c>
      <c r="J104" s="27">
        <f t="shared" si="11"/>
        <v>7.8912175172857317</v>
      </c>
      <c r="K104">
        <f t="shared" si="12"/>
        <v>17.715159989414865</v>
      </c>
    </row>
    <row r="105" spans="1:11" x14ac:dyDescent="0.25">
      <c r="A105">
        <f t="shared" si="14"/>
        <v>495</v>
      </c>
      <c r="B105">
        <f t="shared" si="7"/>
        <v>29700</v>
      </c>
      <c r="C105">
        <f t="shared" si="8"/>
        <v>8.25</v>
      </c>
      <c r="D105">
        <f>IF(OR(A105&lt;420,A105&gt;1440),0,Afleiding_Tapwater_schema!G$96)</f>
        <v>15553.041960784316</v>
      </c>
      <c r="E105" s="13">
        <f>_xlfn.NORM.DIST(A105,-30,Afleiding_Tapwater_schema!G$94,FALSE)*Afleiding_Tapwater_schema!G$95/K$4 + _xlfn.NORM.DIST(A105,Afleiding_Tapwater_schema!G$66*60,Afleiding_Tapwater_schema!G$94,FALSE)*Afleiding_Tapwater_schema!G$95/K$4 + _xlfn.NORM.DIST(A105,1415,Afleiding_Tapwater_schema!G$94,FALSE)*Afleiding_Tapwater_schema!G$95/K$4</f>
        <v>65.501604711040457</v>
      </c>
      <c r="F105">
        <v>2000</v>
      </c>
      <c r="G105" s="13">
        <f t="shared" si="9"/>
        <v>17618.543565495354</v>
      </c>
      <c r="H105" s="13">
        <f t="shared" si="10"/>
        <v>37.837919026287814</v>
      </c>
      <c r="I105" s="27">
        <f>G105/((Afleiding_Tapwater_schema!D$4*1000)*(E$4-H105))</f>
        <v>1.3086594320284889E-4</v>
      </c>
      <c r="J105" s="27">
        <f t="shared" si="11"/>
        <v>7.8519565921709331</v>
      </c>
      <c r="K105">
        <f t="shared" si="12"/>
        <v>17.618543565495354</v>
      </c>
    </row>
    <row r="106" spans="1:11" x14ac:dyDescent="0.25">
      <c r="A106">
        <f t="shared" si="14"/>
        <v>500</v>
      </c>
      <c r="B106">
        <f t="shared" si="7"/>
        <v>30000</v>
      </c>
      <c r="C106">
        <f t="shared" si="8"/>
        <v>8.3333333333333339</v>
      </c>
      <c r="D106">
        <f>IF(OR(A106&lt;420,A106&gt;1440),0,Afleiding_Tapwater_schema!G$96)</f>
        <v>15553.041960784316</v>
      </c>
      <c r="E106" s="13">
        <f>_xlfn.NORM.DIST(A106,-30,Afleiding_Tapwater_schema!G$94,FALSE)*Afleiding_Tapwater_schema!G$95/K$4 + _xlfn.NORM.DIST(A106,Afleiding_Tapwater_schema!G$66*60,Afleiding_Tapwater_schema!G$94,FALSE)*Afleiding_Tapwater_schema!G$95/K$4 + _xlfn.NORM.DIST(A106,1415,Afleiding_Tapwater_schema!G$94,FALSE)*Afleiding_Tapwater_schema!G$95/K$4</f>
        <v>24.861604905602729</v>
      </c>
      <c r="F106">
        <v>2000</v>
      </c>
      <c r="G106" s="13">
        <f t="shared" si="9"/>
        <v>17577.903565689921</v>
      </c>
      <c r="H106" s="13">
        <f t="shared" si="10"/>
        <v>37.844480276794457</v>
      </c>
      <c r="I106" s="27">
        <f>G106/((Afleiding_Tapwater_schema!D$4*1000)*(E$4-H106))</f>
        <v>1.3059072115354582E-4</v>
      </c>
      <c r="J106" s="27">
        <f t="shared" si="11"/>
        <v>7.8354432692127505</v>
      </c>
      <c r="K106">
        <f t="shared" si="12"/>
        <v>17.577903565689923</v>
      </c>
    </row>
    <row r="107" spans="1:11" x14ac:dyDescent="0.25">
      <c r="A107">
        <f t="shared" si="14"/>
        <v>505</v>
      </c>
      <c r="B107">
        <f t="shared" si="7"/>
        <v>30300</v>
      </c>
      <c r="C107">
        <f t="shared" si="8"/>
        <v>8.4166666666666661</v>
      </c>
      <c r="D107">
        <f>IF(OR(A107&lt;420,A107&gt;1440),0,Afleiding_Tapwater_schema!G$96)</f>
        <v>15553.041960784316</v>
      </c>
      <c r="E107" s="13">
        <f>_xlfn.NORM.DIST(A107,-30,Afleiding_Tapwater_schema!G$94,FALSE)*Afleiding_Tapwater_schema!G$95/K$4 + _xlfn.NORM.DIST(A107,Afleiding_Tapwater_schema!G$66*60,Afleiding_Tapwater_schema!G$94,FALSE)*Afleiding_Tapwater_schema!G$95/K$4 + _xlfn.NORM.DIST(A107,1415,Afleiding_Tapwater_schema!G$94,FALSE)*Afleiding_Tapwater_schema!G$95/K$4</f>
        <v>8.8646782260213044</v>
      </c>
      <c r="F107">
        <v>2000</v>
      </c>
      <c r="G107" s="13">
        <f t="shared" si="9"/>
        <v>17561.90663901034</v>
      </c>
      <c r="H107" s="13">
        <f t="shared" si="10"/>
        <v>37.847071279204663</v>
      </c>
      <c r="I107" s="27">
        <f>G107/((Afleiding_Tapwater_schema!D$4*1000)*(E$4-H107))</f>
        <v>1.3048238982054161E-4</v>
      </c>
      <c r="J107" s="27">
        <f t="shared" si="11"/>
        <v>7.8289433892324967</v>
      </c>
      <c r="K107">
        <f t="shared" si="12"/>
        <v>17.561906639010338</v>
      </c>
    </row>
    <row r="108" spans="1:11" x14ac:dyDescent="0.25">
      <c r="A108">
        <f t="shared" si="14"/>
        <v>510</v>
      </c>
      <c r="B108">
        <f t="shared" si="7"/>
        <v>30600</v>
      </c>
      <c r="C108">
        <f t="shared" si="8"/>
        <v>8.5</v>
      </c>
      <c r="D108">
        <f>IF(OR(A108&lt;420,A108&gt;1440),0,Afleiding_Tapwater_schema!G$96)</f>
        <v>15553.041960784316</v>
      </c>
      <c r="E108" s="13">
        <f>_xlfn.NORM.DIST(A108,-30,Afleiding_Tapwater_schema!G$94,FALSE)*Afleiding_Tapwater_schema!G$95/K$4 + _xlfn.NORM.DIST(A108,Afleiding_Tapwater_schema!G$66*60,Afleiding_Tapwater_schema!G$94,FALSE)*Afleiding_Tapwater_schema!G$95/K$4 + _xlfn.NORM.DIST(A108,1415,Afleiding_Tapwater_schema!G$94,FALSE)*Afleiding_Tapwater_schema!G$95/K$4</f>
        <v>2.9692952697505719</v>
      </c>
      <c r="F108">
        <v>2000</v>
      </c>
      <c r="G108" s="13">
        <f t="shared" si="9"/>
        <v>17556.011256054066</v>
      </c>
      <c r="H108" s="13">
        <f t="shared" si="10"/>
        <v>37.848027337801909</v>
      </c>
      <c r="I108" s="27">
        <f>G108/((Afleiding_Tapwater_schema!D$4*1000)*(E$4-H108))</f>
        <v>1.304424666613837E-4</v>
      </c>
      <c r="J108" s="27">
        <f t="shared" si="11"/>
        <v>7.8265479996830223</v>
      </c>
      <c r="K108">
        <f t="shared" si="12"/>
        <v>17.556011256054067</v>
      </c>
    </row>
    <row r="109" spans="1:11" x14ac:dyDescent="0.25">
      <c r="A109">
        <f t="shared" si="14"/>
        <v>515</v>
      </c>
      <c r="B109">
        <f t="shared" si="7"/>
        <v>30900</v>
      </c>
      <c r="C109">
        <f t="shared" si="8"/>
        <v>8.5833333333333339</v>
      </c>
      <c r="D109">
        <f>IF(OR(A109&lt;420,A109&gt;1440),0,Afleiding_Tapwater_schema!G$96)</f>
        <v>15553.041960784316</v>
      </c>
      <c r="E109" s="13">
        <f>_xlfn.NORM.DIST(A109,-30,Afleiding_Tapwater_schema!G$94,FALSE)*Afleiding_Tapwater_schema!G$95/K$4 + _xlfn.NORM.DIST(A109,Afleiding_Tapwater_schema!G$66*60,Afleiding_Tapwater_schema!G$94,FALSE)*Afleiding_Tapwater_schema!G$95/K$4 + _xlfn.NORM.DIST(A109,1415,Afleiding_Tapwater_schema!G$94,FALSE)*Afleiding_Tapwater_schema!G$95/K$4</f>
        <v>0.93433021101308866</v>
      </c>
      <c r="F109">
        <v>2000</v>
      </c>
      <c r="G109" s="13">
        <f t="shared" si="9"/>
        <v>17553.976290995328</v>
      </c>
      <c r="H109" s="13">
        <f t="shared" si="10"/>
        <v>37.848357498673877</v>
      </c>
      <c r="I109" s="27">
        <f>G109/((Afleiding_Tapwater_schema!D$4*1000)*(E$4-H109))</f>
        <v>1.3042868606075755E-4</v>
      </c>
      <c r="J109" s="27">
        <f t="shared" si="11"/>
        <v>7.8257211636454533</v>
      </c>
      <c r="K109">
        <f t="shared" si="12"/>
        <v>17.55397629099533</v>
      </c>
    </row>
    <row r="110" spans="1:11" x14ac:dyDescent="0.25">
      <c r="A110">
        <f t="shared" si="14"/>
        <v>520</v>
      </c>
      <c r="B110">
        <f t="shared" si="7"/>
        <v>31200</v>
      </c>
      <c r="C110">
        <f t="shared" si="8"/>
        <v>8.6666666666666661</v>
      </c>
      <c r="D110">
        <f>IF(OR(A110&lt;420,A110&gt;1440),0,Afleiding_Tapwater_schema!G$96)</f>
        <v>15553.041960784316</v>
      </c>
      <c r="E110" s="13">
        <f>_xlfn.NORM.DIST(A110,-30,Afleiding_Tapwater_schema!G$94,FALSE)*Afleiding_Tapwater_schema!G$95/K$4 + _xlfn.NORM.DIST(A110,Afleiding_Tapwater_schema!G$66*60,Afleiding_Tapwater_schema!G$94,FALSE)*Afleiding_Tapwater_schema!G$95/K$4 + _xlfn.NORM.DIST(A110,1415,Afleiding_Tapwater_schema!G$94,FALSE)*Afleiding_Tapwater_schema!G$95/K$4</f>
        <v>0.27618748283148864</v>
      </c>
      <c r="F110">
        <v>2000</v>
      </c>
      <c r="G110" s="13">
        <f t="shared" si="9"/>
        <v>17553.31814826715</v>
      </c>
      <c r="H110" s="13">
        <f t="shared" si="10"/>
        <v>37.848464294765598</v>
      </c>
      <c r="I110" s="27">
        <f>G110/((Afleiding_Tapwater_schema!D$4*1000)*(E$4-H110))</f>
        <v>1.3042422918319499E-4</v>
      </c>
      <c r="J110" s="27">
        <f t="shared" si="11"/>
        <v>7.8254537509916995</v>
      </c>
      <c r="K110">
        <f t="shared" si="12"/>
        <v>17.553318148267149</v>
      </c>
    </row>
    <row r="111" spans="1:11" x14ac:dyDescent="0.25">
      <c r="A111">
        <f t="shared" si="14"/>
        <v>525</v>
      </c>
      <c r="B111">
        <f t="shared" si="7"/>
        <v>31500</v>
      </c>
      <c r="C111">
        <f t="shared" si="8"/>
        <v>8.75</v>
      </c>
      <c r="D111">
        <f>IF(OR(A111&lt;420,A111&gt;1440),0,Afleiding_Tapwater_schema!G$96)</f>
        <v>15553.041960784316</v>
      </c>
      <c r="E111" s="13">
        <f>_xlfn.NORM.DIST(A111,-30,Afleiding_Tapwater_schema!G$94,FALSE)*Afleiding_Tapwater_schema!G$95/K$4 + _xlfn.NORM.DIST(A111,Afleiding_Tapwater_schema!G$66*60,Afleiding_Tapwater_schema!G$94,FALSE)*Afleiding_Tapwater_schema!G$95/K$4 + _xlfn.NORM.DIST(A111,1415,Afleiding_Tapwater_schema!G$94,FALSE)*Afleiding_Tapwater_schema!G$95/K$4</f>
        <v>7.6694494085276441E-2</v>
      </c>
      <c r="F111">
        <v>2000</v>
      </c>
      <c r="G111" s="13">
        <f t="shared" si="9"/>
        <v>17553.118655278402</v>
      </c>
      <c r="H111" s="13">
        <f t="shared" si="10"/>
        <v>37.848496667853631</v>
      </c>
      <c r="I111" s="27">
        <f>G111/((Afleiding_Tapwater_schema!D$4*1000)*(E$4-H111))</f>
        <v>1.3042287823694385E-4</v>
      </c>
      <c r="J111" s="27">
        <f t="shared" si="11"/>
        <v>7.8253726942166306</v>
      </c>
      <c r="K111">
        <f t="shared" si="12"/>
        <v>17.553118655278404</v>
      </c>
    </row>
    <row r="112" spans="1:11" x14ac:dyDescent="0.25">
      <c r="A112">
        <f t="shared" si="14"/>
        <v>530</v>
      </c>
      <c r="B112">
        <f t="shared" si="7"/>
        <v>31800</v>
      </c>
      <c r="C112">
        <f t="shared" si="8"/>
        <v>8.8333333333333339</v>
      </c>
      <c r="D112">
        <f>IF(OR(A112&lt;420,A112&gt;1440),0,Afleiding_Tapwater_schema!G$96)</f>
        <v>15553.041960784316</v>
      </c>
      <c r="E112" s="13">
        <f>_xlfn.NORM.DIST(A112,-30,Afleiding_Tapwater_schema!G$94,FALSE)*Afleiding_Tapwater_schema!G$95/K$4 + _xlfn.NORM.DIST(A112,Afleiding_Tapwater_schema!G$66*60,Afleiding_Tapwater_schema!G$94,FALSE)*Afleiding_Tapwater_schema!G$95/K$4 + _xlfn.NORM.DIST(A112,1415,Afleiding_Tapwater_schema!G$94,FALSE)*Afleiding_Tapwater_schema!G$95/K$4</f>
        <v>2.000695415221453E-2</v>
      </c>
      <c r="F112">
        <v>2000</v>
      </c>
      <c r="G112" s="13">
        <f t="shared" si="9"/>
        <v>17553.061967738468</v>
      </c>
      <c r="H112" s="13">
        <f t="shared" si="10"/>
        <v>37.848505867061668</v>
      </c>
      <c r="I112" s="27">
        <f>G112/((Afleiding_Tapwater_schema!D$4*1000)*(E$4-H112))</f>
        <v>1.3042249435473122E-4</v>
      </c>
      <c r="J112" s="27">
        <f t="shared" si="11"/>
        <v>7.8253496612838731</v>
      </c>
      <c r="K112">
        <f t="shared" si="12"/>
        <v>17.553061967738468</v>
      </c>
    </row>
    <row r="113" spans="1:11" x14ac:dyDescent="0.25">
      <c r="A113">
        <f t="shared" si="14"/>
        <v>535</v>
      </c>
      <c r="B113">
        <f t="shared" si="7"/>
        <v>32100</v>
      </c>
      <c r="C113">
        <f t="shared" si="8"/>
        <v>8.9166666666666661</v>
      </c>
      <c r="D113">
        <f>IF(OR(A113&lt;420,A113&gt;1440),0,Afleiding_Tapwater_schema!G$96)</f>
        <v>15553.041960784316</v>
      </c>
      <c r="E113" s="13">
        <f>_xlfn.NORM.DIST(A113,-30,Afleiding_Tapwater_schema!G$94,FALSE)*Afleiding_Tapwater_schema!G$95/K$4 + _xlfn.NORM.DIST(A113,Afleiding_Tapwater_schema!G$66*60,Afleiding_Tapwater_schema!G$94,FALSE)*Afleiding_Tapwater_schema!G$95/K$4 + _xlfn.NORM.DIST(A113,1415,Afleiding_Tapwater_schema!G$94,FALSE)*Afleiding_Tapwater_schema!G$95/K$4</f>
        <v>4.9029149732022076E-3</v>
      </c>
      <c r="F113">
        <v>2000</v>
      </c>
      <c r="G113" s="13">
        <f t="shared" si="9"/>
        <v>17553.046863699288</v>
      </c>
      <c r="H113" s="13">
        <f t="shared" si="10"/>
        <v>37.848508318142926</v>
      </c>
      <c r="I113" s="27">
        <f>G113/((Afleiding_Tapwater_schema!D$4*1000)*(E$4-H113))</f>
        <v>1.3042239207172892E-4</v>
      </c>
      <c r="J113" s="27">
        <f t="shared" si="11"/>
        <v>7.8253435243037357</v>
      </c>
      <c r="K113">
        <f t="shared" si="12"/>
        <v>17.553046863699286</v>
      </c>
    </row>
    <row r="114" spans="1:11" x14ac:dyDescent="0.25">
      <c r="A114">
        <f t="shared" si="14"/>
        <v>540</v>
      </c>
      <c r="B114">
        <f t="shared" si="7"/>
        <v>32400</v>
      </c>
      <c r="C114">
        <f t="shared" si="8"/>
        <v>9</v>
      </c>
      <c r="D114">
        <f>IF(OR(A114&lt;420,A114&gt;1440),0,Afleiding_Tapwater_schema!G$96)</f>
        <v>15553.041960784316</v>
      </c>
      <c r="E114" s="13">
        <f>_xlfn.NORM.DIST(A114,-30,Afleiding_Tapwater_schema!G$94,FALSE)*Afleiding_Tapwater_schema!G$95/K$4 + _xlfn.NORM.DIST(A114,Afleiding_Tapwater_schema!G$66*60,Afleiding_Tapwater_schema!G$94,FALSE)*Afleiding_Tapwater_schema!G$95/K$4 + _xlfn.NORM.DIST(A114,1415,Afleiding_Tapwater_schema!G$94,FALSE)*Afleiding_Tapwater_schema!G$95/K$4</f>
        <v>1.1287151164970127E-3</v>
      </c>
      <c r="F114">
        <v>2000</v>
      </c>
      <c r="G114" s="13">
        <f t="shared" si="9"/>
        <v>17553.043089499435</v>
      </c>
      <c r="H114" s="13">
        <f t="shared" si="10"/>
        <v>37.848508930620177</v>
      </c>
      <c r="I114" s="27">
        <f>G114/((Afleiding_Tapwater_schema!D$4*1000)*(E$4-H114))</f>
        <v>1.3042236651323531E-4</v>
      </c>
      <c r="J114" s="27">
        <f t="shared" si="11"/>
        <v>7.8253419907941177</v>
      </c>
      <c r="K114">
        <f t="shared" si="12"/>
        <v>17.553043089499436</v>
      </c>
    </row>
    <row r="115" spans="1:11" x14ac:dyDescent="0.25">
      <c r="A115">
        <f t="shared" si="14"/>
        <v>545</v>
      </c>
      <c r="B115">
        <f t="shared" si="7"/>
        <v>32700</v>
      </c>
      <c r="C115">
        <f t="shared" si="8"/>
        <v>9.0833333333333339</v>
      </c>
      <c r="D115">
        <f>IF(OR(A115&lt;420,A115&gt;1440),0,Afleiding_Tapwater_schema!G$96)</f>
        <v>15553.041960784316</v>
      </c>
      <c r="E115" s="13">
        <f>_xlfn.NORM.DIST(A115,-30,Afleiding_Tapwater_schema!G$94,FALSE)*Afleiding_Tapwater_schema!G$95/K$4 + _xlfn.NORM.DIST(A115,Afleiding_Tapwater_schema!G$66*60,Afleiding_Tapwater_schema!G$94,FALSE)*Afleiding_Tapwater_schema!G$95/K$4 + _xlfn.NORM.DIST(A115,1415,Afleiding_Tapwater_schema!G$94,FALSE)*Afleiding_Tapwater_schema!G$95/K$4</f>
        <v>2.4410176297264214E-4</v>
      </c>
      <c r="F115">
        <v>2000</v>
      </c>
      <c r="G115" s="13">
        <f t="shared" si="9"/>
        <v>17553.042204886078</v>
      </c>
      <c r="H115" s="13">
        <f t="shared" si="10"/>
        <v>37.848509074175304</v>
      </c>
      <c r="I115" s="27">
        <f>G115/((Afleiding_Tapwater_schema!D$4*1000)*(E$4-H115))</f>
        <v>1.3042236052272459E-4</v>
      </c>
      <c r="J115" s="27">
        <f t="shared" si="11"/>
        <v>7.825341631363476</v>
      </c>
      <c r="K115">
        <f t="shared" si="12"/>
        <v>17.553042204886079</v>
      </c>
    </row>
    <row r="116" spans="1:11" x14ac:dyDescent="0.25">
      <c r="A116">
        <f t="shared" si="14"/>
        <v>550</v>
      </c>
      <c r="B116">
        <f t="shared" si="7"/>
        <v>33000</v>
      </c>
      <c r="C116">
        <f t="shared" si="8"/>
        <v>9.1666666666666661</v>
      </c>
      <c r="D116">
        <f>IF(OR(A116&lt;420,A116&gt;1440),0,Afleiding_Tapwater_schema!G$96)</f>
        <v>15553.041960784316</v>
      </c>
      <c r="E116" s="13">
        <f>_xlfn.NORM.DIST(A116,-30,Afleiding_Tapwater_schema!G$94,FALSE)*Afleiding_Tapwater_schema!G$95/K$4 + _xlfn.NORM.DIST(A116,Afleiding_Tapwater_schema!G$66*60,Afleiding_Tapwater_schema!G$94,FALSE)*Afleiding_Tapwater_schema!G$95/K$4 + _xlfn.NORM.DIST(A116,1415,Afleiding_Tapwater_schema!G$94,FALSE)*Afleiding_Tapwater_schema!G$95/K$4</f>
        <v>4.9592281153265812E-5</v>
      </c>
      <c r="F116">
        <v>2000</v>
      </c>
      <c r="G116" s="13">
        <f t="shared" si="9"/>
        <v>17553.042010376597</v>
      </c>
      <c r="H116" s="13">
        <f t="shared" si="10"/>
        <v>37.848509105740312</v>
      </c>
      <c r="I116" s="27">
        <f>G116/((Afleiding_Tapwater_schema!D$4*1000)*(E$4-H116))</f>
        <v>1.3042235920552637E-4</v>
      </c>
      <c r="J116" s="27">
        <f t="shared" si="11"/>
        <v>7.8253415523315812</v>
      </c>
      <c r="K116">
        <f t="shared" si="12"/>
        <v>17.553042010376597</v>
      </c>
    </row>
    <row r="117" spans="1:11" x14ac:dyDescent="0.25">
      <c r="A117">
        <f t="shared" si="14"/>
        <v>555</v>
      </c>
      <c r="B117">
        <f t="shared" si="7"/>
        <v>33300</v>
      </c>
      <c r="C117">
        <f t="shared" si="8"/>
        <v>9.25</v>
      </c>
      <c r="D117">
        <f>IF(OR(A117&lt;420,A117&gt;1440),0,Afleiding_Tapwater_schema!G$96)</f>
        <v>15553.041960784316</v>
      </c>
      <c r="E117" s="13">
        <f>_xlfn.NORM.DIST(A117,-30,Afleiding_Tapwater_schema!G$94,FALSE)*Afleiding_Tapwater_schema!G$95/K$4 + _xlfn.NORM.DIST(A117,Afleiding_Tapwater_schema!G$66*60,Afleiding_Tapwater_schema!G$94,FALSE)*Afleiding_Tapwater_schema!G$95/K$4 + _xlfn.NORM.DIST(A117,1415,Afleiding_Tapwater_schema!G$94,FALSE)*Afleiding_Tapwater_schema!G$95/K$4</f>
        <v>9.4648524895909712E-6</v>
      </c>
      <c r="F117">
        <v>2000</v>
      </c>
      <c r="G117" s="13">
        <f t="shared" si="9"/>
        <v>17553.041970249171</v>
      </c>
      <c r="H117" s="13">
        <f t="shared" si="10"/>
        <v>37.848509112252195</v>
      </c>
      <c r="I117" s="27">
        <f>G117/((Afleiding_Tapwater_schema!D$4*1000)*(E$4-H117))</f>
        <v>1.3042235893378758E-4</v>
      </c>
      <c r="J117" s="27">
        <f t="shared" si="11"/>
        <v>7.8253415360272554</v>
      </c>
      <c r="K117">
        <f t="shared" si="12"/>
        <v>17.553041970249172</v>
      </c>
    </row>
    <row r="118" spans="1:11" x14ac:dyDescent="0.25">
      <c r="A118">
        <f t="shared" si="14"/>
        <v>560</v>
      </c>
      <c r="B118">
        <f t="shared" si="7"/>
        <v>33600</v>
      </c>
      <c r="C118">
        <f t="shared" si="8"/>
        <v>9.3333333333333339</v>
      </c>
      <c r="D118">
        <f>IF(OR(A118&lt;420,A118&gt;1440),0,Afleiding_Tapwater_schema!G$96)</f>
        <v>15553.041960784316</v>
      </c>
      <c r="E118" s="13">
        <f>_xlfn.NORM.DIST(A118,-30,Afleiding_Tapwater_schema!G$94,FALSE)*Afleiding_Tapwater_schema!G$95/K$4 + _xlfn.NORM.DIST(A118,Afleiding_Tapwater_schema!G$66*60,Afleiding_Tapwater_schema!G$94,FALSE)*Afleiding_Tapwater_schema!G$95/K$4 + _xlfn.NORM.DIST(A118,1415,Afleiding_Tapwater_schema!G$94,FALSE)*Afleiding_Tapwater_schema!G$95/K$4</f>
        <v>1.6969545438478554E-6</v>
      </c>
      <c r="F118">
        <v>2000</v>
      </c>
      <c r="G118" s="13">
        <f t="shared" si="9"/>
        <v>17553.041962481271</v>
      </c>
      <c r="H118" s="13">
        <f t="shared" si="10"/>
        <v>37.848509113512769</v>
      </c>
      <c r="I118" s="27">
        <f>G118/((Afleiding_Tapwater_schema!D$4*1000)*(E$4-H118))</f>
        <v>1.3042235888118412E-4</v>
      </c>
      <c r="J118" s="27">
        <f t="shared" si="11"/>
        <v>7.8253415328710467</v>
      </c>
      <c r="K118">
        <f t="shared" si="12"/>
        <v>17.55304196248127</v>
      </c>
    </row>
    <row r="119" spans="1:11" x14ac:dyDescent="0.25">
      <c r="A119">
        <f t="shared" si="14"/>
        <v>565</v>
      </c>
      <c r="B119">
        <f t="shared" si="7"/>
        <v>33900</v>
      </c>
      <c r="C119">
        <f t="shared" si="8"/>
        <v>9.4166666666666661</v>
      </c>
      <c r="D119">
        <f>IF(OR(A119&lt;420,A119&gt;1440),0,Afleiding_Tapwater_schema!G$96)</f>
        <v>15553.041960784316</v>
      </c>
      <c r="E119" s="13">
        <f>_xlfn.NORM.DIST(A119,-30,Afleiding_Tapwater_schema!G$94,FALSE)*Afleiding_Tapwater_schema!G$95/K$4 + _xlfn.NORM.DIST(A119,Afleiding_Tapwater_schema!G$66*60,Afleiding_Tapwater_schema!G$94,FALSE)*Afleiding_Tapwater_schema!G$95/K$4 + _xlfn.NORM.DIST(A119,1415,Afleiding_Tapwater_schema!G$94,FALSE)*Afleiding_Tapwater_schema!G$95/K$4</f>
        <v>2.8581377966386439E-7</v>
      </c>
      <c r="F119">
        <v>2000</v>
      </c>
      <c r="G119" s="13">
        <f t="shared" si="9"/>
        <v>17553.041961070128</v>
      </c>
      <c r="H119" s="13">
        <f t="shared" si="10"/>
        <v>37.848509113741777</v>
      </c>
      <c r="I119" s="27">
        <f>G119/((Afleiding_Tapwater_schema!D$4*1000)*(E$4-H119))</f>
        <v>1.3042235887162807E-4</v>
      </c>
      <c r="J119" s="27">
        <f t="shared" si="11"/>
        <v>7.825341532297684</v>
      </c>
      <c r="K119">
        <f t="shared" si="12"/>
        <v>17.553041961070129</v>
      </c>
    </row>
    <row r="120" spans="1:11" x14ac:dyDescent="0.25">
      <c r="A120">
        <f t="shared" si="14"/>
        <v>570</v>
      </c>
      <c r="B120">
        <f t="shared" si="7"/>
        <v>34200</v>
      </c>
      <c r="C120">
        <f t="shared" si="8"/>
        <v>9.5</v>
      </c>
      <c r="D120">
        <f>IF(OR(A120&lt;420,A120&gt;1440),0,Afleiding_Tapwater_schema!G$96)</f>
        <v>15553.041960784316</v>
      </c>
      <c r="E120" s="13">
        <f>_xlfn.NORM.DIST(A120,-30,Afleiding_Tapwater_schema!G$94,FALSE)*Afleiding_Tapwater_schema!G$95/K$4 + _xlfn.NORM.DIST(A120,Afleiding_Tapwater_schema!G$66*60,Afleiding_Tapwater_schema!G$94,FALSE)*Afleiding_Tapwater_schema!G$95/K$4 + _xlfn.NORM.DIST(A120,1415,Afleiding_Tapwater_schema!G$94,FALSE)*Afleiding_Tapwater_schema!G$95/K$4</f>
        <v>4.5222306814372222E-8</v>
      </c>
      <c r="F120">
        <v>2000</v>
      </c>
      <c r="G120" s="13">
        <f t="shared" si="9"/>
        <v>17553.041960829538</v>
      </c>
      <c r="H120" s="13">
        <f t="shared" si="10"/>
        <v>37.848509113780814</v>
      </c>
      <c r="I120" s="27">
        <f>G120/((Afleiding_Tapwater_schema!D$4*1000)*(E$4-H120))</f>
        <v>1.3042235886999879E-4</v>
      </c>
      <c r="J120" s="27">
        <f t="shared" si="11"/>
        <v>7.8253415321999267</v>
      </c>
      <c r="K120">
        <f t="shared" si="12"/>
        <v>17.553041960829539</v>
      </c>
    </row>
    <row r="121" spans="1:11" x14ac:dyDescent="0.25">
      <c r="A121">
        <f t="shared" si="14"/>
        <v>575</v>
      </c>
      <c r="B121">
        <f t="shared" si="7"/>
        <v>34500</v>
      </c>
      <c r="C121">
        <f t="shared" si="8"/>
        <v>9.5833333333333339</v>
      </c>
      <c r="D121">
        <f>IF(OR(A121&lt;420,A121&gt;1440),0,Afleiding_Tapwater_schema!G$96)</f>
        <v>15553.041960784316</v>
      </c>
      <c r="E121" s="13">
        <f>_xlfn.NORM.DIST(A121,-30,Afleiding_Tapwater_schema!G$94,FALSE)*Afleiding_Tapwater_schema!G$95/K$4 + _xlfn.NORM.DIST(A121,Afleiding_Tapwater_schema!G$66*60,Afleiding_Tapwater_schema!G$94,FALSE)*Afleiding_Tapwater_schema!G$95/K$4 + _xlfn.NORM.DIST(A121,1415,Afleiding_Tapwater_schema!G$94,FALSE)*Afleiding_Tapwater_schema!G$95/K$4</f>
        <v>6.7216958322801464E-9</v>
      </c>
      <c r="F121">
        <v>2000</v>
      </c>
      <c r="G121" s="13">
        <f t="shared" si="9"/>
        <v>17553.041960791037</v>
      </c>
      <c r="H121" s="13">
        <f t="shared" si="10"/>
        <v>37.84850911378706</v>
      </c>
      <c r="I121" s="27">
        <f>G121/((Afleiding_Tapwater_schema!D$4*1000)*(E$4-H121))</f>
        <v>1.3042235886973804E-4</v>
      </c>
      <c r="J121" s="27">
        <f t="shared" si="11"/>
        <v>7.8253415321842832</v>
      </c>
      <c r="K121">
        <f t="shared" si="12"/>
        <v>17.553041960791038</v>
      </c>
    </row>
    <row r="122" spans="1:11" x14ac:dyDescent="0.25">
      <c r="A122">
        <f t="shared" si="14"/>
        <v>580</v>
      </c>
      <c r="B122">
        <f t="shared" si="7"/>
        <v>34800</v>
      </c>
      <c r="C122">
        <f t="shared" si="8"/>
        <v>9.6666666666666661</v>
      </c>
      <c r="D122">
        <f>IF(OR(A122&lt;420,A122&gt;1440),0,Afleiding_Tapwater_schema!G$96)</f>
        <v>15553.041960784316</v>
      </c>
      <c r="E122" s="13">
        <f>_xlfn.NORM.DIST(A122,-30,Afleiding_Tapwater_schema!G$94,FALSE)*Afleiding_Tapwater_schema!G$95/K$4 + _xlfn.NORM.DIST(A122,Afleiding_Tapwater_schema!G$66*60,Afleiding_Tapwater_schema!G$94,FALSE)*Afleiding_Tapwater_schema!G$95/K$4 + _xlfn.NORM.DIST(A122,1415,Afleiding_Tapwater_schema!G$94,FALSE)*Afleiding_Tapwater_schema!G$95/K$4</f>
        <v>9.3855903505359536E-10</v>
      </c>
      <c r="F122">
        <v>2000</v>
      </c>
      <c r="G122" s="13">
        <f t="shared" si="9"/>
        <v>17553.041960785253</v>
      </c>
      <c r="H122" s="13">
        <f t="shared" si="10"/>
        <v>37.848509113788005</v>
      </c>
      <c r="I122" s="27">
        <f>G122/((Afleiding_Tapwater_schema!D$4*1000)*(E$4-H122))</f>
        <v>1.304223588696989E-4</v>
      </c>
      <c r="J122" s="27">
        <f t="shared" si="11"/>
        <v>7.8253415321819331</v>
      </c>
      <c r="K122">
        <f t="shared" si="12"/>
        <v>17.553041960785254</v>
      </c>
    </row>
    <row r="123" spans="1:11" x14ac:dyDescent="0.25">
      <c r="A123">
        <f t="shared" si="14"/>
        <v>585</v>
      </c>
      <c r="B123">
        <f t="shared" si="7"/>
        <v>35100</v>
      </c>
      <c r="C123">
        <f t="shared" si="8"/>
        <v>9.75</v>
      </c>
      <c r="D123">
        <f>IF(OR(A123&lt;420,A123&gt;1440),0,Afleiding_Tapwater_schema!G$96)</f>
        <v>15553.041960784316</v>
      </c>
      <c r="E123" s="13">
        <f>_xlfn.NORM.DIST(A123,-30,Afleiding_Tapwater_schema!G$94,FALSE)*Afleiding_Tapwater_schema!G$95/K$4 + _xlfn.NORM.DIST(A123,Afleiding_Tapwater_schema!G$66*60,Afleiding_Tapwater_schema!G$94,FALSE)*Afleiding_Tapwater_schema!G$95/K$4 + _xlfn.NORM.DIST(A123,1415,Afleiding_Tapwater_schema!G$94,FALSE)*Afleiding_Tapwater_schema!G$95/K$4</f>
        <v>1.2311215358395273E-10</v>
      </c>
      <c r="F123">
        <v>2000</v>
      </c>
      <c r="G123" s="13">
        <f t="shared" si="9"/>
        <v>17553.041960784438</v>
      </c>
      <c r="H123" s="13">
        <f t="shared" si="10"/>
        <v>37.84850911378814</v>
      </c>
      <c r="I123" s="27">
        <f>G123/((Afleiding_Tapwater_schema!D$4*1000)*(E$4-H123))</f>
        <v>1.3042235886969339E-4</v>
      </c>
      <c r="J123" s="27">
        <f t="shared" si="11"/>
        <v>7.8253415321816036</v>
      </c>
      <c r="K123">
        <f t="shared" si="12"/>
        <v>17.553041960784437</v>
      </c>
    </row>
    <row r="124" spans="1:11" x14ac:dyDescent="0.25">
      <c r="A124">
        <f t="shared" si="14"/>
        <v>590</v>
      </c>
      <c r="B124">
        <f t="shared" si="7"/>
        <v>35400</v>
      </c>
      <c r="C124">
        <f t="shared" si="8"/>
        <v>9.8333333333333339</v>
      </c>
      <c r="D124">
        <f>IF(OR(A124&lt;420,A124&gt;1440),0,Afleiding_Tapwater_schema!G$96)</f>
        <v>15553.041960784316</v>
      </c>
      <c r="E124" s="13">
        <f>_xlfn.NORM.DIST(A124,-30,Afleiding_Tapwater_schema!G$94,FALSE)*Afleiding_Tapwater_schema!G$95/K$4 + _xlfn.NORM.DIST(A124,Afleiding_Tapwater_schema!G$66*60,Afleiding_Tapwater_schema!G$94,FALSE)*Afleiding_Tapwater_schema!G$95/K$4 + _xlfn.NORM.DIST(A124,1415,Afleiding_Tapwater_schema!G$94,FALSE)*Afleiding_Tapwater_schema!G$95/K$4</f>
        <v>1.5170393883762977E-11</v>
      </c>
      <c r="F124">
        <v>2000</v>
      </c>
      <c r="G124" s="13">
        <f t="shared" si="9"/>
        <v>17553.041960784329</v>
      </c>
      <c r="H124" s="13">
        <f t="shared" si="10"/>
        <v>37.848509113788154</v>
      </c>
      <c r="I124" s="27">
        <f>G124/((Afleiding_Tapwater_schema!D$4*1000)*(E$4-H124))</f>
        <v>1.3042235886969264E-4</v>
      </c>
      <c r="J124" s="27">
        <f t="shared" si="11"/>
        <v>7.8253415321815583</v>
      </c>
      <c r="K124">
        <f t="shared" si="12"/>
        <v>17.553041960784327</v>
      </c>
    </row>
    <row r="125" spans="1:11" x14ac:dyDescent="0.25">
      <c r="A125">
        <f t="shared" si="14"/>
        <v>595</v>
      </c>
      <c r="B125">
        <f t="shared" si="7"/>
        <v>35700</v>
      </c>
      <c r="C125">
        <f t="shared" si="8"/>
        <v>9.9166666666666661</v>
      </c>
      <c r="D125">
        <f>IF(OR(A125&lt;420,A125&gt;1440),0,Afleiding_Tapwater_schema!G$96)</f>
        <v>15553.041960784316</v>
      </c>
      <c r="E125" s="13">
        <f>_xlfn.NORM.DIST(A125,-30,Afleiding_Tapwater_schema!G$94,FALSE)*Afleiding_Tapwater_schema!G$95/K$4 + _xlfn.NORM.DIST(A125,Afleiding_Tapwater_schema!G$66*60,Afleiding_Tapwater_schema!G$94,FALSE)*Afleiding_Tapwater_schema!G$95/K$4 + _xlfn.NORM.DIST(A125,1415,Afleiding_Tapwater_schema!G$94,FALSE)*Afleiding_Tapwater_schema!G$95/K$4</f>
        <v>1.7561005557621426E-12</v>
      </c>
      <c r="F125">
        <v>2000</v>
      </c>
      <c r="G125" s="13">
        <f t="shared" si="9"/>
        <v>17553.041960784318</v>
      </c>
      <c r="H125" s="13">
        <f t="shared" si="10"/>
        <v>37.848509113788154</v>
      </c>
      <c r="I125" s="27">
        <f>G125/((Afleiding_Tapwater_schema!D$4*1000)*(E$4-H125))</f>
        <v>1.3042235886969255E-4</v>
      </c>
      <c r="J125" s="27">
        <f t="shared" si="11"/>
        <v>7.8253415321815538</v>
      </c>
      <c r="K125">
        <f t="shared" si="12"/>
        <v>17.553041960784316</v>
      </c>
    </row>
    <row r="126" spans="1:11" x14ac:dyDescent="0.25">
      <c r="A126">
        <f t="shared" si="14"/>
        <v>600</v>
      </c>
      <c r="B126">
        <f t="shared" si="7"/>
        <v>36000</v>
      </c>
      <c r="C126">
        <f t="shared" si="8"/>
        <v>10</v>
      </c>
      <c r="D126">
        <f>IF(OR(A126&lt;420,A126&gt;1440),0,Afleiding_Tapwater_schema!G$96)</f>
        <v>15553.041960784316</v>
      </c>
      <c r="E126" s="13">
        <f>_xlfn.NORM.DIST(A126,-30,Afleiding_Tapwater_schema!G$94,FALSE)*Afleiding_Tapwater_schema!G$95/K$4 + _xlfn.NORM.DIST(A126,Afleiding_Tapwater_schema!G$66*60,Afleiding_Tapwater_schema!G$94,FALSE)*Afleiding_Tapwater_schema!G$95/K$4 + _xlfn.NORM.DIST(A126,1415,Afleiding_Tapwater_schema!G$94,FALSE)*Afleiding_Tapwater_schema!G$95/K$4</f>
        <v>1.9096707608255907E-13</v>
      </c>
      <c r="F126">
        <v>2000</v>
      </c>
      <c r="G126" s="13">
        <f t="shared" si="9"/>
        <v>17553.041960784314</v>
      </c>
      <c r="H126" s="13">
        <f t="shared" si="10"/>
        <v>37.848509113788161</v>
      </c>
      <c r="I126" s="27">
        <f>G126/((Afleiding_Tapwater_schema!D$4*1000)*(E$4-H126))</f>
        <v>1.3042235886969258E-4</v>
      </c>
      <c r="J126" s="27">
        <f t="shared" si="11"/>
        <v>7.8253415321815547</v>
      </c>
      <c r="K126">
        <f t="shared" si="12"/>
        <v>17.553041960784313</v>
      </c>
    </row>
    <row r="127" spans="1:11" x14ac:dyDescent="0.25">
      <c r="A127">
        <f t="shared" si="14"/>
        <v>605</v>
      </c>
      <c r="B127">
        <f t="shared" si="7"/>
        <v>36300</v>
      </c>
      <c r="C127">
        <f t="shared" si="8"/>
        <v>10.083333333333334</v>
      </c>
      <c r="D127">
        <f>IF(OR(A127&lt;420,A127&gt;1440),0,Afleiding_Tapwater_schema!G$96)</f>
        <v>15553.041960784316</v>
      </c>
      <c r="E127" s="13">
        <f>_xlfn.NORM.DIST(A127,-30,Afleiding_Tapwater_schema!G$94,FALSE)*Afleiding_Tapwater_schema!G$95/K$4 + _xlfn.NORM.DIST(A127,Afleiding_Tapwater_schema!G$66*60,Afleiding_Tapwater_schema!G$94,FALSE)*Afleiding_Tapwater_schema!G$95/K$4 + _xlfn.NORM.DIST(A127,1415,Afleiding_Tapwater_schema!G$94,FALSE)*Afleiding_Tapwater_schema!G$95/K$4</f>
        <v>1.9508514994767028E-14</v>
      </c>
      <c r="F127">
        <v>2000</v>
      </c>
      <c r="G127" s="13">
        <f t="shared" si="9"/>
        <v>17553.041960784314</v>
      </c>
      <c r="H127" s="13">
        <f t="shared" si="10"/>
        <v>37.848509113788161</v>
      </c>
      <c r="I127" s="27">
        <f>G127/((Afleiding_Tapwater_schema!D$4*1000)*(E$4-H127))</f>
        <v>1.3042235886969258E-4</v>
      </c>
      <c r="J127" s="27">
        <f t="shared" si="11"/>
        <v>7.8253415321815547</v>
      </c>
      <c r="K127">
        <f t="shared" si="12"/>
        <v>17.553041960784313</v>
      </c>
    </row>
    <row r="128" spans="1:11" x14ac:dyDescent="0.25">
      <c r="A128">
        <f t="shared" si="14"/>
        <v>610</v>
      </c>
      <c r="B128">
        <f t="shared" si="7"/>
        <v>36600</v>
      </c>
      <c r="C128">
        <f t="shared" si="8"/>
        <v>10.166666666666666</v>
      </c>
      <c r="D128">
        <f>IF(OR(A128&lt;420,A128&gt;1440),0,Afleiding_Tapwater_schema!G$96)</f>
        <v>15553.041960784316</v>
      </c>
      <c r="E128" s="13">
        <f>_xlfn.NORM.DIST(A128,-30,Afleiding_Tapwater_schema!G$94,FALSE)*Afleiding_Tapwater_schema!G$95/K$4 + _xlfn.NORM.DIST(A128,Afleiding_Tapwater_schema!G$66*60,Afleiding_Tapwater_schema!G$94,FALSE)*Afleiding_Tapwater_schema!G$95/K$4 + _xlfn.NORM.DIST(A128,1415,Afleiding_Tapwater_schema!G$94,FALSE)*Afleiding_Tapwater_schema!G$95/K$4</f>
        <v>1.8721753371129502E-15</v>
      </c>
      <c r="F128">
        <v>2000</v>
      </c>
      <c r="G128" s="13">
        <f t="shared" si="9"/>
        <v>17553.041960784314</v>
      </c>
      <c r="H128" s="13">
        <f t="shared" si="10"/>
        <v>37.848509113788161</v>
      </c>
      <c r="I128" s="27">
        <f>G128/((Afleiding_Tapwater_schema!D$4*1000)*(E$4-H128))</f>
        <v>1.3042235886969258E-4</v>
      </c>
      <c r="J128" s="27">
        <f t="shared" si="11"/>
        <v>7.8253415321815547</v>
      </c>
      <c r="K128">
        <f t="shared" si="12"/>
        <v>17.553041960784313</v>
      </c>
    </row>
    <row r="129" spans="1:11" x14ac:dyDescent="0.25">
      <c r="A129">
        <f t="shared" si="14"/>
        <v>615</v>
      </c>
      <c r="B129">
        <f t="shared" si="7"/>
        <v>36900</v>
      </c>
      <c r="C129">
        <f t="shared" si="8"/>
        <v>10.25</v>
      </c>
      <c r="D129">
        <f>IF(OR(A129&lt;420,A129&gt;1440),0,Afleiding_Tapwater_schema!G$96)</f>
        <v>15553.041960784316</v>
      </c>
      <c r="E129" s="13">
        <f>_xlfn.NORM.DIST(A129,-30,Afleiding_Tapwater_schema!G$94,FALSE)*Afleiding_Tapwater_schema!G$95/K$4 + _xlfn.NORM.DIST(A129,Afleiding_Tapwater_schema!G$66*60,Afleiding_Tapwater_schema!G$94,FALSE)*Afleiding_Tapwater_schema!G$95/K$4 + _xlfn.NORM.DIST(A129,1415,Afleiding_Tapwater_schema!G$94,FALSE)*Afleiding_Tapwater_schema!G$95/K$4</f>
        <v>1.6878172560023289E-16</v>
      </c>
      <c r="F129">
        <v>2000</v>
      </c>
      <c r="G129" s="13">
        <f t="shared" si="9"/>
        <v>17553.041960784314</v>
      </c>
      <c r="H129" s="13">
        <f t="shared" si="10"/>
        <v>37.848509113788161</v>
      </c>
      <c r="I129" s="27">
        <f>G129/((Afleiding_Tapwater_schema!D$4*1000)*(E$4-H129))</f>
        <v>1.3042235886969258E-4</v>
      </c>
      <c r="J129" s="27">
        <f t="shared" si="11"/>
        <v>7.8253415321815547</v>
      </c>
      <c r="K129">
        <f t="shared" si="12"/>
        <v>17.553041960784313</v>
      </c>
    </row>
    <row r="130" spans="1:11" x14ac:dyDescent="0.25">
      <c r="A130">
        <f t="shared" si="14"/>
        <v>620</v>
      </c>
      <c r="B130">
        <f t="shared" si="7"/>
        <v>37200</v>
      </c>
      <c r="C130">
        <f t="shared" si="8"/>
        <v>10.333333333333334</v>
      </c>
      <c r="D130">
        <f>IF(OR(A130&lt;420,A130&gt;1440),0,Afleiding_Tapwater_schema!G$96)</f>
        <v>15553.041960784316</v>
      </c>
      <c r="E130" s="13">
        <f>_xlfn.NORM.DIST(A130,-30,Afleiding_Tapwater_schema!G$94,FALSE)*Afleiding_Tapwater_schema!G$95/K$4 + _xlfn.NORM.DIST(A130,Afleiding_Tapwater_schema!G$66*60,Afleiding_Tapwater_schema!G$94,FALSE)*Afleiding_Tapwater_schema!G$95/K$4 + _xlfn.NORM.DIST(A130,1415,Afleiding_Tapwater_schema!G$94,FALSE)*Afleiding_Tapwater_schema!G$95/K$4</f>
        <v>1.429423509308329E-17</v>
      </c>
      <c r="F130">
        <v>2000</v>
      </c>
      <c r="G130" s="13">
        <f t="shared" si="9"/>
        <v>17553.041960784314</v>
      </c>
      <c r="H130" s="13">
        <f t="shared" si="10"/>
        <v>37.848509113788161</v>
      </c>
      <c r="I130" s="27">
        <f>G130/((Afleiding_Tapwater_schema!D$4*1000)*(E$4-H130))</f>
        <v>1.3042235886969258E-4</v>
      </c>
      <c r="J130" s="27">
        <f t="shared" si="11"/>
        <v>7.8253415321815547</v>
      </c>
      <c r="K130">
        <f t="shared" si="12"/>
        <v>17.553041960784313</v>
      </c>
    </row>
    <row r="131" spans="1:11" x14ac:dyDescent="0.25">
      <c r="A131">
        <f t="shared" si="14"/>
        <v>625</v>
      </c>
      <c r="B131">
        <f t="shared" si="7"/>
        <v>37500</v>
      </c>
      <c r="C131">
        <f t="shared" si="8"/>
        <v>10.416666666666666</v>
      </c>
      <c r="D131">
        <f>IF(OR(A131&lt;420,A131&gt;1440),0,Afleiding_Tapwater_schema!G$96)</f>
        <v>15553.041960784316</v>
      </c>
      <c r="E131" s="13">
        <f>_xlfn.NORM.DIST(A131,-30,Afleiding_Tapwater_schema!G$94,FALSE)*Afleiding_Tapwater_schema!G$95/K$4 + _xlfn.NORM.DIST(A131,Afleiding_Tapwater_schema!G$66*60,Afleiding_Tapwater_schema!G$94,FALSE)*Afleiding_Tapwater_schema!G$95/K$4 + _xlfn.NORM.DIST(A131,1415,Afleiding_Tapwater_schema!G$94,FALSE)*Afleiding_Tapwater_schema!G$95/K$4</f>
        <v>1.137242321508556E-18</v>
      </c>
      <c r="F131">
        <v>2000</v>
      </c>
      <c r="G131" s="13">
        <f t="shared" si="9"/>
        <v>17553.041960784314</v>
      </c>
      <c r="H131" s="13">
        <f t="shared" si="10"/>
        <v>37.848509113788161</v>
      </c>
      <c r="I131" s="27">
        <f>G131/((Afleiding_Tapwater_schema!D$4*1000)*(E$4-H131))</f>
        <v>1.3042235886969258E-4</v>
      </c>
      <c r="J131" s="27">
        <f t="shared" si="11"/>
        <v>7.8253415321815547</v>
      </c>
      <c r="K131">
        <f t="shared" si="12"/>
        <v>17.553041960784313</v>
      </c>
    </row>
    <row r="132" spans="1:11" x14ac:dyDescent="0.25">
      <c r="A132">
        <f t="shared" si="14"/>
        <v>630</v>
      </c>
      <c r="B132">
        <f t="shared" si="7"/>
        <v>37800</v>
      </c>
      <c r="C132">
        <f t="shared" si="8"/>
        <v>10.5</v>
      </c>
      <c r="D132">
        <f>IF(OR(A132&lt;420,A132&gt;1440),0,Afleiding_Tapwater_schema!G$96)</f>
        <v>15553.041960784316</v>
      </c>
      <c r="E132" s="13">
        <f>_xlfn.NORM.DIST(A132,-30,Afleiding_Tapwater_schema!G$94,FALSE)*Afleiding_Tapwater_schema!G$95/K$4 + _xlfn.NORM.DIST(A132,Afleiding_Tapwater_schema!G$66*60,Afleiding_Tapwater_schema!G$94,FALSE)*Afleiding_Tapwater_schema!G$95/K$4 + _xlfn.NORM.DIST(A132,1415,Afleiding_Tapwater_schema!G$94,FALSE)*Afleiding_Tapwater_schema!G$95/K$4</f>
        <v>8.4996628807984331E-20</v>
      </c>
      <c r="F132">
        <v>2000</v>
      </c>
      <c r="G132" s="13">
        <f t="shared" si="9"/>
        <v>17553.041960784314</v>
      </c>
      <c r="H132" s="13">
        <f t="shared" si="10"/>
        <v>37.848509113788161</v>
      </c>
      <c r="I132" s="27">
        <f>G132/((Afleiding_Tapwater_schema!D$4*1000)*(E$4-H132))</f>
        <v>1.3042235886969258E-4</v>
      </c>
      <c r="J132" s="27">
        <f t="shared" si="11"/>
        <v>7.8253415321815547</v>
      </c>
      <c r="K132">
        <f t="shared" si="12"/>
        <v>17.553041960784313</v>
      </c>
    </row>
    <row r="133" spans="1:11" x14ac:dyDescent="0.25">
      <c r="A133">
        <f t="shared" si="14"/>
        <v>635</v>
      </c>
      <c r="B133">
        <f t="shared" si="7"/>
        <v>38100</v>
      </c>
      <c r="C133">
        <f t="shared" si="8"/>
        <v>10.583333333333334</v>
      </c>
      <c r="D133">
        <f>IF(OR(A133&lt;420,A133&gt;1440),0,Afleiding_Tapwater_schema!G$96)</f>
        <v>15553.041960784316</v>
      </c>
      <c r="E133" s="13">
        <f>_xlfn.NORM.DIST(A133,-30,Afleiding_Tapwater_schema!G$94,FALSE)*Afleiding_Tapwater_schema!G$95/K$4 + _xlfn.NORM.DIST(A133,Afleiding_Tapwater_schema!G$66*60,Afleiding_Tapwater_schema!G$94,FALSE)*Afleiding_Tapwater_schema!G$95/K$4 + _xlfn.NORM.DIST(A133,1415,Afleiding_Tapwater_schema!G$94,FALSE)*Afleiding_Tapwater_schema!G$95/K$4</f>
        <v>5.9677000064438979E-21</v>
      </c>
      <c r="F133">
        <v>2000</v>
      </c>
      <c r="G133" s="13">
        <f t="shared" si="9"/>
        <v>17553.041960784314</v>
      </c>
      <c r="H133" s="13">
        <f t="shared" si="10"/>
        <v>37.848509113788161</v>
      </c>
      <c r="I133" s="27">
        <f>G133/((Afleiding_Tapwater_schema!D$4*1000)*(E$4-H133))</f>
        <v>1.3042235886969258E-4</v>
      </c>
      <c r="J133" s="27">
        <f t="shared" si="11"/>
        <v>7.8253415321815547</v>
      </c>
      <c r="K133">
        <f t="shared" si="12"/>
        <v>17.553041960784313</v>
      </c>
    </row>
    <row r="134" spans="1:11" x14ac:dyDescent="0.25">
      <c r="A134">
        <f t="shared" si="14"/>
        <v>640</v>
      </c>
      <c r="B134">
        <f t="shared" si="7"/>
        <v>38400</v>
      </c>
      <c r="C134">
        <f t="shared" si="8"/>
        <v>10.666666666666666</v>
      </c>
      <c r="D134">
        <f>IF(OR(A134&lt;420,A134&gt;1440),0,Afleiding_Tapwater_schema!G$96)</f>
        <v>15553.041960784316</v>
      </c>
      <c r="E134" s="13">
        <f>_xlfn.NORM.DIST(A134,-30,Afleiding_Tapwater_schema!G$94,FALSE)*Afleiding_Tapwater_schema!G$95/K$4 + _xlfn.NORM.DIST(A134,Afleiding_Tapwater_schema!G$66*60,Afleiding_Tapwater_schema!G$94,FALSE)*Afleiding_Tapwater_schema!G$95/K$4 + _xlfn.NORM.DIST(A134,1415,Afleiding_Tapwater_schema!G$94,FALSE)*Afleiding_Tapwater_schema!G$95/K$4</f>
        <v>3.9361248063406624E-22</v>
      </c>
      <c r="F134">
        <v>2000</v>
      </c>
      <c r="G134" s="13">
        <f t="shared" si="9"/>
        <v>17553.041960784314</v>
      </c>
      <c r="H134" s="13">
        <f t="shared" si="10"/>
        <v>37.848509113788161</v>
      </c>
      <c r="I134" s="27">
        <f>G134/((Afleiding_Tapwater_schema!D$4*1000)*(E$4-H134))</f>
        <v>1.3042235886969258E-4</v>
      </c>
      <c r="J134" s="27">
        <f t="shared" si="11"/>
        <v>7.8253415321815547</v>
      </c>
      <c r="K134">
        <f t="shared" si="12"/>
        <v>17.553041960784313</v>
      </c>
    </row>
    <row r="135" spans="1:11" x14ac:dyDescent="0.25">
      <c r="A135">
        <f t="shared" si="14"/>
        <v>645</v>
      </c>
      <c r="B135">
        <f t="shared" ref="B135:B198" si="15">A135*60</f>
        <v>38700</v>
      </c>
      <c r="C135">
        <f t="shared" ref="C135:C198" si="16">A135/60</f>
        <v>10.75</v>
      </c>
      <c r="D135">
        <f>IF(OR(A135&lt;420,A135&gt;1440),0,Afleiding_Tapwater_schema!G$96)</f>
        <v>15553.041960784316</v>
      </c>
      <c r="E135" s="13">
        <f>_xlfn.NORM.DIST(A135,-30,Afleiding_Tapwater_schema!G$94,FALSE)*Afleiding_Tapwater_schema!G$95/K$4 + _xlfn.NORM.DIST(A135,Afleiding_Tapwater_schema!G$66*60,Afleiding_Tapwater_schema!G$94,FALSE)*Afleiding_Tapwater_schema!G$95/K$4 + _xlfn.NORM.DIST(A135,1415,Afleiding_Tapwater_schema!G$94,FALSE)*Afleiding_Tapwater_schema!G$95/K$4</f>
        <v>2.4388625939656751E-23</v>
      </c>
      <c r="F135">
        <v>2000</v>
      </c>
      <c r="G135" s="13">
        <f t="shared" ref="G135:G198" si="17">D135+E135+F135</f>
        <v>17553.041960784314</v>
      </c>
      <c r="H135" s="13">
        <f t="shared" ref="H135:H198" si="18">(F135*E$3+(D135+E135)*E$2)/(D135+E135+F135)</f>
        <v>37.848509113788161</v>
      </c>
      <c r="I135" s="27">
        <f>G135/((Afleiding_Tapwater_schema!D$4*1000)*(E$4-H135))</f>
        <v>1.3042235886969258E-4</v>
      </c>
      <c r="J135" s="27">
        <f t="shared" ref="J135:J198" si="19">I135*1000*60</f>
        <v>7.8253415321815547</v>
      </c>
      <c r="K135">
        <f t="shared" ref="K135:K198" si="20">G135/1000</f>
        <v>17.553041960784313</v>
      </c>
    </row>
    <row r="136" spans="1:11" x14ac:dyDescent="0.25">
      <c r="A136">
        <f t="shared" si="14"/>
        <v>650</v>
      </c>
      <c r="B136">
        <f t="shared" si="15"/>
        <v>39000</v>
      </c>
      <c r="C136">
        <f t="shared" si="16"/>
        <v>10.833333333333334</v>
      </c>
      <c r="D136">
        <f>IF(OR(A136&lt;420,A136&gt;1440),0,Afleiding_Tapwater_schema!G$96)</f>
        <v>15553.041960784316</v>
      </c>
      <c r="E136" s="13">
        <f>_xlfn.NORM.DIST(A136,-30,Afleiding_Tapwater_schema!G$94,FALSE)*Afleiding_Tapwater_schema!G$95/K$4 + _xlfn.NORM.DIST(A136,Afleiding_Tapwater_schema!G$66*60,Afleiding_Tapwater_schema!G$94,FALSE)*Afleiding_Tapwater_schema!G$95/K$4 + _xlfn.NORM.DIST(A136,1415,Afleiding_Tapwater_schema!G$94,FALSE)*Afleiding_Tapwater_schema!G$95/K$4</f>
        <v>1.4195882625305292E-24</v>
      </c>
      <c r="F136">
        <v>2000</v>
      </c>
      <c r="G136" s="13">
        <f t="shared" si="17"/>
        <v>17553.041960784314</v>
      </c>
      <c r="H136" s="13">
        <f t="shared" si="18"/>
        <v>37.848509113788161</v>
      </c>
      <c r="I136" s="27">
        <f>G136/((Afleiding_Tapwater_schema!D$4*1000)*(E$4-H136))</f>
        <v>1.3042235886969258E-4</v>
      </c>
      <c r="J136" s="27">
        <f t="shared" si="19"/>
        <v>7.8253415321815547</v>
      </c>
      <c r="K136">
        <f t="shared" si="20"/>
        <v>17.553041960784313</v>
      </c>
    </row>
    <row r="137" spans="1:11" x14ac:dyDescent="0.25">
      <c r="A137">
        <f t="shared" si="14"/>
        <v>655</v>
      </c>
      <c r="B137">
        <f t="shared" si="15"/>
        <v>39300</v>
      </c>
      <c r="C137">
        <f t="shared" si="16"/>
        <v>10.916666666666666</v>
      </c>
      <c r="D137">
        <f>IF(OR(A137&lt;420,A137&gt;1440),0,Afleiding_Tapwater_schema!G$96)</f>
        <v>15553.041960784316</v>
      </c>
      <c r="E137" s="13">
        <f>_xlfn.NORM.DIST(A137,-30,Afleiding_Tapwater_schema!G$94,FALSE)*Afleiding_Tapwater_schema!G$95/K$4 + _xlfn.NORM.DIST(A137,Afleiding_Tapwater_schema!G$66*60,Afleiding_Tapwater_schema!G$94,FALSE)*Afleiding_Tapwater_schema!G$95/K$4 + _xlfn.NORM.DIST(A137,1415,Afleiding_Tapwater_schema!G$94,FALSE)*Afleiding_Tapwater_schema!G$95/K$4</f>
        <v>7.7623650293997046E-26</v>
      </c>
      <c r="F137">
        <v>2000</v>
      </c>
      <c r="G137" s="13">
        <f t="shared" si="17"/>
        <v>17553.041960784314</v>
      </c>
      <c r="H137" s="13">
        <f t="shared" si="18"/>
        <v>37.848509113788161</v>
      </c>
      <c r="I137" s="27">
        <f>G137/((Afleiding_Tapwater_schema!D$4*1000)*(E$4-H137))</f>
        <v>1.3042235886969258E-4</v>
      </c>
      <c r="J137" s="27">
        <f t="shared" si="19"/>
        <v>7.8253415321815547</v>
      </c>
      <c r="K137">
        <f t="shared" si="20"/>
        <v>17.553041960784313</v>
      </c>
    </row>
    <row r="138" spans="1:11" x14ac:dyDescent="0.25">
      <c r="A138">
        <f t="shared" ref="A138:A201" si="21">A137+D$1</f>
        <v>660</v>
      </c>
      <c r="B138">
        <f t="shared" si="15"/>
        <v>39600</v>
      </c>
      <c r="C138">
        <f t="shared" si="16"/>
        <v>11</v>
      </c>
      <c r="D138">
        <f>IF(OR(A138&lt;420,A138&gt;1440),0,Afleiding_Tapwater_schema!G$96)</f>
        <v>15553.041960784316</v>
      </c>
      <c r="E138" s="13">
        <f>_xlfn.NORM.DIST(A138,-30,Afleiding_Tapwater_schema!G$94,FALSE)*Afleiding_Tapwater_schema!G$95/K$4 + _xlfn.NORM.DIST(A138,Afleiding_Tapwater_schema!G$66*60,Afleiding_Tapwater_schema!G$94,FALSE)*Afleiding_Tapwater_schema!G$95/K$4 + _xlfn.NORM.DIST(A138,1415,Afleiding_Tapwater_schema!G$94,FALSE)*Afleiding_Tapwater_schema!G$95/K$4</f>
        <v>3.9873312704123102E-27</v>
      </c>
      <c r="F138">
        <v>2000</v>
      </c>
      <c r="G138" s="13">
        <f t="shared" si="17"/>
        <v>17553.041960784314</v>
      </c>
      <c r="H138" s="13">
        <f t="shared" si="18"/>
        <v>37.848509113788161</v>
      </c>
      <c r="I138" s="27">
        <f>G138/((Afleiding_Tapwater_schema!D$4*1000)*(E$4-H138))</f>
        <v>1.3042235886969258E-4</v>
      </c>
      <c r="J138" s="27">
        <f t="shared" si="19"/>
        <v>7.8253415321815547</v>
      </c>
      <c r="K138">
        <f t="shared" si="20"/>
        <v>17.553041960784313</v>
      </c>
    </row>
    <row r="139" spans="1:11" x14ac:dyDescent="0.25">
      <c r="A139">
        <f t="shared" si="21"/>
        <v>665</v>
      </c>
      <c r="B139">
        <f t="shared" si="15"/>
        <v>39900</v>
      </c>
      <c r="C139">
        <f t="shared" si="16"/>
        <v>11.083333333333334</v>
      </c>
      <c r="D139">
        <f>IF(OR(A139&lt;420,A139&gt;1440),0,Afleiding_Tapwater_schema!G$96)</f>
        <v>15553.041960784316</v>
      </c>
      <c r="E139" s="13">
        <f>_xlfn.NORM.DIST(A139,-30,Afleiding_Tapwater_schema!G$94,FALSE)*Afleiding_Tapwater_schema!G$95/K$4 + _xlfn.NORM.DIST(A139,Afleiding_Tapwater_schema!G$66*60,Afleiding_Tapwater_schema!G$94,FALSE)*Afleiding_Tapwater_schema!G$95/K$4 + _xlfn.NORM.DIST(A139,1415,Afleiding_Tapwater_schema!G$94,FALSE)*Afleiding_Tapwater_schema!G$95/K$4</f>
        <v>1.924097921270334E-28</v>
      </c>
      <c r="F139">
        <v>2000</v>
      </c>
      <c r="G139" s="13">
        <f t="shared" si="17"/>
        <v>17553.041960784314</v>
      </c>
      <c r="H139" s="13">
        <f t="shared" si="18"/>
        <v>37.848509113788161</v>
      </c>
      <c r="I139" s="27">
        <f>G139/((Afleiding_Tapwater_schema!D$4*1000)*(E$4-H139))</f>
        <v>1.3042235886969258E-4</v>
      </c>
      <c r="J139" s="27">
        <f t="shared" si="19"/>
        <v>7.8253415321815547</v>
      </c>
      <c r="K139">
        <f t="shared" si="20"/>
        <v>17.553041960784313</v>
      </c>
    </row>
    <row r="140" spans="1:11" x14ac:dyDescent="0.25">
      <c r="A140">
        <f t="shared" si="21"/>
        <v>670</v>
      </c>
      <c r="B140">
        <f t="shared" si="15"/>
        <v>40200</v>
      </c>
      <c r="C140">
        <f t="shared" si="16"/>
        <v>11.166666666666666</v>
      </c>
      <c r="D140">
        <f>IF(OR(A140&lt;420,A140&gt;1440),0,Afleiding_Tapwater_schema!G$96)</f>
        <v>15553.041960784316</v>
      </c>
      <c r="E140" s="13">
        <f>_xlfn.NORM.DIST(A140,-30,Afleiding_Tapwater_schema!G$94,FALSE)*Afleiding_Tapwater_schema!G$95/K$4 + _xlfn.NORM.DIST(A140,Afleiding_Tapwater_schema!G$66*60,Afleiding_Tapwater_schema!G$94,FALSE)*Afleiding_Tapwater_schema!G$95/K$4 + _xlfn.NORM.DIST(A140,1415,Afleiding_Tapwater_schema!G$94,FALSE)*Afleiding_Tapwater_schema!G$95/K$4</f>
        <v>8.7222517392798069E-30</v>
      </c>
      <c r="F140">
        <v>2000</v>
      </c>
      <c r="G140" s="13">
        <f t="shared" si="17"/>
        <v>17553.041960784314</v>
      </c>
      <c r="H140" s="13">
        <f t="shared" si="18"/>
        <v>37.848509113788161</v>
      </c>
      <c r="I140" s="27">
        <f>G140/((Afleiding_Tapwater_schema!D$4*1000)*(E$4-H140))</f>
        <v>1.3042235886969258E-4</v>
      </c>
      <c r="J140" s="27">
        <f t="shared" si="19"/>
        <v>7.8253415321815547</v>
      </c>
      <c r="K140">
        <f t="shared" si="20"/>
        <v>17.553041960784313</v>
      </c>
    </row>
    <row r="141" spans="1:11" x14ac:dyDescent="0.25">
      <c r="A141">
        <f t="shared" si="21"/>
        <v>675</v>
      </c>
      <c r="B141">
        <f t="shared" si="15"/>
        <v>40500</v>
      </c>
      <c r="C141">
        <f t="shared" si="16"/>
        <v>11.25</v>
      </c>
      <c r="D141">
        <f>IF(OR(A141&lt;420,A141&gt;1440),0,Afleiding_Tapwater_schema!G$96)</f>
        <v>15553.041960784316</v>
      </c>
      <c r="E141" s="13">
        <f>_xlfn.NORM.DIST(A141,-30,Afleiding_Tapwater_schema!G$94,FALSE)*Afleiding_Tapwater_schema!G$95/K$4 + _xlfn.NORM.DIST(A141,Afleiding_Tapwater_schema!G$66*60,Afleiding_Tapwater_schema!G$94,FALSE)*Afleiding_Tapwater_schema!G$95/K$4 + _xlfn.NORM.DIST(A141,1415,Afleiding_Tapwater_schema!G$94,FALSE)*Afleiding_Tapwater_schema!G$95/K$4</f>
        <v>3.7143827906234541E-31</v>
      </c>
      <c r="F141">
        <v>2000</v>
      </c>
      <c r="G141" s="13">
        <f t="shared" si="17"/>
        <v>17553.041960784314</v>
      </c>
      <c r="H141" s="13">
        <f t="shared" si="18"/>
        <v>37.848509113788161</v>
      </c>
      <c r="I141" s="27">
        <f>G141/((Afleiding_Tapwater_schema!D$4*1000)*(E$4-H141))</f>
        <v>1.3042235886969258E-4</v>
      </c>
      <c r="J141" s="27">
        <f t="shared" si="19"/>
        <v>7.8253415321815547</v>
      </c>
      <c r="K141">
        <f t="shared" si="20"/>
        <v>17.553041960784313</v>
      </c>
    </row>
    <row r="142" spans="1:11" x14ac:dyDescent="0.25">
      <c r="A142">
        <f t="shared" si="21"/>
        <v>680</v>
      </c>
      <c r="B142">
        <f t="shared" si="15"/>
        <v>40800</v>
      </c>
      <c r="C142">
        <f t="shared" si="16"/>
        <v>11.333333333333334</v>
      </c>
      <c r="D142">
        <f>IF(OR(A142&lt;420,A142&gt;1440),0,Afleiding_Tapwater_schema!G$96)</f>
        <v>15553.041960784316</v>
      </c>
      <c r="E142" s="13">
        <f>_xlfn.NORM.DIST(A142,-30,Afleiding_Tapwater_schema!G$94,FALSE)*Afleiding_Tapwater_schema!G$95/K$4 + _xlfn.NORM.DIST(A142,Afleiding_Tapwater_schema!G$66*60,Afleiding_Tapwater_schema!G$94,FALSE)*Afleiding_Tapwater_schema!G$95/K$4 + _xlfn.NORM.DIST(A142,1415,Afleiding_Tapwater_schema!G$94,FALSE)*Afleiding_Tapwater_schema!G$95/K$4</f>
        <v>1.4859400727010512E-32</v>
      </c>
      <c r="F142">
        <v>2000</v>
      </c>
      <c r="G142" s="13">
        <f t="shared" si="17"/>
        <v>17553.041960784314</v>
      </c>
      <c r="H142" s="13">
        <f t="shared" si="18"/>
        <v>37.848509113788161</v>
      </c>
      <c r="I142" s="27">
        <f>G142/((Afleiding_Tapwater_schema!D$4*1000)*(E$4-H142))</f>
        <v>1.3042235886969258E-4</v>
      </c>
      <c r="J142" s="27">
        <f t="shared" si="19"/>
        <v>7.8253415321815547</v>
      </c>
      <c r="K142">
        <f t="shared" si="20"/>
        <v>17.553041960784313</v>
      </c>
    </row>
    <row r="143" spans="1:11" x14ac:dyDescent="0.25">
      <c r="A143">
        <f t="shared" si="21"/>
        <v>685</v>
      </c>
      <c r="B143">
        <f t="shared" si="15"/>
        <v>41100</v>
      </c>
      <c r="C143">
        <f t="shared" si="16"/>
        <v>11.416666666666666</v>
      </c>
      <c r="D143">
        <f>IF(OR(A143&lt;420,A143&gt;1440),0,Afleiding_Tapwater_schema!G$96)</f>
        <v>15553.041960784316</v>
      </c>
      <c r="E143" s="13">
        <f>_xlfn.NORM.DIST(A143,-30,Afleiding_Tapwater_schema!G$94,FALSE)*Afleiding_Tapwater_schema!G$95/K$4 + _xlfn.NORM.DIST(A143,Afleiding_Tapwater_schema!G$66*60,Afleiding_Tapwater_schema!G$94,FALSE)*Afleiding_Tapwater_schema!G$95/K$4 + _xlfn.NORM.DIST(A143,1415,Afleiding_Tapwater_schema!G$94,FALSE)*Afleiding_Tapwater_schema!G$95/K$4</f>
        <v>5.5843486651447086E-34</v>
      </c>
      <c r="F143">
        <v>2000</v>
      </c>
      <c r="G143" s="13">
        <f t="shared" si="17"/>
        <v>17553.041960784314</v>
      </c>
      <c r="H143" s="13">
        <f t="shared" si="18"/>
        <v>37.848509113788161</v>
      </c>
      <c r="I143" s="27">
        <f>G143/((Afleiding_Tapwater_schema!D$4*1000)*(E$4-H143))</f>
        <v>1.3042235886969258E-4</v>
      </c>
      <c r="J143" s="27">
        <f t="shared" si="19"/>
        <v>7.8253415321815547</v>
      </c>
      <c r="K143">
        <f t="shared" si="20"/>
        <v>17.553041960784313</v>
      </c>
    </row>
    <row r="144" spans="1:11" x14ac:dyDescent="0.25">
      <c r="A144">
        <f t="shared" si="21"/>
        <v>690</v>
      </c>
      <c r="B144">
        <f t="shared" si="15"/>
        <v>41400</v>
      </c>
      <c r="C144">
        <f t="shared" si="16"/>
        <v>11.5</v>
      </c>
      <c r="D144">
        <f>IF(OR(A144&lt;420,A144&gt;1440),0,Afleiding_Tapwater_schema!G$96)</f>
        <v>15553.041960784316</v>
      </c>
      <c r="E144" s="13">
        <f>_xlfn.NORM.DIST(A144,-30,Afleiding_Tapwater_schema!G$94,FALSE)*Afleiding_Tapwater_schema!G$95/K$4 + _xlfn.NORM.DIST(A144,Afleiding_Tapwater_schema!G$66*60,Afleiding_Tapwater_schema!G$94,FALSE)*Afleiding_Tapwater_schema!G$95/K$4 + _xlfn.NORM.DIST(A144,1415,Afleiding_Tapwater_schema!G$94,FALSE)*Afleiding_Tapwater_schema!G$95/K$4</f>
        <v>1.9715162101385792E-35</v>
      </c>
      <c r="F144">
        <v>2000</v>
      </c>
      <c r="G144" s="13">
        <f t="shared" si="17"/>
        <v>17553.041960784314</v>
      </c>
      <c r="H144" s="13">
        <f t="shared" si="18"/>
        <v>37.848509113788161</v>
      </c>
      <c r="I144" s="27">
        <f>G144/((Afleiding_Tapwater_schema!D$4*1000)*(E$4-H144))</f>
        <v>1.3042235886969258E-4</v>
      </c>
      <c r="J144" s="27">
        <f t="shared" si="19"/>
        <v>7.8253415321815547</v>
      </c>
      <c r="K144">
        <f t="shared" si="20"/>
        <v>17.553041960784313</v>
      </c>
    </row>
    <row r="145" spans="1:11" x14ac:dyDescent="0.25">
      <c r="A145">
        <f t="shared" si="21"/>
        <v>695</v>
      </c>
      <c r="B145">
        <f t="shared" si="15"/>
        <v>41700</v>
      </c>
      <c r="C145">
        <f t="shared" si="16"/>
        <v>11.583333333333334</v>
      </c>
      <c r="D145">
        <f>IF(OR(A145&lt;420,A145&gt;1440),0,Afleiding_Tapwater_schema!G$96)</f>
        <v>15553.041960784316</v>
      </c>
      <c r="E145" s="13">
        <f>_xlfn.NORM.DIST(A145,-30,Afleiding_Tapwater_schema!G$94,FALSE)*Afleiding_Tapwater_schema!G$95/K$4 + _xlfn.NORM.DIST(A145,Afleiding_Tapwater_schema!G$66*60,Afleiding_Tapwater_schema!G$94,FALSE)*Afleiding_Tapwater_schema!G$95/K$4 + _xlfn.NORM.DIST(A145,1415,Afleiding_Tapwater_schema!G$94,FALSE)*Afleiding_Tapwater_schema!G$95/K$4</f>
        <v>6.5386000474103358E-37</v>
      </c>
      <c r="F145">
        <v>2000</v>
      </c>
      <c r="G145" s="13">
        <f t="shared" si="17"/>
        <v>17553.041960784314</v>
      </c>
      <c r="H145" s="13">
        <f t="shared" si="18"/>
        <v>37.848509113788161</v>
      </c>
      <c r="I145" s="27">
        <f>G145/((Afleiding_Tapwater_schema!D$4*1000)*(E$4-H145))</f>
        <v>1.3042235886969258E-4</v>
      </c>
      <c r="J145" s="27">
        <f t="shared" si="19"/>
        <v>7.8253415321815547</v>
      </c>
      <c r="K145">
        <f t="shared" si="20"/>
        <v>17.553041960784313</v>
      </c>
    </row>
    <row r="146" spans="1:11" x14ac:dyDescent="0.25">
      <c r="A146">
        <f t="shared" si="21"/>
        <v>700</v>
      </c>
      <c r="B146">
        <f t="shared" si="15"/>
        <v>42000</v>
      </c>
      <c r="C146">
        <f t="shared" si="16"/>
        <v>11.666666666666666</v>
      </c>
      <c r="D146">
        <f>IF(OR(A146&lt;420,A146&gt;1440),0,Afleiding_Tapwater_schema!G$96)</f>
        <v>15553.041960784316</v>
      </c>
      <c r="E146" s="13">
        <f>_xlfn.NORM.DIST(A146,-30,Afleiding_Tapwater_schema!G$94,FALSE)*Afleiding_Tapwater_schema!G$95/K$4 + _xlfn.NORM.DIST(A146,Afleiding_Tapwater_schema!G$66*60,Afleiding_Tapwater_schema!G$94,FALSE)*Afleiding_Tapwater_schema!G$95/K$4 + _xlfn.NORM.DIST(A146,1415,Afleiding_Tapwater_schema!G$94,FALSE)*Afleiding_Tapwater_schema!G$95/K$4</f>
        <v>2.0371630444917328E-38</v>
      </c>
      <c r="F146">
        <v>2000</v>
      </c>
      <c r="G146" s="13">
        <f t="shared" si="17"/>
        <v>17553.041960784314</v>
      </c>
      <c r="H146" s="13">
        <f t="shared" si="18"/>
        <v>37.848509113788161</v>
      </c>
      <c r="I146" s="27">
        <f>G146/((Afleiding_Tapwater_schema!D$4*1000)*(E$4-H146))</f>
        <v>1.3042235886969258E-4</v>
      </c>
      <c r="J146" s="27">
        <f t="shared" si="19"/>
        <v>7.8253415321815547</v>
      </c>
      <c r="K146">
        <f t="shared" si="20"/>
        <v>17.553041960784313</v>
      </c>
    </row>
    <row r="147" spans="1:11" x14ac:dyDescent="0.25">
      <c r="A147">
        <f t="shared" si="21"/>
        <v>705</v>
      </c>
      <c r="B147">
        <f t="shared" si="15"/>
        <v>42300</v>
      </c>
      <c r="C147">
        <f t="shared" si="16"/>
        <v>11.75</v>
      </c>
      <c r="D147">
        <f>IF(OR(A147&lt;420,A147&gt;1440),0,Afleiding_Tapwater_schema!G$96)</f>
        <v>15553.041960784316</v>
      </c>
      <c r="E147" s="13">
        <f>_xlfn.NORM.DIST(A147,-30,Afleiding_Tapwater_schema!G$94,FALSE)*Afleiding_Tapwater_schema!G$95/K$4 + _xlfn.NORM.DIST(A147,Afleiding_Tapwater_schema!G$66*60,Afleiding_Tapwater_schema!G$94,FALSE)*Afleiding_Tapwater_schema!G$95/K$4 + _xlfn.NORM.DIST(A147,1415,Afleiding_Tapwater_schema!G$94,FALSE)*Afleiding_Tapwater_schema!G$95/K$4</f>
        <v>5.962431463207391E-40</v>
      </c>
      <c r="F147">
        <v>2000</v>
      </c>
      <c r="G147" s="13">
        <f t="shared" si="17"/>
        <v>17553.041960784314</v>
      </c>
      <c r="H147" s="13">
        <f t="shared" si="18"/>
        <v>37.848509113788161</v>
      </c>
      <c r="I147" s="27">
        <f>G147/((Afleiding_Tapwater_schema!D$4*1000)*(E$4-H147))</f>
        <v>1.3042235886969258E-4</v>
      </c>
      <c r="J147" s="27">
        <f t="shared" si="19"/>
        <v>7.8253415321815547</v>
      </c>
      <c r="K147">
        <f t="shared" si="20"/>
        <v>17.553041960784313</v>
      </c>
    </row>
    <row r="148" spans="1:11" x14ac:dyDescent="0.25">
      <c r="A148">
        <f t="shared" si="21"/>
        <v>710</v>
      </c>
      <c r="B148">
        <f t="shared" si="15"/>
        <v>42600</v>
      </c>
      <c r="C148">
        <f t="shared" si="16"/>
        <v>11.833333333333334</v>
      </c>
      <c r="D148">
        <f>IF(OR(A148&lt;420,A148&gt;1440),0,Afleiding_Tapwater_schema!G$96)</f>
        <v>15553.041960784316</v>
      </c>
      <c r="E148" s="13">
        <f>_xlfn.NORM.DIST(A148,-30,Afleiding_Tapwater_schema!G$94,FALSE)*Afleiding_Tapwater_schema!G$95/K$4 + _xlfn.NORM.DIST(A148,Afleiding_Tapwater_schema!G$66*60,Afleiding_Tapwater_schema!G$94,FALSE)*Afleiding_Tapwater_schema!G$95/K$4 + _xlfn.NORM.DIST(A148,1415,Afleiding_Tapwater_schema!G$94,FALSE)*Afleiding_Tapwater_schema!G$95/K$4</f>
        <v>1.6393723489084539E-41</v>
      </c>
      <c r="F148">
        <v>2000</v>
      </c>
      <c r="G148" s="13">
        <f t="shared" si="17"/>
        <v>17553.041960784314</v>
      </c>
      <c r="H148" s="13">
        <f t="shared" si="18"/>
        <v>37.848509113788161</v>
      </c>
      <c r="I148" s="27">
        <f>G148/((Afleiding_Tapwater_schema!D$4*1000)*(E$4-H148))</f>
        <v>1.3042235886969258E-4</v>
      </c>
      <c r="J148" s="27">
        <f t="shared" si="19"/>
        <v>7.8253415321815547</v>
      </c>
      <c r="K148">
        <f t="shared" si="20"/>
        <v>17.553041960784313</v>
      </c>
    </row>
    <row r="149" spans="1:11" x14ac:dyDescent="0.25">
      <c r="A149">
        <f t="shared" si="21"/>
        <v>715</v>
      </c>
      <c r="B149">
        <f t="shared" si="15"/>
        <v>42900</v>
      </c>
      <c r="C149">
        <f t="shared" si="16"/>
        <v>11.916666666666666</v>
      </c>
      <c r="D149">
        <f>IF(OR(A149&lt;420,A149&gt;1440),0,Afleiding_Tapwater_schema!G$96)</f>
        <v>15553.041960784316</v>
      </c>
      <c r="E149" s="13">
        <f>_xlfn.NORM.DIST(A149,-30,Afleiding_Tapwater_schema!G$94,FALSE)*Afleiding_Tapwater_schema!G$95/K$4 + _xlfn.NORM.DIST(A149,Afleiding_Tapwater_schema!G$66*60,Afleiding_Tapwater_schema!G$94,FALSE)*Afleiding_Tapwater_schema!G$95/K$4 + _xlfn.NORM.DIST(A149,1415,Afleiding_Tapwater_schema!G$94,FALSE)*Afleiding_Tapwater_schema!G$95/K$4</f>
        <v>4.2343661203988941E-43</v>
      </c>
      <c r="F149">
        <v>2000</v>
      </c>
      <c r="G149" s="13">
        <f t="shared" si="17"/>
        <v>17553.041960784314</v>
      </c>
      <c r="H149" s="13">
        <f t="shared" si="18"/>
        <v>37.848509113788161</v>
      </c>
      <c r="I149" s="27">
        <f>G149/((Afleiding_Tapwater_schema!D$4*1000)*(E$4-H149))</f>
        <v>1.3042235886969258E-4</v>
      </c>
      <c r="J149" s="27">
        <f t="shared" si="19"/>
        <v>7.8253415321815547</v>
      </c>
      <c r="K149">
        <f t="shared" si="20"/>
        <v>17.553041960784313</v>
      </c>
    </row>
    <row r="150" spans="1:11" x14ac:dyDescent="0.25">
      <c r="A150">
        <f t="shared" si="21"/>
        <v>720</v>
      </c>
      <c r="B150">
        <f t="shared" si="15"/>
        <v>43200</v>
      </c>
      <c r="C150">
        <f t="shared" si="16"/>
        <v>12</v>
      </c>
      <c r="D150">
        <f>IF(OR(A150&lt;420,A150&gt;1440),0,Afleiding_Tapwater_schema!G$96)</f>
        <v>15553.041960784316</v>
      </c>
      <c r="E150" s="13">
        <f>_xlfn.NORM.DIST(A150,-30,Afleiding_Tapwater_schema!G$94,FALSE)*Afleiding_Tapwater_schema!G$95/K$4 + _xlfn.NORM.DIST(A150,Afleiding_Tapwater_schema!G$66*60,Afleiding_Tapwater_schema!G$94,FALSE)*Afleiding_Tapwater_schema!G$95/K$4 + _xlfn.NORM.DIST(A150,1415,Afleiding_Tapwater_schema!G$94,FALSE)*Afleiding_Tapwater_schema!G$95/K$4</f>
        <v>1.0274384197590879E-44</v>
      </c>
      <c r="F150">
        <v>2000</v>
      </c>
      <c r="G150" s="13">
        <f t="shared" si="17"/>
        <v>17553.041960784314</v>
      </c>
      <c r="H150" s="13">
        <f t="shared" si="18"/>
        <v>37.848509113788161</v>
      </c>
      <c r="I150" s="27">
        <f>G150/((Afleiding_Tapwater_schema!D$4*1000)*(E$4-H150))</f>
        <v>1.3042235886969258E-4</v>
      </c>
      <c r="J150" s="27">
        <f t="shared" si="19"/>
        <v>7.8253415321815547</v>
      </c>
      <c r="K150">
        <f t="shared" si="20"/>
        <v>17.553041960784313</v>
      </c>
    </row>
    <row r="151" spans="1:11" x14ac:dyDescent="0.25">
      <c r="A151">
        <f t="shared" si="21"/>
        <v>725</v>
      </c>
      <c r="B151">
        <f t="shared" si="15"/>
        <v>43500</v>
      </c>
      <c r="C151">
        <f t="shared" si="16"/>
        <v>12.083333333333334</v>
      </c>
      <c r="D151">
        <f>IF(OR(A151&lt;420,A151&gt;1440),0,Afleiding_Tapwater_schema!G$96)</f>
        <v>15553.041960784316</v>
      </c>
      <c r="E151" s="13">
        <f>_xlfn.NORM.DIST(A151,-30,Afleiding_Tapwater_schema!G$94,FALSE)*Afleiding_Tapwater_schema!G$95/K$4 + _xlfn.NORM.DIST(A151,Afleiding_Tapwater_schema!G$66*60,Afleiding_Tapwater_schema!G$94,FALSE)*Afleiding_Tapwater_schema!G$95/K$4 + _xlfn.NORM.DIST(A151,1415,Afleiding_Tapwater_schema!G$94,FALSE)*Afleiding_Tapwater_schema!G$95/K$4</f>
        <v>2.3419617186761482E-46</v>
      </c>
      <c r="F151">
        <v>2000</v>
      </c>
      <c r="G151" s="13">
        <f t="shared" si="17"/>
        <v>17553.041960784314</v>
      </c>
      <c r="H151" s="13">
        <f t="shared" si="18"/>
        <v>37.848509113788161</v>
      </c>
      <c r="I151" s="27">
        <f>G151/((Afleiding_Tapwater_schema!D$4*1000)*(E$4-H151))</f>
        <v>1.3042235886969258E-4</v>
      </c>
      <c r="J151" s="27">
        <f t="shared" si="19"/>
        <v>7.8253415321815547</v>
      </c>
      <c r="K151">
        <f t="shared" si="20"/>
        <v>17.553041960784313</v>
      </c>
    </row>
    <row r="152" spans="1:11" x14ac:dyDescent="0.25">
      <c r="A152">
        <f t="shared" si="21"/>
        <v>730</v>
      </c>
      <c r="B152">
        <f t="shared" si="15"/>
        <v>43800</v>
      </c>
      <c r="C152">
        <f t="shared" si="16"/>
        <v>12.166666666666666</v>
      </c>
      <c r="D152">
        <f>IF(OR(A152&lt;420,A152&gt;1440),0,Afleiding_Tapwater_schema!G$96)</f>
        <v>15553.041960784316</v>
      </c>
      <c r="E152" s="13">
        <f>_xlfn.NORM.DIST(A152,-30,Afleiding_Tapwater_schema!G$94,FALSE)*Afleiding_Tapwater_schema!G$95/K$4 + _xlfn.NORM.DIST(A152,Afleiding_Tapwater_schema!G$66*60,Afleiding_Tapwater_schema!G$94,FALSE)*Afleiding_Tapwater_schema!G$95/K$4 + _xlfn.NORM.DIST(A152,1415,Afleiding_Tapwater_schema!G$94,FALSE)*Afleiding_Tapwater_schema!G$95/K$4</f>
        <v>5.0148780569762475E-48</v>
      </c>
      <c r="F152">
        <v>2000</v>
      </c>
      <c r="G152" s="13">
        <f t="shared" si="17"/>
        <v>17553.041960784314</v>
      </c>
      <c r="H152" s="13">
        <f t="shared" si="18"/>
        <v>37.848509113788161</v>
      </c>
      <c r="I152" s="27">
        <f>G152/((Afleiding_Tapwater_schema!D$4*1000)*(E$4-H152))</f>
        <v>1.3042235886969258E-4</v>
      </c>
      <c r="J152" s="27">
        <f t="shared" si="19"/>
        <v>7.8253415321815547</v>
      </c>
      <c r="K152">
        <f t="shared" si="20"/>
        <v>17.553041960784313</v>
      </c>
    </row>
    <row r="153" spans="1:11" x14ac:dyDescent="0.25">
      <c r="A153">
        <f t="shared" si="21"/>
        <v>735</v>
      </c>
      <c r="B153">
        <f t="shared" si="15"/>
        <v>44100</v>
      </c>
      <c r="C153">
        <f t="shared" si="16"/>
        <v>12.25</v>
      </c>
      <c r="D153">
        <f>IF(OR(A153&lt;420,A153&gt;1440),0,Afleiding_Tapwater_schema!G$96)</f>
        <v>15553.041960784316</v>
      </c>
      <c r="E153" s="13">
        <f>_xlfn.NORM.DIST(A153,-30,Afleiding_Tapwater_schema!G$94,FALSE)*Afleiding_Tapwater_schema!G$95/K$4 + _xlfn.NORM.DIST(A153,Afleiding_Tapwater_schema!G$66*60,Afleiding_Tapwater_schema!G$94,FALSE)*Afleiding_Tapwater_schema!G$95/K$4 + _xlfn.NORM.DIST(A153,1415,Afleiding_Tapwater_schema!G$94,FALSE)*Afleiding_Tapwater_schema!G$95/K$4</f>
        <v>1.0087825406335679E-49</v>
      </c>
      <c r="F153">
        <v>2000</v>
      </c>
      <c r="G153" s="13">
        <f t="shared" si="17"/>
        <v>17553.041960784314</v>
      </c>
      <c r="H153" s="13">
        <f t="shared" si="18"/>
        <v>37.848509113788161</v>
      </c>
      <c r="I153" s="27">
        <f>G153/((Afleiding_Tapwater_schema!D$4*1000)*(E$4-H153))</f>
        <v>1.3042235886969258E-4</v>
      </c>
      <c r="J153" s="27">
        <f t="shared" si="19"/>
        <v>7.8253415321815547</v>
      </c>
      <c r="K153">
        <f t="shared" si="20"/>
        <v>17.553041960784313</v>
      </c>
    </row>
    <row r="154" spans="1:11" x14ac:dyDescent="0.25">
      <c r="A154">
        <f t="shared" si="21"/>
        <v>740</v>
      </c>
      <c r="B154">
        <f t="shared" si="15"/>
        <v>44400</v>
      </c>
      <c r="C154">
        <f t="shared" si="16"/>
        <v>12.333333333333334</v>
      </c>
      <c r="D154">
        <f>IF(OR(A154&lt;420,A154&gt;1440),0,Afleiding_Tapwater_schema!G$96)</f>
        <v>15553.041960784316</v>
      </c>
      <c r="E154" s="13">
        <f>_xlfn.NORM.DIST(A154,-30,Afleiding_Tapwater_schema!G$94,FALSE)*Afleiding_Tapwater_schema!G$95/K$4 + _xlfn.NORM.DIST(A154,Afleiding_Tapwater_schema!G$66*60,Afleiding_Tapwater_schema!G$94,FALSE)*Afleiding_Tapwater_schema!G$95/K$4 + _xlfn.NORM.DIST(A154,1415,Afleiding_Tapwater_schema!G$94,FALSE)*Afleiding_Tapwater_schema!G$95/K$4</f>
        <v>1.9063003696408217E-51</v>
      </c>
      <c r="F154">
        <v>2000</v>
      </c>
      <c r="G154" s="13">
        <f t="shared" si="17"/>
        <v>17553.041960784314</v>
      </c>
      <c r="H154" s="13">
        <f t="shared" si="18"/>
        <v>37.848509113788161</v>
      </c>
      <c r="I154" s="27">
        <f>G154/((Afleiding_Tapwater_schema!D$4*1000)*(E$4-H154))</f>
        <v>1.3042235886969258E-4</v>
      </c>
      <c r="J154" s="27">
        <f t="shared" si="19"/>
        <v>7.8253415321815547</v>
      </c>
      <c r="K154">
        <f t="shared" si="20"/>
        <v>17.553041960784313</v>
      </c>
    </row>
    <row r="155" spans="1:11" x14ac:dyDescent="0.25">
      <c r="A155">
        <f t="shared" si="21"/>
        <v>745</v>
      </c>
      <c r="B155">
        <f t="shared" si="15"/>
        <v>44700</v>
      </c>
      <c r="C155">
        <f t="shared" si="16"/>
        <v>12.416666666666666</v>
      </c>
      <c r="D155">
        <f>IF(OR(A155&lt;420,A155&gt;1440),0,Afleiding_Tapwater_schema!G$96)</f>
        <v>15553.041960784316</v>
      </c>
      <c r="E155" s="13">
        <f>_xlfn.NORM.DIST(A155,-30,Afleiding_Tapwater_schema!G$94,FALSE)*Afleiding_Tapwater_schema!G$95/K$4 + _xlfn.NORM.DIST(A155,Afleiding_Tapwater_schema!G$66*60,Afleiding_Tapwater_schema!G$94,FALSE)*Afleiding_Tapwater_schema!G$95/K$4 + _xlfn.NORM.DIST(A155,1415,Afleiding_Tapwater_schema!G$94,FALSE)*Afleiding_Tapwater_schema!G$95/K$4</f>
        <v>3.3840884206310904E-53</v>
      </c>
      <c r="F155">
        <v>2000</v>
      </c>
      <c r="G155" s="13">
        <f t="shared" si="17"/>
        <v>17553.041960784314</v>
      </c>
      <c r="H155" s="13">
        <f t="shared" si="18"/>
        <v>37.848509113788161</v>
      </c>
      <c r="I155" s="27">
        <f>G155/((Afleiding_Tapwater_schema!D$4*1000)*(E$4-H155))</f>
        <v>1.3042235886969258E-4</v>
      </c>
      <c r="J155" s="27">
        <f t="shared" si="19"/>
        <v>7.8253415321815547</v>
      </c>
      <c r="K155">
        <f t="shared" si="20"/>
        <v>17.553041960784313</v>
      </c>
    </row>
    <row r="156" spans="1:11" x14ac:dyDescent="0.25">
      <c r="A156">
        <f t="shared" si="21"/>
        <v>750</v>
      </c>
      <c r="B156">
        <f t="shared" si="15"/>
        <v>45000</v>
      </c>
      <c r="C156">
        <f t="shared" si="16"/>
        <v>12.5</v>
      </c>
      <c r="D156">
        <f>IF(OR(A156&lt;420,A156&gt;1440),0,Afleiding_Tapwater_schema!G$96)</f>
        <v>15553.041960784316</v>
      </c>
      <c r="E156" s="13">
        <f>_xlfn.NORM.DIST(A156,-30,Afleiding_Tapwater_schema!G$94,FALSE)*Afleiding_Tapwater_schema!G$95/K$4 + _xlfn.NORM.DIST(A156,Afleiding_Tapwater_schema!G$66*60,Afleiding_Tapwater_schema!G$94,FALSE)*Afleiding_Tapwater_schema!G$95/K$4 + _xlfn.NORM.DIST(A156,1415,Afleiding_Tapwater_schema!G$94,FALSE)*Afleiding_Tapwater_schema!G$95/K$4</f>
        <v>5.6435017833760066E-55</v>
      </c>
      <c r="F156">
        <v>2000</v>
      </c>
      <c r="G156" s="13">
        <f t="shared" si="17"/>
        <v>17553.041960784314</v>
      </c>
      <c r="H156" s="13">
        <f t="shared" si="18"/>
        <v>37.848509113788161</v>
      </c>
      <c r="I156" s="27">
        <f>G156/((Afleiding_Tapwater_schema!D$4*1000)*(E$4-H156))</f>
        <v>1.3042235886969258E-4</v>
      </c>
      <c r="J156" s="27">
        <f t="shared" si="19"/>
        <v>7.8253415321815547</v>
      </c>
      <c r="K156">
        <f t="shared" si="20"/>
        <v>17.553041960784313</v>
      </c>
    </row>
    <row r="157" spans="1:11" x14ac:dyDescent="0.25">
      <c r="A157">
        <f t="shared" si="21"/>
        <v>755</v>
      </c>
      <c r="B157">
        <f t="shared" si="15"/>
        <v>45300</v>
      </c>
      <c r="C157">
        <f t="shared" si="16"/>
        <v>12.583333333333334</v>
      </c>
      <c r="D157">
        <f>IF(OR(A157&lt;420,A157&gt;1440),0,Afleiding_Tapwater_schema!G$96)</f>
        <v>15553.041960784316</v>
      </c>
      <c r="E157" s="13">
        <f>_xlfn.NORM.DIST(A157,-30,Afleiding_Tapwater_schema!G$94,FALSE)*Afleiding_Tapwater_schema!G$95/K$4 + _xlfn.NORM.DIST(A157,Afleiding_Tapwater_schema!G$66*60,Afleiding_Tapwater_schema!G$94,FALSE)*Afleiding_Tapwater_schema!G$95/K$4 + _xlfn.NORM.DIST(A157,1415,Afleiding_Tapwater_schema!G$94,FALSE)*Afleiding_Tapwater_schema!G$95/K$4</f>
        <v>8.8412205855535725E-57</v>
      </c>
      <c r="F157">
        <v>2000</v>
      </c>
      <c r="G157" s="13">
        <f t="shared" si="17"/>
        <v>17553.041960784314</v>
      </c>
      <c r="H157" s="13">
        <f t="shared" si="18"/>
        <v>37.848509113788161</v>
      </c>
      <c r="I157" s="27">
        <f>G157/((Afleiding_Tapwater_schema!D$4*1000)*(E$4-H157))</f>
        <v>1.3042235886969258E-4</v>
      </c>
      <c r="J157" s="27">
        <f t="shared" si="19"/>
        <v>7.8253415321815547</v>
      </c>
      <c r="K157">
        <f t="shared" si="20"/>
        <v>17.553041960784313</v>
      </c>
    </row>
    <row r="158" spans="1:11" x14ac:dyDescent="0.25">
      <c r="A158">
        <f t="shared" si="21"/>
        <v>760</v>
      </c>
      <c r="B158">
        <f t="shared" si="15"/>
        <v>45600</v>
      </c>
      <c r="C158">
        <f t="shared" si="16"/>
        <v>12.666666666666666</v>
      </c>
      <c r="D158">
        <f>IF(OR(A158&lt;420,A158&gt;1440),0,Afleiding_Tapwater_schema!G$96)</f>
        <v>15553.041960784316</v>
      </c>
      <c r="E158" s="13">
        <f>_xlfn.NORM.DIST(A158,-30,Afleiding_Tapwater_schema!G$94,FALSE)*Afleiding_Tapwater_schema!G$95/K$4 + _xlfn.NORM.DIST(A158,Afleiding_Tapwater_schema!G$66*60,Afleiding_Tapwater_schema!G$94,FALSE)*Afleiding_Tapwater_schema!G$95/K$4 + _xlfn.NORM.DIST(A158,1415,Afleiding_Tapwater_schema!G$94,FALSE)*Afleiding_Tapwater_schema!G$95/K$4</f>
        <v>1.3011650239328804E-58</v>
      </c>
      <c r="F158">
        <v>2000</v>
      </c>
      <c r="G158" s="13">
        <f t="shared" si="17"/>
        <v>17553.041960784314</v>
      </c>
      <c r="H158" s="13">
        <f t="shared" si="18"/>
        <v>37.848509113788161</v>
      </c>
      <c r="I158" s="27">
        <f>G158/((Afleiding_Tapwater_schema!D$4*1000)*(E$4-H158))</f>
        <v>1.3042235886969258E-4</v>
      </c>
      <c r="J158" s="27">
        <f t="shared" si="19"/>
        <v>7.8253415321815547</v>
      </c>
      <c r="K158">
        <f t="shared" si="20"/>
        <v>17.553041960784313</v>
      </c>
    </row>
    <row r="159" spans="1:11" x14ac:dyDescent="0.25">
      <c r="A159">
        <f t="shared" si="21"/>
        <v>765</v>
      </c>
      <c r="B159">
        <f t="shared" si="15"/>
        <v>45900</v>
      </c>
      <c r="C159">
        <f t="shared" si="16"/>
        <v>12.75</v>
      </c>
      <c r="D159">
        <f>IF(OR(A159&lt;420,A159&gt;1440),0,Afleiding_Tapwater_schema!G$96)</f>
        <v>15553.041960784316</v>
      </c>
      <c r="E159" s="13">
        <f>_xlfn.NORM.DIST(A159,-30,Afleiding_Tapwater_schema!G$94,FALSE)*Afleiding_Tapwater_schema!G$95/K$4 + _xlfn.NORM.DIST(A159,Afleiding_Tapwater_schema!G$66*60,Afleiding_Tapwater_schema!G$94,FALSE)*Afleiding_Tapwater_schema!G$95/K$4 + _xlfn.NORM.DIST(A159,1415,Afleiding_Tapwater_schema!G$94,FALSE)*Afleiding_Tapwater_schema!G$95/K$4</f>
        <v>1.7989087326059183E-60</v>
      </c>
      <c r="F159">
        <v>2000</v>
      </c>
      <c r="G159" s="13">
        <f t="shared" si="17"/>
        <v>17553.041960784314</v>
      </c>
      <c r="H159" s="13">
        <f t="shared" si="18"/>
        <v>37.848509113788161</v>
      </c>
      <c r="I159" s="27">
        <f>G159/((Afleiding_Tapwater_schema!D$4*1000)*(E$4-H159))</f>
        <v>1.3042235886969258E-4</v>
      </c>
      <c r="J159" s="27">
        <f t="shared" si="19"/>
        <v>7.8253415321815547</v>
      </c>
      <c r="K159">
        <f t="shared" si="20"/>
        <v>17.553041960784313</v>
      </c>
    </row>
    <row r="160" spans="1:11" x14ac:dyDescent="0.25">
      <c r="A160">
        <f t="shared" si="21"/>
        <v>770</v>
      </c>
      <c r="B160">
        <f t="shared" si="15"/>
        <v>46200</v>
      </c>
      <c r="C160">
        <f t="shared" si="16"/>
        <v>12.833333333333334</v>
      </c>
      <c r="D160">
        <f>IF(OR(A160&lt;420,A160&gt;1440),0,Afleiding_Tapwater_schema!G$96)</f>
        <v>15553.041960784316</v>
      </c>
      <c r="E160" s="13">
        <f>_xlfn.NORM.DIST(A160,-30,Afleiding_Tapwater_schema!G$94,FALSE)*Afleiding_Tapwater_schema!G$95/K$4 + _xlfn.NORM.DIST(A160,Afleiding_Tapwater_schema!G$66*60,Afleiding_Tapwater_schema!G$94,FALSE)*Afleiding_Tapwater_schema!G$95/K$4 + _xlfn.NORM.DIST(A160,1415,Afleiding_Tapwater_schema!G$94,FALSE)*Afleiding_Tapwater_schema!G$95/K$4</f>
        <v>2.3363745899029684E-62</v>
      </c>
      <c r="F160">
        <v>2000</v>
      </c>
      <c r="G160" s="13">
        <f t="shared" si="17"/>
        <v>17553.041960784314</v>
      </c>
      <c r="H160" s="13">
        <f t="shared" si="18"/>
        <v>37.848509113788161</v>
      </c>
      <c r="I160" s="27">
        <f>G160/((Afleiding_Tapwater_schema!D$4*1000)*(E$4-H160))</f>
        <v>1.3042235886969258E-4</v>
      </c>
      <c r="J160" s="27">
        <f t="shared" si="19"/>
        <v>7.8253415321815547</v>
      </c>
      <c r="K160">
        <f t="shared" si="20"/>
        <v>17.553041960784313</v>
      </c>
    </row>
    <row r="161" spans="1:11" x14ac:dyDescent="0.25">
      <c r="A161">
        <f t="shared" si="21"/>
        <v>775</v>
      </c>
      <c r="B161">
        <f t="shared" si="15"/>
        <v>46500</v>
      </c>
      <c r="C161">
        <f t="shared" si="16"/>
        <v>12.916666666666666</v>
      </c>
      <c r="D161">
        <f>IF(OR(A161&lt;420,A161&gt;1440),0,Afleiding_Tapwater_schema!G$96)</f>
        <v>15553.041960784316</v>
      </c>
      <c r="E161" s="13">
        <f>_xlfn.NORM.DIST(A161,-30,Afleiding_Tapwater_schema!G$94,FALSE)*Afleiding_Tapwater_schema!G$95/K$4 + _xlfn.NORM.DIST(A161,Afleiding_Tapwater_schema!G$66*60,Afleiding_Tapwater_schema!G$94,FALSE)*Afleiding_Tapwater_schema!G$95/K$4 + _xlfn.NORM.DIST(A161,1415,Afleiding_Tapwater_schema!G$94,FALSE)*Afleiding_Tapwater_schema!G$95/K$4</f>
        <v>2.8505746153103038E-64</v>
      </c>
      <c r="F161">
        <v>2000</v>
      </c>
      <c r="G161" s="13">
        <f t="shared" si="17"/>
        <v>17553.041960784314</v>
      </c>
      <c r="H161" s="13">
        <f t="shared" si="18"/>
        <v>37.848509113788161</v>
      </c>
      <c r="I161" s="27">
        <f>G161/((Afleiding_Tapwater_schema!D$4*1000)*(E$4-H161))</f>
        <v>1.3042235886969258E-4</v>
      </c>
      <c r="J161" s="27">
        <f t="shared" si="19"/>
        <v>7.8253415321815547</v>
      </c>
      <c r="K161">
        <f t="shared" si="20"/>
        <v>17.553041960784313</v>
      </c>
    </row>
    <row r="162" spans="1:11" x14ac:dyDescent="0.25">
      <c r="A162">
        <f t="shared" si="21"/>
        <v>780</v>
      </c>
      <c r="B162">
        <f t="shared" si="15"/>
        <v>46800</v>
      </c>
      <c r="C162">
        <f t="shared" si="16"/>
        <v>13</v>
      </c>
      <c r="D162">
        <f>IF(OR(A162&lt;420,A162&gt;1440),0,Afleiding_Tapwater_schema!G$96)</f>
        <v>15553.041960784316</v>
      </c>
      <c r="E162" s="13">
        <f>_xlfn.NORM.DIST(A162,-30,Afleiding_Tapwater_schema!G$94,FALSE)*Afleiding_Tapwater_schema!G$95/K$4 + _xlfn.NORM.DIST(A162,Afleiding_Tapwater_schema!G$66*60,Afleiding_Tapwater_schema!G$94,FALSE)*Afleiding_Tapwater_schema!G$95/K$4 + _xlfn.NORM.DIST(A162,1415,Afleiding_Tapwater_schema!G$94,FALSE)*Afleiding_Tapwater_schema!G$95/K$4</f>
        <v>3.2672242765790607E-66</v>
      </c>
      <c r="F162">
        <v>2000</v>
      </c>
      <c r="G162" s="13">
        <f t="shared" si="17"/>
        <v>17553.041960784314</v>
      </c>
      <c r="H162" s="13">
        <f t="shared" si="18"/>
        <v>37.848509113788161</v>
      </c>
      <c r="I162" s="27">
        <f>G162/((Afleiding_Tapwater_schema!D$4*1000)*(E$4-H162))</f>
        <v>1.3042235886969258E-4</v>
      </c>
      <c r="J162" s="27">
        <f t="shared" si="19"/>
        <v>7.8253415321815547</v>
      </c>
      <c r="K162">
        <f t="shared" si="20"/>
        <v>17.553041960784313</v>
      </c>
    </row>
    <row r="163" spans="1:11" x14ac:dyDescent="0.25">
      <c r="A163">
        <f t="shared" si="21"/>
        <v>785</v>
      </c>
      <c r="B163">
        <f t="shared" si="15"/>
        <v>47100</v>
      </c>
      <c r="C163">
        <f t="shared" si="16"/>
        <v>13.083333333333334</v>
      </c>
      <c r="D163">
        <f>IF(OR(A163&lt;420,A163&gt;1440),0,Afleiding_Tapwater_schema!G$96)</f>
        <v>15553.041960784316</v>
      </c>
      <c r="E163" s="13">
        <f>_xlfn.NORM.DIST(A163,-30,Afleiding_Tapwater_schema!G$94,FALSE)*Afleiding_Tapwater_schema!G$95/K$4 + _xlfn.NORM.DIST(A163,Afleiding_Tapwater_schema!G$66*60,Afleiding_Tapwater_schema!G$94,FALSE)*Afleiding_Tapwater_schema!G$95/K$4 + _xlfn.NORM.DIST(A163,1415,Afleiding_Tapwater_schema!G$94,FALSE)*Afleiding_Tapwater_schema!G$95/K$4</f>
        <v>3.5178885480990657E-68</v>
      </c>
      <c r="F163">
        <v>2000</v>
      </c>
      <c r="G163" s="13">
        <f t="shared" si="17"/>
        <v>17553.041960784314</v>
      </c>
      <c r="H163" s="13">
        <f t="shared" si="18"/>
        <v>37.848509113788161</v>
      </c>
      <c r="I163" s="27">
        <f>G163/((Afleiding_Tapwater_schema!D$4*1000)*(E$4-H163))</f>
        <v>1.3042235886969258E-4</v>
      </c>
      <c r="J163" s="27">
        <f t="shared" si="19"/>
        <v>7.8253415321815547</v>
      </c>
      <c r="K163">
        <f t="shared" si="20"/>
        <v>17.553041960784313</v>
      </c>
    </row>
    <row r="164" spans="1:11" x14ac:dyDescent="0.25">
      <c r="A164">
        <f t="shared" si="21"/>
        <v>790</v>
      </c>
      <c r="B164">
        <f t="shared" si="15"/>
        <v>47400</v>
      </c>
      <c r="C164">
        <f t="shared" si="16"/>
        <v>13.166666666666666</v>
      </c>
      <c r="D164">
        <f>IF(OR(A164&lt;420,A164&gt;1440),0,Afleiding_Tapwater_schema!G$96)</f>
        <v>15553.041960784316</v>
      </c>
      <c r="E164" s="13">
        <f>_xlfn.NORM.DIST(A164,-30,Afleiding_Tapwater_schema!G$94,FALSE)*Afleiding_Tapwater_schema!G$95/K$4 + _xlfn.NORM.DIST(A164,Afleiding_Tapwater_schema!G$66*60,Afleiding_Tapwater_schema!G$94,FALSE)*Afleiding_Tapwater_schema!G$95/K$4 + _xlfn.NORM.DIST(A164,1415,Afleiding_Tapwater_schema!G$94,FALSE)*Afleiding_Tapwater_schema!G$95/K$4</f>
        <v>3.5582937680283487E-70</v>
      </c>
      <c r="F164">
        <v>2000</v>
      </c>
      <c r="G164" s="13">
        <f t="shared" si="17"/>
        <v>17553.041960784314</v>
      </c>
      <c r="H164" s="13">
        <f t="shared" si="18"/>
        <v>37.848509113788161</v>
      </c>
      <c r="I164" s="27">
        <f>G164/((Afleiding_Tapwater_schema!D$4*1000)*(E$4-H164))</f>
        <v>1.3042235886969258E-4</v>
      </c>
      <c r="J164" s="27">
        <f t="shared" si="19"/>
        <v>7.8253415321815547</v>
      </c>
      <c r="K164">
        <f t="shared" si="20"/>
        <v>17.553041960784313</v>
      </c>
    </row>
    <row r="165" spans="1:11" x14ac:dyDescent="0.25">
      <c r="A165">
        <f t="shared" si="21"/>
        <v>795</v>
      </c>
      <c r="B165">
        <f t="shared" si="15"/>
        <v>47700</v>
      </c>
      <c r="C165">
        <f t="shared" si="16"/>
        <v>13.25</v>
      </c>
      <c r="D165">
        <f>IF(OR(A165&lt;420,A165&gt;1440),0,Afleiding_Tapwater_schema!G$96)</f>
        <v>15553.041960784316</v>
      </c>
      <c r="E165" s="13">
        <f>_xlfn.NORM.DIST(A165,-30,Afleiding_Tapwater_schema!G$94,FALSE)*Afleiding_Tapwater_schema!G$95/K$4 + _xlfn.NORM.DIST(A165,Afleiding_Tapwater_schema!G$66*60,Afleiding_Tapwater_schema!G$94,FALSE)*Afleiding_Tapwater_schema!G$95/K$4 + _xlfn.NORM.DIST(A165,1415,Afleiding_Tapwater_schema!G$94,FALSE)*Afleiding_Tapwater_schema!G$95/K$4</f>
        <v>3.3811008012566234E-72</v>
      </c>
      <c r="F165">
        <v>2000</v>
      </c>
      <c r="G165" s="13">
        <f t="shared" si="17"/>
        <v>17553.041960784314</v>
      </c>
      <c r="H165" s="13">
        <f t="shared" si="18"/>
        <v>37.848509113788161</v>
      </c>
      <c r="I165" s="27">
        <f>G165/((Afleiding_Tapwater_schema!D$4*1000)*(E$4-H165))</f>
        <v>1.3042235886969258E-4</v>
      </c>
      <c r="J165" s="27">
        <f t="shared" si="19"/>
        <v>7.8253415321815547</v>
      </c>
      <c r="K165">
        <f t="shared" si="20"/>
        <v>17.553041960784313</v>
      </c>
    </row>
    <row r="166" spans="1:11" x14ac:dyDescent="0.25">
      <c r="A166">
        <f t="shared" si="21"/>
        <v>800</v>
      </c>
      <c r="B166">
        <f t="shared" si="15"/>
        <v>48000</v>
      </c>
      <c r="C166">
        <f t="shared" si="16"/>
        <v>13.333333333333334</v>
      </c>
      <c r="D166">
        <f>IF(OR(A166&lt;420,A166&gt;1440),0,Afleiding_Tapwater_schema!G$96)</f>
        <v>15553.041960784316</v>
      </c>
      <c r="E166" s="13">
        <f>_xlfn.NORM.DIST(A166,-30,Afleiding_Tapwater_schema!G$94,FALSE)*Afleiding_Tapwater_schema!G$95/K$4 + _xlfn.NORM.DIST(A166,Afleiding_Tapwater_schema!G$66*60,Afleiding_Tapwater_schema!G$94,FALSE)*Afleiding_Tapwater_schema!G$95/K$4 + _xlfn.NORM.DIST(A166,1415,Afleiding_Tapwater_schema!G$94,FALSE)*Afleiding_Tapwater_schema!G$95/K$4</f>
        <v>3.018081978926736E-74</v>
      </c>
      <c r="F166">
        <v>2000</v>
      </c>
      <c r="G166" s="13">
        <f t="shared" si="17"/>
        <v>17553.041960784314</v>
      </c>
      <c r="H166" s="13">
        <f t="shared" si="18"/>
        <v>37.848509113788161</v>
      </c>
      <c r="I166" s="27">
        <f>G166/((Afleiding_Tapwater_schema!D$4*1000)*(E$4-H166))</f>
        <v>1.3042235886969258E-4</v>
      </c>
      <c r="J166" s="27">
        <f t="shared" si="19"/>
        <v>7.8253415321815547</v>
      </c>
      <c r="K166">
        <f t="shared" si="20"/>
        <v>17.553041960784313</v>
      </c>
    </row>
    <row r="167" spans="1:11" x14ac:dyDescent="0.25">
      <c r="A167">
        <f t="shared" si="21"/>
        <v>805</v>
      </c>
      <c r="B167">
        <f t="shared" si="15"/>
        <v>48300</v>
      </c>
      <c r="C167">
        <f t="shared" si="16"/>
        <v>13.416666666666666</v>
      </c>
      <c r="D167">
        <f>IF(OR(A167&lt;420,A167&gt;1440),0,Afleiding_Tapwater_schema!G$96)</f>
        <v>15553.041960784316</v>
      </c>
      <c r="E167" s="13">
        <f>_xlfn.NORM.DIST(A167,-30,Afleiding_Tapwater_schema!G$94,FALSE)*Afleiding_Tapwater_schema!G$95/K$4 + _xlfn.NORM.DIST(A167,Afleiding_Tapwater_schema!G$66*60,Afleiding_Tapwater_schema!G$94,FALSE)*Afleiding_Tapwater_schema!G$95/K$4 + _xlfn.NORM.DIST(A167,1415,Afleiding_Tapwater_schema!G$94,FALSE)*Afleiding_Tapwater_schema!G$95/K$4</f>
        <v>2.5308158200882892E-76</v>
      </c>
      <c r="F167">
        <v>2000</v>
      </c>
      <c r="G167" s="13">
        <f t="shared" si="17"/>
        <v>17553.041960784314</v>
      </c>
      <c r="H167" s="13">
        <f t="shared" si="18"/>
        <v>37.848509113788161</v>
      </c>
      <c r="I167" s="27">
        <f>G167/((Afleiding_Tapwater_schema!D$4*1000)*(E$4-H167))</f>
        <v>1.3042235886969258E-4</v>
      </c>
      <c r="J167" s="27">
        <f t="shared" si="19"/>
        <v>7.8253415321815547</v>
      </c>
      <c r="K167">
        <f t="shared" si="20"/>
        <v>17.553041960784313</v>
      </c>
    </row>
    <row r="168" spans="1:11" x14ac:dyDescent="0.25">
      <c r="A168">
        <f t="shared" si="21"/>
        <v>810</v>
      </c>
      <c r="B168">
        <f t="shared" si="15"/>
        <v>48600</v>
      </c>
      <c r="C168">
        <f t="shared" si="16"/>
        <v>13.5</v>
      </c>
      <c r="D168">
        <f>IF(OR(A168&lt;420,A168&gt;1440),0,Afleiding_Tapwater_schema!G$96)</f>
        <v>15553.041960784316</v>
      </c>
      <c r="E168" s="13">
        <f>_xlfn.NORM.DIST(A168,-30,Afleiding_Tapwater_schema!G$94,FALSE)*Afleiding_Tapwater_schema!G$95/K$4 + _xlfn.NORM.DIST(A168,Afleiding_Tapwater_schema!G$66*60,Afleiding_Tapwater_schema!G$94,FALSE)*Afleiding_Tapwater_schema!G$95/K$4 + _xlfn.NORM.DIST(A168,1415,Afleiding_Tapwater_schema!G$94,FALSE)*Afleiding_Tapwater_schema!G$95/K$4</f>
        <v>1.9936395647220292E-78</v>
      </c>
      <c r="F168">
        <v>2000</v>
      </c>
      <c r="G168" s="13">
        <f t="shared" si="17"/>
        <v>17553.041960784314</v>
      </c>
      <c r="H168" s="13">
        <f t="shared" si="18"/>
        <v>37.848509113788161</v>
      </c>
      <c r="I168" s="27">
        <f>G168/((Afleiding_Tapwater_schema!D$4*1000)*(E$4-H168))</f>
        <v>1.3042235886969258E-4</v>
      </c>
      <c r="J168" s="27">
        <f t="shared" si="19"/>
        <v>7.8253415321815547</v>
      </c>
      <c r="K168">
        <f t="shared" si="20"/>
        <v>17.553041960784313</v>
      </c>
    </row>
    <row r="169" spans="1:11" x14ac:dyDescent="0.25">
      <c r="A169">
        <f t="shared" si="21"/>
        <v>815</v>
      </c>
      <c r="B169">
        <f t="shared" si="15"/>
        <v>48900</v>
      </c>
      <c r="C169">
        <f t="shared" si="16"/>
        <v>13.583333333333334</v>
      </c>
      <c r="D169">
        <f>IF(OR(A169&lt;420,A169&gt;1440),0,Afleiding_Tapwater_schema!G$96)</f>
        <v>15553.041960784316</v>
      </c>
      <c r="E169" s="13">
        <f>_xlfn.NORM.DIST(A169,-30,Afleiding_Tapwater_schema!G$94,FALSE)*Afleiding_Tapwater_schema!G$95/K$4 + _xlfn.NORM.DIST(A169,Afleiding_Tapwater_schema!G$66*60,Afleiding_Tapwater_schema!G$94,FALSE)*Afleiding_Tapwater_schema!G$95/K$4 + _xlfn.NORM.DIST(A169,1415,Afleiding_Tapwater_schema!G$94,FALSE)*Afleiding_Tapwater_schema!G$95/K$4</f>
        <v>1.4753305719680981E-80</v>
      </c>
      <c r="F169">
        <v>2000</v>
      </c>
      <c r="G169" s="13">
        <f t="shared" si="17"/>
        <v>17553.041960784314</v>
      </c>
      <c r="H169" s="13">
        <f t="shared" si="18"/>
        <v>37.848509113788161</v>
      </c>
      <c r="I169" s="27">
        <f>G169/((Afleiding_Tapwater_schema!D$4*1000)*(E$4-H169))</f>
        <v>1.3042235886969258E-4</v>
      </c>
      <c r="J169" s="27">
        <f t="shared" si="19"/>
        <v>7.8253415321815547</v>
      </c>
      <c r="K169">
        <f t="shared" si="20"/>
        <v>17.553041960784313</v>
      </c>
    </row>
    <row r="170" spans="1:11" x14ac:dyDescent="0.25">
      <c r="A170">
        <f t="shared" si="21"/>
        <v>820</v>
      </c>
      <c r="B170">
        <f t="shared" si="15"/>
        <v>49200</v>
      </c>
      <c r="C170">
        <f t="shared" si="16"/>
        <v>13.666666666666666</v>
      </c>
      <c r="D170">
        <f>IF(OR(A170&lt;420,A170&gt;1440),0,Afleiding_Tapwater_schema!G$96)</f>
        <v>15553.041960784316</v>
      </c>
      <c r="E170" s="13">
        <f>_xlfn.NORM.DIST(A170,-30,Afleiding_Tapwater_schema!G$94,FALSE)*Afleiding_Tapwater_schema!G$95/K$4 + _xlfn.NORM.DIST(A170,Afleiding_Tapwater_schema!G$66*60,Afleiding_Tapwater_schema!G$94,FALSE)*Afleiding_Tapwater_schema!G$95/K$4 + _xlfn.NORM.DIST(A170,1415,Afleiding_Tapwater_schema!G$94,FALSE)*Afleiding_Tapwater_schema!G$95/K$4</f>
        <v>1.0256250865584731E-82</v>
      </c>
      <c r="F170">
        <v>2000</v>
      </c>
      <c r="G170" s="13">
        <f t="shared" si="17"/>
        <v>17553.041960784314</v>
      </c>
      <c r="H170" s="13">
        <f t="shared" si="18"/>
        <v>37.848509113788161</v>
      </c>
      <c r="I170" s="27">
        <f>G170/((Afleiding_Tapwater_schema!D$4*1000)*(E$4-H170))</f>
        <v>1.3042235886969258E-4</v>
      </c>
      <c r="J170" s="27">
        <f t="shared" si="19"/>
        <v>7.8253415321815547</v>
      </c>
      <c r="K170">
        <f t="shared" si="20"/>
        <v>17.553041960784313</v>
      </c>
    </row>
    <row r="171" spans="1:11" x14ac:dyDescent="0.25">
      <c r="A171">
        <f t="shared" si="21"/>
        <v>825</v>
      </c>
      <c r="B171">
        <f t="shared" si="15"/>
        <v>49500</v>
      </c>
      <c r="C171">
        <f t="shared" si="16"/>
        <v>13.75</v>
      </c>
      <c r="D171">
        <f>IF(OR(A171&lt;420,A171&gt;1440),0,Afleiding_Tapwater_schema!G$96)</f>
        <v>15553.041960784316</v>
      </c>
      <c r="E171" s="13">
        <f>_xlfn.NORM.DIST(A171,-30,Afleiding_Tapwater_schema!G$94,FALSE)*Afleiding_Tapwater_schema!G$95/K$4 + _xlfn.NORM.DIST(A171,Afleiding_Tapwater_schema!G$66*60,Afleiding_Tapwater_schema!G$94,FALSE)*Afleiding_Tapwater_schema!G$95/K$4 + _xlfn.NORM.DIST(A171,1415,Afleiding_Tapwater_schema!G$94,FALSE)*Afleiding_Tapwater_schema!G$95/K$4</f>
        <v>6.6979904343798247E-85</v>
      </c>
      <c r="F171">
        <v>2000</v>
      </c>
      <c r="G171" s="13">
        <f t="shared" si="17"/>
        <v>17553.041960784314</v>
      </c>
      <c r="H171" s="13">
        <f t="shared" si="18"/>
        <v>37.848509113788161</v>
      </c>
      <c r="I171" s="27">
        <f>G171/((Afleiding_Tapwater_schema!D$4*1000)*(E$4-H171))</f>
        <v>1.3042235886969258E-4</v>
      </c>
      <c r="J171" s="27">
        <f t="shared" si="19"/>
        <v>7.8253415321815547</v>
      </c>
      <c r="K171">
        <f t="shared" si="20"/>
        <v>17.553041960784313</v>
      </c>
    </row>
    <row r="172" spans="1:11" x14ac:dyDescent="0.25">
      <c r="A172">
        <f t="shared" si="21"/>
        <v>830</v>
      </c>
      <c r="B172">
        <f t="shared" si="15"/>
        <v>49800</v>
      </c>
      <c r="C172">
        <f t="shared" si="16"/>
        <v>13.833333333333334</v>
      </c>
      <c r="D172">
        <f>IF(OR(A172&lt;420,A172&gt;1440),0,Afleiding_Tapwater_schema!G$96)</f>
        <v>15553.041960784316</v>
      </c>
      <c r="E172" s="13">
        <f>_xlfn.NORM.DIST(A172,-30,Afleiding_Tapwater_schema!G$94,FALSE)*Afleiding_Tapwater_schema!G$95/K$4 + _xlfn.NORM.DIST(A172,Afleiding_Tapwater_schema!G$66*60,Afleiding_Tapwater_schema!G$94,FALSE)*Afleiding_Tapwater_schema!G$95/K$4 + _xlfn.NORM.DIST(A172,1415,Afleiding_Tapwater_schema!G$94,FALSE)*Afleiding_Tapwater_schema!G$95/K$4</f>
        <v>4.1091974106636404E-87</v>
      </c>
      <c r="F172">
        <v>2000</v>
      </c>
      <c r="G172" s="13">
        <f t="shared" si="17"/>
        <v>17553.041960784314</v>
      </c>
      <c r="H172" s="13">
        <f t="shared" si="18"/>
        <v>37.848509113788161</v>
      </c>
      <c r="I172" s="27">
        <f>G172/((Afleiding_Tapwater_schema!D$4*1000)*(E$4-H172))</f>
        <v>1.3042235886969258E-4</v>
      </c>
      <c r="J172" s="27">
        <f t="shared" si="19"/>
        <v>7.8253415321815547</v>
      </c>
      <c r="K172">
        <f t="shared" si="20"/>
        <v>17.553041960784313</v>
      </c>
    </row>
    <row r="173" spans="1:11" x14ac:dyDescent="0.25">
      <c r="A173">
        <f t="shared" si="21"/>
        <v>835</v>
      </c>
      <c r="B173">
        <f t="shared" si="15"/>
        <v>50100</v>
      </c>
      <c r="C173">
        <f t="shared" si="16"/>
        <v>13.916666666666666</v>
      </c>
      <c r="D173">
        <f>IF(OR(A173&lt;420,A173&gt;1440),0,Afleiding_Tapwater_schema!G$96)</f>
        <v>15553.041960784316</v>
      </c>
      <c r="E173" s="13">
        <f>_xlfn.NORM.DIST(A173,-30,Afleiding_Tapwater_schema!G$94,FALSE)*Afleiding_Tapwater_schema!G$95/K$4 + _xlfn.NORM.DIST(A173,Afleiding_Tapwater_schema!G$66*60,Afleiding_Tapwater_schema!G$94,FALSE)*Afleiding_Tapwater_schema!G$95/K$4 + _xlfn.NORM.DIST(A173,1415,Afleiding_Tapwater_schema!G$94,FALSE)*Afleiding_Tapwater_schema!G$95/K$4</f>
        <v>2.3682420247962256E-89</v>
      </c>
      <c r="F173">
        <v>2000</v>
      </c>
      <c r="G173" s="13">
        <f t="shared" si="17"/>
        <v>17553.041960784314</v>
      </c>
      <c r="H173" s="13">
        <f t="shared" si="18"/>
        <v>37.848509113788161</v>
      </c>
      <c r="I173" s="27">
        <f>G173/((Afleiding_Tapwater_schema!D$4*1000)*(E$4-H173))</f>
        <v>1.3042235886969258E-4</v>
      </c>
      <c r="J173" s="27">
        <f t="shared" si="19"/>
        <v>7.8253415321815547</v>
      </c>
      <c r="K173">
        <f t="shared" si="20"/>
        <v>17.553041960784313</v>
      </c>
    </row>
    <row r="174" spans="1:11" x14ac:dyDescent="0.25">
      <c r="A174">
        <f t="shared" si="21"/>
        <v>840</v>
      </c>
      <c r="B174">
        <f t="shared" si="15"/>
        <v>50400</v>
      </c>
      <c r="C174">
        <f t="shared" si="16"/>
        <v>14</v>
      </c>
      <c r="D174">
        <f>IF(OR(A174&lt;420,A174&gt;1440),0,Afleiding_Tapwater_schema!G$96)</f>
        <v>15553.041960784316</v>
      </c>
      <c r="E174" s="13">
        <f>_xlfn.NORM.DIST(A174,-30,Afleiding_Tapwater_schema!G$94,FALSE)*Afleiding_Tapwater_schema!G$95/K$4 + _xlfn.NORM.DIST(A174,Afleiding_Tapwater_schema!G$66*60,Afleiding_Tapwater_schema!G$94,FALSE)*Afleiding_Tapwater_schema!G$95/K$4 + _xlfn.NORM.DIST(A174,1415,Afleiding_Tapwater_schema!G$94,FALSE)*Afleiding_Tapwater_schema!G$95/K$4</f>
        <v>1.2821881417992262E-91</v>
      </c>
      <c r="F174">
        <v>2000</v>
      </c>
      <c r="G174" s="13">
        <f t="shared" si="17"/>
        <v>17553.041960784314</v>
      </c>
      <c r="H174" s="13">
        <f t="shared" si="18"/>
        <v>37.848509113788161</v>
      </c>
      <c r="I174" s="27">
        <f>G174/((Afleiding_Tapwater_schema!D$4*1000)*(E$4-H174))</f>
        <v>1.3042235886969258E-4</v>
      </c>
      <c r="J174" s="27">
        <f t="shared" si="19"/>
        <v>7.8253415321815547</v>
      </c>
      <c r="K174">
        <f t="shared" si="20"/>
        <v>17.553041960784313</v>
      </c>
    </row>
    <row r="175" spans="1:11" x14ac:dyDescent="0.25">
      <c r="A175">
        <f t="shared" si="21"/>
        <v>845</v>
      </c>
      <c r="B175">
        <f t="shared" si="15"/>
        <v>50700</v>
      </c>
      <c r="C175">
        <f t="shared" si="16"/>
        <v>14.083333333333334</v>
      </c>
      <c r="D175">
        <f>IF(OR(A175&lt;420,A175&gt;1440),0,Afleiding_Tapwater_schema!G$96)</f>
        <v>15553.041960784316</v>
      </c>
      <c r="E175" s="13">
        <f>_xlfn.NORM.DIST(A175,-30,Afleiding_Tapwater_schema!G$94,FALSE)*Afleiding_Tapwater_schema!G$95/K$4 + _xlfn.NORM.DIST(A175,Afleiding_Tapwater_schema!G$66*60,Afleiding_Tapwater_schema!G$94,FALSE)*Afleiding_Tapwater_schema!G$95/K$4 + _xlfn.NORM.DIST(A175,1415,Afleiding_Tapwater_schema!G$94,FALSE)*Afleiding_Tapwater_schema!G$95/K$4</f>
        <v>6.521297656374393E-94</v>
      </c>
      <c r="F175">
        <v>2000</v>
      </c>
      <c r="G175" s="13">
        <f t="shared" si="17"/>
        <v>17553.041960784314</v>
      </c>
      <c r="H175" s="13">
        <f t="shared" si="18"/>
        <v>37.848509113788161</v>
      </c>
      <c r="I175" s="27">
        <f>G175/((Afleiding_Tapwater_schema!D$4*1000)*(E$4-H175))</f>
        <v>1.3042235886969258E-4</v>
      </c>
      <c r="J175" s="27">
        <f t="shared" si="19"/>
        <v>7.8253415321815547</v>
      </c>
      <c r="K175">
        <f t="shared" si="20"/>
        <v>17.553041960784313</v>
      </c>
    </row>
    <row r="176" spans="1:11" x14ac:dyDescent="0.25">
      <c r="A176">
        <f t="shared" si="21"/>
        <v>850</v>
      </c>
      <c r="B176">
        <f t="shared" si="15"/>
        <v>51000</v>
      </c>
      <c r="C176">
        <f t="shared" si="16"/>
        <v>14.166666666666666</v>
      </c>
      <c r="D176">
        <f>IF(OR(A176&lt;420,A176&gt;1440),0,Afleiding_Tapwater_schema!G$96)</f>
        <v>15553.041960784316</v>
      </c>
      <c r="E176" s="13">
        <f>_xlfn.NORM.DIST(A176,-30,Afleiding_Tapwater_schema!G$94,FALSE)*Afleiding_Tapwater_schema!G$95/K$4 + _xlfn.NORM.DIST(A176,Afleiding_Tapwater_schema!G$66*60,Afleiding_Tapwater_schema!G$94,FALSE)*Afleiding_Tapwater_schema!G$95/K$4 + _xlfn.NORM.DIST(A176,1415,Afleiding_Tapwater_schema!G$94,FALSE)*Afleiding_Tapwater_schema!G$95/K$4</f>
        <v>3.1158237676576186E-96</v>
      </c>
      <c r="F176">
        <v>2000</v>
      </c>
      <c r="G176" s="13">
        <f t="shared" si="17"/>
        <v>17553.041960784314</v>
      </c>
      <c r="H176" s="13">
        <f t="shared" si="18"/>
        <v>37.848509113788161</v>
      </c>
      <c r="I176" s="27">
        <f>G176/((Afleiding_Tapwater_schema!D$4*1000)*(E$4-H176))</f>
        <v>1.3042235886969258E-4</v>
      </c>
      <c r="J176" s="27">
        <f t="shared" si="19"/>
        <v>7.8253415321815547</v>
      </c>
      <c r="K176">
        <f t="shared" si="20"/>
        <v>17.553041960784313</v>
      </c>
    </row>
    <row r="177" spans="1:11" x14ac:dyDescent="0.25">
      <c r="A177">
        <f t="shared" si="21"/>
        <v>855</v>
      </c>
      <c r="B177">
        <f t="shared" si="15"/>
        <v>51300</v>
      </c>
      <c r="C177">
        <f t="shared" si="16"/>
        <v>14.25</v>
      </c>
      <c r="D177">
        <f>IF(OR(A177&lt;420,A177&gt;1440),0,Afleiding_Tapwater_schema!G$96)</f>
        <v>15553.041960784316</v>
      </c>
      <c r="E177" s="13">
        <f>_xlfn.NORM.DIST(A177,-30,Afleiding_Tapwater_schema!G$94,FALSE)*Afleiding_Tapwater_schema!G$95/K$4 + _xlfn.NORM.DIST(A177,Afleiding_Tapwater_schema!G$66*60,Afleiding_Tapwater_schema!G$94,FALSE)*Afleiding_Tapwater_schema!G$95/K$4 + _xlfn.NORM.DIST(A177,1415,Afleiding_Tapwater_schema!G$94,FALSE)*Afleiding_Tapwater_schema!G$95/K$4</f>
        <v>1.3985189099496486E-98</v>
      </c>
      <c r="F177">
        <v>2000</v>
      </c>
      <c r="G177" s="13">
        <f t="shared" si="17"/>
        <v>17553.041960784314</v>
      </c>
      <c r="H177" s="13">
        <f t="shared" si="18"/>
        <v>37.848509113788161</v>
      </c>
      <c r="I177" s="27">
        <f>G177/((Afleiding_Tapwater_schema!D$4*1000)*(E$4-H177))</f>
        <v>1.3042235886969258E-4</v>
      </c>
      <c r="J177" s="27">
        <f t="shared" si="19"/>
        <v>7.8253415321815547</v>
      </c>
      <c r="K177">
        <f t="shared" si="20"/>
        <v>17.553041960784313</v>
      </c>
    </row>
    <row r="178" spans="1:11" x14ac:dyDescent="0.25">
      <c r="A178">
        <f t="shared" si="21"/>
        <v>860</v>
      </c>
      <c r="B178">
        <f t="shared" si="15"/>
        <v>51600</v>
      </c>
      <c r="C178">
        <f t="shared" si="16"/>
        <v>14.333333333333334</v>
      </c>
      <c r="D178">
        <f>IF(OR(A178&lt;420,A178&gt;1440),0,Afleiding_Tapwater_schema!G$96)</f>
        <v>15553.041960784316</v>
      </c>
      <c r="E178" s="13">
        <f>_xlfn.NORM.DIST(A178,-30,Afleiding_Tapwater_schema!G$94,FALSE)*Afleiding_Tapwater_schema!G$95/K$4 + _xlfn.NORM.DIST(A178,Afleiding_Tapwater_schema!G$66*60,Afleiding_Tapwater_schema!G$94,FALSE)*Afleiding_Tapwater_schema!G$95/K$4 + _xlfn.NORM.DIST(A178,1415,Afleiding_Tapwater_schema!G$94,FALSE)*Afleiding_Tapwater_schema!G$95/K$4</f>
        <v>5.8968542699859489E-101</v>
      </c>
      <c r="F178">
        <v>2000</v>
      </c>
      <c r="G178" s="13">
        <f t="shared" si="17"/>
        <v>17553.041960784314</v>
      </c>
      <c r="H178" s="13">
        <f t="shared" si="18"/>
        <v>37.848509113788161</v>
      </c>
      <c r="I178" s="27">
        <f>G178/((Afleiding_Tapwater_schema!D$4*1000)*(E$4-H178))</f>
        <v>1.3042235886969258E-4</v>
      </c>
      <c r="J178" s="27">
        <f t="shared" si="19"/>
        <v>7.8253415321815547</v>
      </c>
      <c r="K178">
        <f t="shared" si="20"/>
        <v>17.553041960784313</v>
      </c>
    </row>
    <row r="179" spans="1:11" x14ac:dyDescent="0.25">
      <c r="A179">
        <f t="shared" si="21"/>
        <v>865</v>
      </c>
      <c r="B179">
        <f t="shared" si="15"/>
        <v>51900</v>
      </c>
      <c r="C179">
        <f t="shared" si="16"/>
        <v>14.416666666666666</v>
      </c>
      <c r="D179">
        <f>IF(OR(A179&lt;420,A179&gt;1440),0,Afleiding_Tapwater_schema!G$96)</f>
        <v>15553.041960784316</v>
      </c>
      <c r="E179" s="13">
        <f>_xlfn.NORM.DIST(A179,-30,Afleiding_Tapwater_schema!G$94,FALSE)*Afleiding_Tapwater_schema!G$95/K$4 + _xlfn.NORM.DIST(A179,Afleiding_Tapwater_schema!G$66*60,Afleiding_Tapwater_schema!G$94,FALSE)*Afleiding_Tapwater_schema!G$95/K$4 + _xlfn.NORM.DIST(A179,1415,Afleiding_Tapwater_schema!G$94,FALSE)*Afleiding_Tapwater_schema!G$95/K$4</f>
        <v>2.3357644383479538E-103</v>
      </c>
      <c r="F179">
        <v>2000</v>
      </c>
      <c r="G179" s="13">
        <f t="shared" si="17"/>
        <v>17553.041960784314</v>
      </c>
      <c r="H179" s="13">
        <f t="shared" si="18"/>
        <v>37.848509113788161</v>
      </c>
      <c r="I179" s="27">
        <f>G179/((Afleiding_Tapwater_schema!D$4*1000)*(E$4-H179))</f>
        <v>1.3042235886969258E-4</v>
      </c>
      <c r="J179" s="27">
        <f t="shared" si="19"/>
        <v>7.8253415321815547</v>
      </c>
      <c r="K179">
        <f t="shared" si="20"/>
        <v>17.553041960784313</v>
      </c>
    </row>
    <row r="180" spans="1:11" x14ac:dyDescent="0.25">
      <c r="A180">
        <f t="shared" si="21"/>
        <v>870</v>
      </c>
      <c r="B180">
        <f t="shared" si="15"/>
        <v>52200</v>
      </c>
      <c r="C180">
        <f t="shared" si="16"/>
        <v>14.5</v>
      </c>
      <c r="D180">
        <f>IF(OR(A180&lt;420,A180&gt;1440),0,Afleiding_Tapwater_schema!G$96)</f>
        <v>15553.041960784316</v>
      </c>
      <c r="E180" s="13">
        <f>_xlfn.NORM.DIST(A180,-30,Afleiding_Tapwater_schema!G$94,FALSE)*Afleiding_Tapwater_schema!G$95/K$4 + _xlfn.NORM.DIST(A180,Afleiding_Tapwater_schema!G$66*60,Afleiding_Tapwater_schema!G$94,FALSE)*Afleiding_Tapwater_schema!G$95/K$4 + _xlfn.NORM.DIST(A180,1415,Afleiding_Tapwater_schema!G$94,FALSE)*Afleiding_Tapwater_schema!G$95/K$4</f>
        <v>8.6914909828835665E-106</v>
      </c>
      <c r="F180">
        <v>2000</v>
      </c>
      <c r="G180" s="13">
        <f t="shared" si="17"/>
        <v>17553.041960784314</v>
      </c>
      <c r="H180" s="13">
        <f t="shared" si="18"/>
        <v>37.848509113788161</v>
      </c>
      <c r="I180" s="27">
        <f>G180/((Afleiding_Tapwater_schema!D$4*1000)*(E$4-H180))</f>
        <v>1.3042235886969258E-4</v>
      </c>
      <c r="J180" s="27">
        <f t="shared" si="19"/>
        <v>7.8253415321815547</v>
      </c>
      <c r="K180">
        <f t="shared" si="20"/>
        <v>17.553041960784313</v>
      </c>
    </row>
    <row r="181" spans="1:11" x14ac:dyDescent="0.25">
      <c r="A181">
        <f t="shared" si="21"/>
        <v>875</v>
      </c>
      <c r="B181">
        <f t="shared" si="15"/>
        <v>52500</v>
      </c>
      <c r="C181">
        <f t="shared" si="16"/>
        <v>14.583333333333334</v>
      </c>
      <c r="D181">
        <f>IF(OR(A181&lt;420,A181&gt;1440),0,Afleiding_Tapwater_schema!G$96)</f>
        <v>15553.041960784316</v>
      </c>
      <c r="E181" s="13">
        <f>_xlfn.NORM.DIST(A181,-30,Afleiding_Tapwater_schema!G$94,FALSE)*Afleiding_Tapwater_schema!G$95/K$4 + _xlfn.NORM.DIST(A181,Afleiding_Tapwater_schema!G$66*60,Afleiding_Tapwater_schema!G$94,FALSE)*Afleiding_Tapwater_schema!G$95/K$4 + _xlfn.NORM.DIST(A181,1415,Afleiding_Tapwater_schema!G$94,FALSE)*Afleiding_Tapwater_schema!G$95/K$4</f>
        <v>3.038198329937791E-108</v>
      </c>
      <c r="F181">
        <v>2000</v>
      </c>
      <c r="G181" s="13">
        <f t="shared" si="17"/>
        <v>17553.041960784314</v>
      </c>
      <c r="H181" s="13">
        <f t="shared" si="18"/>
        <v>37.848509113788161</v>
      </c>
      <c r="I181" s="27">
        <f>G181/((Afleiding_Tapwater_schema!D$4*1000)*(E$4-H181))</f>
        <v>1.3042235886969258E-4</v>
      </c>
      <c r="J181" s="27">
        <f t="shared" si="19"/>
        <v>7.8253415321815547</v>
      </c>
      <c r="K181">
        <f t="shared" si="20"/>
        <v>17.553041960784313</v>
      </c>
    </row>
    <row r="182" spans="1:11" x14ac:dyDescent="0.25">
      <c r="A182">
        <f t="shared" si="21"/>
        <v>880</v>
      </c>
      <c r="B182">
        <f t="shared" si="15"/>
        <v>52800</v>
      </c>
      <c r="C182">
        <f t="shared" si="16"/>
        <v>14.666666666666666</v>
      </c>
      <c r="D182">
        <f>IF(OR(A182&lt;420,A182&gt;1440),0,Afleiding_Tapwater_schema!G$96)</f>
        <v>15553.041960784316</v>
      </c>
      <c r="E182" s="13">
        <f>_xlfn.NORM.DIST(A182,-30,Afleiding_Tapwater_schema!G$94,FALSE)*Afleiding_Tapwater_schema!G$95/K$4 + _xlfn.NORM.DIST(A182,Afleiding_Tapwater_schema!G$66*60,Afleiding_Tapwater_schema!G$94,FALSE)*Afleiding_Tapwater_schema!G$95/K$4 + _xlfn.NORM.DIST(A182,1415,Afleiding_Tapwater_schema!G$94,FALSE)*Afleiding_Tapwater_schema!G$95/K$4</f>
        <v>9.9768754893533894E-111</v>
      </c>
      <c r="F182">
        <v>2000</v>
      </c>
      <c r="G182" s="13">
        <f t="shared" si="17"/>
        <v>17553.041960784314</v>
      </c>
      <c r="H182" s="13">
        <f t="shared" si="18"/>
        <v>37.848509113788161</v>
      </c>
      <c r="I182" s="27">
        <f>G182/((Afleiding_Tapwater_schema!D$4*1000)*(E$4-H182))</f>
        <v>1.3042235886969258E-4</v>
      </c>
      <c r="J182" s="27">
        <f t="shared" si="19"/>
        <v>7.8253415321815547</v>
      </c>
      <c r="K182">
        <f t="shared" si="20"/>
        <v>17.553041960784313</v>
      </c>
    </row>
    <row r="183" spans="1:11" x14ac:dyDescent="0.25">
      <c r="A183">
        <f t="shared" si="21"/>
        <v>885</v>
      </c>
      <c r="B183">
        <f t="shared" si="15"/>
        <v>53100</v>
      </c>
      <c r="C183">
        <f t="shared" si="16"/>
        <v>14.75</v>
      </c>
      <c r="D183">
        <f>IF(OR(A183&lt;420,A183&gt;1440),0,Afleiding_Tapwater_schema!G$96)</f>
        <v>15553.041960784316</v>
      </c>
      <c r="E183" s="13">
        <f>_xlfn.NORM.DIST(A183,-30,Afleiding_Tapwater_schema!G$94,FALSE)*Afleiding_Tapwater_schema!G$95/K$4 + _xlfn.NORM.DIST(A183,Afleiding_Tapwater_schema!G$66*60,Afleiding_Tapwater_schema!G$94,FALSE)*Afleiding_Tapwater_schema!G$95/K$4 + _xlfn.NORM.DIST(A183,1415,Afleiding_Tapwater_schema!G$94,FALSE)*Afleiding_Tapwater_schema!G$95/K$4</f>
        <v>3.0777233453473339E-113</v>
      </c>
      <c r="F183">
        <v>2000</v>
      </c>
      <c r="G183" s="13">
        <f t="shared" si="17"/>
        <v>17553.041960784314</v>
      </c>
      <c r="H183" s="13">
        <f t="shared" si="18"/>
        <v>37.848509113788161</v>
      </c>
      <c r="I183" s="27">
        <f>G183/((Afleiding_Tapwater_schema!D$4*1000)*(E$4-H183))</f>
        <v>1.3042235886969258E-4</v>
      </c>
      <c r="J183" s="27">
        <f t="shared" si="19"/>
        <v>7.8253415321815547</v>
      </c>
      <c r="K183">
        <f t="shared" si="20"/>
        <v>17.553041960784313</v>
      </c>
    </row>
    <row r="184" spans="1:11" x14ac:dyDescent="0.25">
      <c r="A184">
        <f t="shared" si="21"/>
        <v>890</v>
      </c>
      <c r="B184">
        <f t="shared" si="15"/>
        <v>53400</v>
      </c>
      <c r="C184">
        <f t="shared" si="16"/>
        <v>14.833333333333334</v>
      </c>
      <c r="D184">
        <f>IF(OR(A184&lt;420,A184&gt;1440),0,Afleiding_Tapwater_schema!G$96)</f>
        <v>15553.041960784316</v>
      </c>
      <c r="E184" s="13">
        <f>_xlfn.NORM.DIST(A184,-30,Afleiding_Tapwater_schema!G$94,FALSE)*Afleiding_Tapwater_schema!G$95/K$4 + _xlfn.NORM.DIST(A184,Afleiding_Tapwater_schema!G$66*60,Afleiding_Tapwater_schema!G$94,FALSE)*Afleiding_Tapwater_schema!G$95/K$4 + _xlfn.NORM.DIST(A184,1415,Afleiding_Tapwater_schema!G$94,FALSE)*Afleiding_Tapwater_schema!G$95/K$4</f>
        <v>8.9191034286373519E-116</v>
      </c>
      <c r="F184">
        <v>2000</v>
      </c>
      <c r="G184" s="13">
        <f t="shared" si="17"/>
        <v>17553.041960784314</v>
      </c>
      <c r="H184" s="13">
        <f t="shared" si="18"/>
        <v>37.848509113788161</v>
      </c>
      <c r="I184" s="27">
        <f>G184/((Afleiding_Tapwater_schema!D$4*1000)*(E$4-H184))</f>
        <v>1.3042235886969258E-4</v>
      </c>
      <c r="J184" s="27">
        <f t="shared" si="19"/>
        <v>7.8253415321815547</v>
      </c>
      <c r="K184">
        <f t="shared" si="20"/>
        <v>17.553041960784313</v>
      </c>
    </row>
    <row r="185" spans="1:11" x14ac:dyDescent="0.25">
      <c r="A185">
        <f t="shared" si="21"/>
        <v>895</v>
      </c>
      <c r="B185">
        <f t="shared" si="15"/>
        <v>53700</v>
      </c>
      <c r="C185">
        <f t="shared" si="16"/>
        <v>14.916666666666666</v>
      </c>
      <c r="D185">
        <f>IF(OR(A185&lt;420,A185&gt;1440),0,Afleiding_Tapwater_schema!G$96)</f>
        <v>15553.041960784316</v>
      </c>
      <c r="E185" s="13">
        <f>_xlfn.NORM.DIST(A185,-30,Afleiding_Tapwater_schema!G$94,FALSE)*Afleiding_Tapwater_schema!G$95/K$4 + _xlfn.NORM.DIST(A185,Afleiding_Tapwater_schema!G$66*60,Afleiding_Tapwater_schema!G$94,FALSE)*Afleiding_Tapwater_schema!G$95/K$4 + _xlfn.NORM.DIST(A185,1415,Afleiding_Tapwater_schema!G$94,FALSE)*Afleiding_Tapwater_schema!G$95/K$4</f>
        <v>2.4281159199702447E-118</v>
      </c>
      <c r="F185">
        <v>2000</v>
      </c>
      <c r="G185" s="13">
        <f t="shared" si="17"/>
        <v>17553.041960784314</v>
      </c>
      <c r="H185" s="13">
        <f t="shared" si="18"/>
        <v>37.848509113788161</v>
      </c>
      <c r="I185" s="27">
        <f>G185/((Afleiding_Tapwater_schema!D$4*1000)*(E$4-H185))</f>
        <v>1.3042235886969258E-4</v>
      </c>
      <c r="J185" s="27">
        <f t="shared" si="19"/>
        <v>7.8253415321815547</v>
      </c>
      <c r="K185">
        <f t="shared" si="20"/>
        <v>17.553041960784313</v>
      </c>
    </row>
    <row r="186" spans="1:11" x14ac:dyDescent="0.25">
      <c r="A186">
        <f t="shared" si="21"/>
        <v>900</v>
      </c>
      <c r="B186">
        <f t="shared" si="15"/>
        <v>54000</v>
      </c>
      <c r="C186">
        <f t="shared" si="16"/>
        <v>15</v>
      </c>
      <c r="D186">
        <f>IF(OR(A186&lt;420,A186&gt;1440),0,Afleiding_Tapwater_schema!G$96)</f>
        <v>15553.041960784316</v>
      </c>
      <c r="E186" s="13">
        <f>_xlfn.NORM.DIST(A186,-30,Afleiding_Tapwater_schema!G$94,FALSE)*Afleiding_Tapwater_schema!G$95/K$4 + _xlfn.NORM.DIST(A186,Afleiding_Tapwater_schema!G$66*60,Afleiding_Tapwater_schema!G$94,FALSE)*Afleiding_Tapwater_schema!G$95/K$4 + _xlfn.NORM.DIST(A186,1415,Afleiding_Tapwater_schema!G$94,FALSE)*Afleiding_Tapwater_schema!G$95/K$4</f>
        <v>6.2097515930479359E-121</v>
      </c>
      <c r="F186">
        <v>2000</v>
      </c>
      <c r="G186" s="13">
        <f t="shared" si="17"/>
        <v>17553.041960784314</v>
      </c>
      <c r="H186" s="13">
        <f t="shared" si="18"/>
        <v>37.848509113788161</v>
      </c>
      <c r="I186" s="27">
        <f>G186/((Afleiding_Tapwater_schema!D$4*1000)*(E$4-H186))</f>
        <v>1.3042235886969258E-4</v>
      </c>
      <c r="J186" s="27">
        <f t="shared" si="19"/>
        <v>7.8253415321815547</v>
      </c>
      <c r="K186">
        <f t="shared" si="20"/>
        <v>17.553041960784313</v>
      </c>
    </row>
    <row r="187" spans="1:11" x14ac:dyDescent="0.25">
      <c r="A187">
        <f t="shared" si="21"/>
        <v>905</v>
      </c>
      <c r="B187">
        <f t="shared" si="15"/>
        <v>54300</v>
      </c>
      <c r="C187">
        <f t="shared" si="16"/>
        <v>15.083333333333334</v>
      </c>
      <c r="D187">
        <f>IF(OR(A187&lt;420,A187&gt;1440),0,Afleiding_Tapwater_schema!G$96)</f>
        <v>15553.041960784316</v>
      </c>
      <c r="E187" s="13">
        <f>_xlfn.NORM.DIST(A187,-30,Afleiding_Tapwater_schema!G$94,FALSE)*Afleiding_Tapwater_schema!G$95/K$4 + _xlfn.NORM.DIST(A187,Afleiding_Tapwater_schema!G$66*60,Afleiding_Tapwater_schema!G$94,FALSE)*Afleiding_Tapwater_schema!G$95/K$4 + _xlfn.NORM.DIST(A187,1415,Afleiding_Tapwater_schema!G$94,FALSE)*Afleiding_Tapwater_schema!G$95/K$4</f>
        <v>1.4918859830794537E-123</v>
      </c>
      <c r="F187">
        <v>2000</v>
      </c>
      <c r="G187" s="13">
        <f t="shared" si="17"/>
        <v>17553.041960784314</v>
      </c>
      <c r="H187" s="13">
        <f t="shared" si="18"/>
        <v>37.848509113788161</v>
      </c>
      <c r="I187" s="27">
        <f>G187/((Afleiding_Tapwater_schema!D$4*1000)*(E$4-H187))</f>
        <v>1.3042235886969258E-4</v>
      </c>
      <c r="J187" s="27">
        <f t="shared" si="19"/>
        <v>7.8253415321815547</v>
      </c>
      <c r="K187">
        <f t="shared" si="20"/>
        <v>17.553041960784313</v>
      </c>
    </row>
    <row r="188" spans="1:11" x14ac:dyDescent="0.25">
      <c r="A188">
        <f t="shared" si="21"/>
        <v>910</v>
      </c>
      <c r="B188">
        <f t="shared" si="15"/>
        <v>54600</v>
      </c>
      <c r="C188">
        <f t="shared" si="16"/>
        <v>15.166666666666666</v>
      </c>
      <c r="D188">
        <f>IF(OR(A188&lt;420,A188&gt;1440),0,Afleiding_Tapwater_schema!G$96)</f>
        <v>15553.041960784316</v>
      </c>
      <c r="E188" s="13">
        <f>_xlfn.NORM.DIST(A188,-30,Afleiding_Tapwater_schema!G$94,FALSE)*Afleiding_Tapwater_schema!G$95/K$4 + _xlfn.NORM.DIST(A188,Afleiding_Tapwater_schema!G$66*60,Afleiding_Tapwater_schema!G$94,FALSE)*Afleiding_Tapwater_schema!G$95/K$4 + _xlfn.NORM.DIST(A188,1415,Afleiding_Tapwater_schema!G$94,FALSE)*Afleiding_Tapwater_schema!G$95/K$4</f>
        <v>3.3670815723487166E-126</v>
      </c>
      <c r="F188">
        <v>2000</v>
      </c>
      <c r="G188" s="13">
        <f t="shared" si="17"/>
        <v>17553.041960784314</v>
      </c>
      <c r="H188" s="13">
        <f t="shared" si="18"/>
        <v>37.848509113788161</v>
      </c>
      <c r="I188" s="27">
        <f>G188/((Afleiding_Tapwater_schema!D$4*1000)*(E$4-H188))</f>
        <v>1.3042235886969258E-4</v>
      </c>
      <c r="J188" s="27">
        <f t="shared" si="19"/>
        <v>7.8253415321815547</v>
      </c>
      <c r="K188">
        <f t="shared" si="20"/>
        <v>17.553041960784313</v>
      </c>
    </row>
    <row r="189" spans="1:11" x14ac:dyDescent="0.25">
      <c r="A189">
        <f t="shared" si="21"/>
        <v>915</v>
      </c>
      <c r="B189">
        <f t="shared" si="15"/>
        <v>54900</v>
      </c>
      <c r="C189">
        <f t="shared" si="16"/>
        <v>15.25</v>
      </c>
      <c r="D189">
        <f>IF(OR(A189&lt;420,A189&gt;1440),0,Afleiding_Tapwater_schema!G$96)</f>
        <v>15553.041960784316</v>
      </c>
      <c r="E189" s="13">
        <f>_xlfn.NORM.DIST(A189,-30,Afleiding_Tapwater_schema!G$94,FALSE)*Afleiding_Tapwater_schema!G$95/K$4 + _xlfn.NORM.DIST(A189,Afleiding_Tapwater_schema!G$66*60,Afleiding_Tapwater_schema!G$94,FALSE)*Afleiding_Tapwater_schema!G$95/K$4 + _xlfn.NORM.DIST(A189,1415,Afleiding_Tapwater_schema!G$94,FALSE)*Afleiding_Tapwater_schema!G$95/K$4</f>
        <v>7.1530682493121587E-129</v>
      </c>
      <c r="F189">
        <v>2000</v>
      </c>
      <c r="G189" s="13">
        <f t="shared" si="17"/>
        <v>17553.041960784314</v>
      </c>
      <c r="H189" s="13">
        <f t="shared" si="18"/>
        <v>37.848509113788161</v>
      </c>
      <c r="I189" s="27">
        <f>G189/((Afleiding_Tapwater_schema!D$4*1000)*(E$4-H189))</f>
        <v>1.3042235886969258E-4</v>
      </c>
      <c r="J189" s="27">
        <f t="shared" si="19"/>
        <v>7.8253415321815547</v>
      </c>
      <c r="K189">
        <f t="shared" si="20"/>
        <v>17.553041960784313</v>
      </c>
    </row>
    <row r="190" spans="1:11" x14ac:dyDescent="0.25">
      <c r="A190">
        <f t="shared" si="21"/>
        <v>920</v>
      </c>
      <c r="B190">
        <f t="shared" si="15"/>
        <v>55200</v>
      </c>
      <c r="C190">
        <f t="shared" si="16"/>
        <v>15.333333333333334</v>
      </c>
      <c r="D190">
        <f>IF(OR(A190&lt;420,A190&gt;1440),0,Afleiding_Tapwater_schema!G$96)</f>
        <v>15553.041960784316</v>
      </c>
      <c r="E190" s="13">
        <f>_xlfn.NORM.DIST(A190,-30,Afleiding_Tapwater_schema!G$94,FALSE)*Afleiding_Tapwater_schema!G$95/K$4 + _xlfn.NORM.DIST(A190,Afleiding_Tapwater_schema!G$66*60,Afleiding_Tapwater_schema!G$94,FALSE)*Afleiding_Tapwater_schema!G$95/K$4 + _xlfn.NORM.DIST(A190,1415,Afleiding_Tapwater_schema!G$94,FALSE)*Afleiding_Tapwater_schema!G$95/K$4</f>
        <v>7.1530682493121587E-129</v>
      </c>
      <c r="F190">
        <v>2000</v>
      </c>
      <c r="G190" s="13">
        <f t="shared" si="17"/>
        <v>17553.041960784314</v>
      </c>
      <c r="H190" s="13">
        <f t="shared" si="18"/>
        <v>37.848509113788161</v>
      </c>
      <c r="I190" s="27">
        <f>G190/((Afleiding_Tapwater_schema!D$4*1000)*(E$4-H190))</f>
        <v>1.3042235886969258E-4</v>
      </c>
      <c r="J190" s="27">
        <f t="shared" si="19"/>
        <v>7.8253415321815547</v>
      </c>
      <c r="K190">
        <f t="shared" si="20"/>
        <v>17.553041960784313</v>
      </c>
    </row>
    <row r="191" spans="1:11" x14ac:dyDescent="0.25">
      <c r="A191">
        <f t="shared" si="21"/>
        <v>925</v>
      </c>
      <c r="B191">
        <f t="shared" si="15"/>
        <v>55500</v>
      </c>
      <c r="C191">
        <f t="shared" si="16"/>
        <v>15.416666666666666</v>
      </c>
      <c r="D191">
        <f>IF(OR(A191&lt;420,A191&gt;1440),0,Afleiding_Tapwater_schema!G$96)</f>
        <v>15553.041960784316</v>
      </c>
      <c r="E191" s="13">
        <f>_xlfn.NORM.DIST(A191,-30,Afleiding_Tapwater_schema!G$94,FALSE)*Afleiding_Tapwater_schema!G$95/K$4 + _xlfn.NORM.DIST(A191,Afleiding_Tapwater_schema!G$66*60,Afleiding_Tapwater_schema!G$94,FALSE)*Afleiding_Tapwater_schema!G$95/K$4 + _xlfn.NORM.DIST(A191,1415,Afleiding_Tapwater_schema!G$94,FALSE)*Afleiding_Tapwater_schema!G$95/K$4</f>
        <v>3.3670815723487166E-126</v>
      </c>
      <c r="F191">
        <v>2000</v>
      </c>
      <c r="G191" s="13">
        <f t="shared" si="17"/>
        <v>17553.041960784314</v>
      </c>
      <c r="H191" s="13">
        <f t="shared" si="18"/>
        <v>37.848509113788161</v>
      </c>
      <c r="I191" s="27">
        <f>G191/((Afleiding_Tapwater_schema!D$4*1000)*(E$4-H191))</f>
        <v>1.3042235886969258E-4</v>
      </c>
      <c r="J191" s="27">
        <f t="shared" si="19"/>
        <v>7.8253415321815547</v>
      </c>
      <c r="K191">
        <f t="shared" si="20"/>
        <v>17.553041960784313</v>
      </c>
    </row>
    <row r="192" spans="1:11" x14ac:dyDescent="0.25">
      <c r="A192">
        <f t="shared" si="21"/>
        <v>930</v>
      </c>
      <c r="B192">
        <f t="shared" si="15"/>
        <v>55800</v>
      </c>
      <c r="C192">
        <f t="shared" si="16"/>
        <v>15.5</v>
      </c>
      <c r="D192">
        <f>IF(OR(A192&lt;420,A192&gt;1440),0,Afleiding_Tapwater_schema!G$96)</f>
        <v>15553.041960784316</v>
      </c>
      <c r="E192" s="13">
        <f>_xlfn.NORM.DIST(A192,-30,Afleiding_Tapwater_schema!G$94,FALSE)*Afleiding_Tapwater_schema!G$95/K$4 + _xlfn.NORM.DIST(A192,Afleiding_Tapwater_schema!G$66*60,Afleiding_Tapwater_schema!G$94,FALSE)*Afleiding_Tapwater_schema!G$95/K$4 + _xlfn.NORM.DIST(A192,1415,Afleiding_Tapwater_schema!G$94,FALSE)*Afleiding_Tapwater_schema!G$95/K$4</f>
        <v>1.4918859830794537E-123</v>
      </c>
      <c r="F192">
        <v>2000</v>
      </c>
      <c r="G192" s="13">
        <f t="shared" si="17"/>
        <v>17553.041960784314</v>
      </c>
      <c r="H192" s="13">
        <f t="shared" si="18"/>
        <v>37.848509113788161</v>
      </c>
      <c r="I192" s="27">
        <f>G192/((Afleiding_Tapwater_schema!D$4*1000)*(E$4-H192))</f>
        <v>1.3042235886969258E-4</v>
      </c>
      <c r="J192" s="27">
        <f t="shared" si="19"/>
        <v>7.8253415321815547</v>
      </c>
      <c r="K192">
        <f t="shared" si="20"/>
        <v>17.553041960784313</v>
      </c>
    </row>
    <row r="193" spans="1:11" x14ac:dyDescent="0.25">
      <c r="A193">
        <f t="shared" si="21"/>
        <v>935</v>
      </c>
      <c r="B193">
        <f t="shared" si="15"/>
        <v>56100</v>
      </c>
      <c r="C193">
        <f t="shared" si="16"/>
        <v>15.583333333333334</v>
      </c>
      <c r="D193">
        <f>IF(OR(A193&lt;420,A193&gt;1440),0,Afleiding_Tapwater_schema!G$96)</f>
        <v>15553.041960784316</v>
      </c>
      <c r="E193" s="13">
        <f>_xlfn.NORM.DIST(A193,-30,Afleiding_Tapwater_schema!G$94,FALSE)*Afleiding_Tapwater_schema!G$95/K$4 + _xlfn.NORM.DIST(A193,Afleiding_Tapwater_schema!G$66*60,Afleiding_Tapwater_schema!G$94,FALSE)*Afleiding_Tapwater_schema!G$95/K$4 + _xlfn.NORM.DIST(A193,1415,Afleiding_Tapwater_schema!G$94,FALSE)*Afleiding_Tapwater_schema!G$95/K$4</f>
        <v>6.2097515930479359E-121</v>
      </c>
      <c r="F193">
        <v>2000</v>
      </c>
      <c r="G193" s="13">
        <f t="shared" si="17"/>
        <v>17553.041960784314</v>
      </c>
      <c r="H193" s="13">
        <f t="shared" si="18"/>
        <v>37.848509113788161</v>
      </c>
      <c r="I193" s="27">
        <f>G193/((Afleiding_Tapwater_schema!D$4*1000)*(E$4-H193))</f>
        <v>1.3042235886969258E-4</v>
      </c>
      <c r="J193" s="27">
        <f t="shared" si="19"/>
        <v>7.8253415321815547</v>
      </c>
      <c r="K193">
        <f t="shared" si="20"/>
        <v>17.553041960784313</v>
      </c>
    </row>
    <row r="194" spans="1:11" x14ac:dyDescent="0.25">
      <c r="A194">
        <f t="shared" si="21"/>
        <v>940</v>
      </c>
      <c r="B194">
        <f t="shared" si="15"/>
        <v>56400</v>
      </c>
      <c r="C194">
        <f t="shared" si="16"/>
        <v>15.666666666666666</v>
      </c>
      <c r="D194">
        <f>IF(OR(A194&lt;420,A194&gt;1440),0,Afleiding_Tapwater_schema!G$96)</f>
        <v>15553.041960784316</v>
      </c>
      <c r="E194" s="13">
        <f>_xlfn.NORM.DIST(A194,-30,Afleiding_Tapwater_schema!G$94,FALSE)*Afleiding_Tapwater_schema!G$95/K$4 + _xlfn.NORM.DIST(A194,Afleiding_Tapwater_schema!G$66*60,Afleiding_Tapwater_schema!G$94,FALSE)*Afleiding_Tapwater_schema!G$95/K$4 + _xlfn.NORM.DIST(A194,1415,Afleiding_Tapwater_schema!G$94,FALSE)*Afleiding_Tapwater_schema!G$95/K$4</f>
        <v>2.4281159199702447E-118</v>
      </c>
      <c r="F194">
        <v>2000</v>
      </c>
      <c r="G194" s="13">
        <f t="shared" si="17"/>
        <v>17553.041960784314</v>
      </c>
      <c r="H194" s="13">
        <f t="shared" si="18"/>
        <v>37.848509113788161</v>
      </c>
      <c r="I194" s="27">
        <f>G194/((Afleiding_Tapwater_schema!D$4*1000)*(E$4-H194))</f>
        <v>1.3042235886969258E-4</v>
      </c>
      <c r="J194" s="27">
        <f t="shared" si="19"/>
        <v>7.8253415321815547</v>
      </c>
      <c r="K194">
        <f t="shared" si="20"/>
        <v>17.553041960784313</v>
      </c>
    </row>
    <row r="195" spans="1:11" x14ac:dyDescent="0.25">
      <c r="A195">
        <f t="shared" si="21"/>
        <v>945</v>
      </c>
      <c r="B195">
        <f t="shared" si="15"/>
        <v>56700</v>
      </c>
      <c r="C195">
        <f t="shared" si="16"/>
        <v>15.75</v>
      </c>
      <c r="D195">
        <f>IF(OR(A195&lt;420,A195&gt;1440),0,Afleiding_Tapwater_schema!G$96)</f>
        <v>15553.041960784316</v>
      </c>
      <c r="E195" s="13">
        <f>_xlfn.NORM.DIST(A195,-30,Afleiding_Tapwater_schema!G$94,FALSE)*Afleiding_Tapwater_schema!G$95/K$4 + _xlfn.NORM.DIST(A195,Afleiding_Tapwater_schema!G$66*60,Afleiding_Tapwater_schema!G$94,FALSE)*Afleiding_Tapwater_schema!G$95/K$4 + _xlfn.NORM.DIST(A195,1415,Afleiding_Tapwater_schema!G$94,FALSE)*Afleiding_Tapwater_schema!G$95/K$4</f>
        <v>8.9191034286373519E-116</v>
      </c>
      <c r="F195">
        <v>2000</v>
      </c>
      <c r="G195" s="13">
        <f t="shared" si="17"/>
        <v>17553.041960784314</v>
      </c>
      <c r="H195" s="13">
        <f t="shared" si="18"/>
        <v>37.848509113788161</v>
      </c>
      <c r="I195" s="27">
        <f>G195/((Afleiding_Tapwater_schema!D$4*1000)*(E$4-H195))</f>
        <v>1.3042235886969258E-4</v>
      </c>
      <c r="J195" s="27">
        <f t="shared" si="19"/>
        <v>7.8253415321815547</v>
      </c>
      <c r="K195">
        <f t="shared" si="20"/>
        <v>17.553041960784313</v>
      </c>
    </row>
    <row r="196" spans="1:11" x14ac:dyDescent="0.25">
      <c r="A196">
        <f t="shared" si="21"/>
        <v>950</v>
      </c>
      <c r="B196">
        <f t="shared" si="15"/>
        <v>57000</v>
      </c>
      <c r="C196">
        <f t="shared" si="16"/>
        <v>15.833333333333334</v>
      </c>
      <c r="D196">
        <f>IF(OR(A196&lt;420,A196&gt;1440),0,Afleiding_Tapwater_schema!G$96)</f>
        <v>15553.041960784316</v>
      </c>
      <c r="E196" s="13">
        <f>_xlfn.NORM.DIST(A196,-30,Afleiding_Tapwater_schema!G$94,FALSE)*Afleiding_Tapwater_schema!G$95/K$4 + _xlfn.NORM.DIST(A196,Afleiding_Tapwater_schema!G$66*60,Afleiding_Tapwater_schema!G$94,FALSE)*Afleiding_Tapwater_schema!G$95/K$4 + _xlfn.NORM.DIST(A196,1415,Afleiding_Tapwater_schema!G$94,FALSE)*Afleiding_Tapwater_schema!G$95/K$4</f>
        <v>3.0777233453473339E-113</v>
      </c>
      <c r="F196">
        <v>2000</v>
      </c>
      <c r="G196" s="13">
        <f t="shared" si="17"/>
        <v>17553.041960784314</v>
      </c>
      <c r="H196" s="13">
        <f t="shared" si="18"/>
        <v>37.848509113788161</v>
      </c>
      <c r="I196" s="27">
        <f>G196/((Afleiding_Tapwater_schema!D$4*1000)*(E$4-H196))</f>
        <v>1.3042235886969258E-4</v>
      </c>
      <c r="J196" s="27">
        <f t="shared" si="19"/>
        <v>7.8253415321815547</v>
      </c>
      <c r="K196">
        <f t="shared" si="20"/>
        <v>17.553041960784313</v>
      </c>
    </row>
    <row r="197" spans="1:11" x14ac:dyDescent="0.25">
      <c r="A197">
        <f t="shared" si="21"/>
        <v>955</v>
      </c>
      <c r="B197">
        <f t="shared" si="15"/>
        <v>57300</v>
      </c>
      <c r="C197">
        <f t="shared" si="16"/>
        <v>15.916666666666666</v>
      </c>
      <c r="D197">
        <f>IF(OR(A197&lt;420,A197&gt;1440),0,Afleiding_Tapwater_schema!G$96)</f>
        <v>15553.041960784316</v>
      </c>
      <c r="E197" s="13">
        <f>_xlfn.NORM.DIST(A197,-30,Afleiding_Tapwater_schema!G$94,FALSE)*Afleiding_Tapwater_schema!G$95/K$4 + _xlfn.NORM.DIST(A197,Afleiding_Tapwater_schema!G$66*60,Afleiding_Tapwater_schema!G$94,FALSE)*Afleiding_Tapwater_schema!G$95/K$4 + _xlfn.NORM.DIST(A197,1415,Afleiding_Tapwater_schema!G$94,FALSE)*Afleiding_Tapwater_schema!G$95/K$4</f>
        <v>9.9768754893533894E-111</v>
      </c>
      <c r="F197">
        <v>2000</v>
      </c>
      <c r="G197" s="13">
        <f t="shared" si="17"/>
        <v>17553.041960784314</v>
      </c>
      <c r="H197" s="13">
        <f t="shared" si="18"/>
        <v>37.848509113788161</v>
      </c>
      <c r="I197" s="27">
        <f>G197/((Afleiding_Tapwater_schema!D$4*1000)*(E$4-H197))</f>
        <v>1.3042235886969258E-4</v>
      </c>
      <c r="J197" s="27">
        <f t="shared" si="19"/>
        <v>7.8253415321815547</v>
      </c>
      <c r="K197">
        <f t="shared" si="20"/>
        <v>17.553041960784313</v>
      </c>
    </row>
    <row r="198" spans="1:11" x14ac:dyDescent="0.25">
      <c r="A198">
        <f t="shared" si="21"/>
        <v>960</v>
      </c>
      <c r="B198">
        <f t="shared" si="15"/>
        <v>57600</v>
      </c>
      <c r="C198">
        <f t="shared" si="16"/>
        <v>16</v>
      </c>
      <c r="D198">
        <f>IF(OR(A198&lt;420,A198&gt;1440),0,Afleiding_Tapwater_schema!G$96)</f>
        <v>15553.041960784316</v>
      </c>
      <c r="E198" s="13">
        <f>_xlfn.NORM.DIST(A198,-30,Afleiding_Tapwater_schema!G$94,FALSE)*Afleiding_Tapwater_schema!G$95/K$4 + _xlfn.NORM.DIST(A198,Afleiding_Tapwater_schema!G$66*60,Afleiding_Tapwater_schema!G$94,FALSE)*Afleiding_Tapwater_schema!G$95/K$4 + _xlfn.NORM.DIST(A198,1415,Afleiding_Tapwater_schema!G$94,FALSE)*Afleiding_Tapwater_schema!G$95/K$4</f>
        <v>3.038198329937791E-108</v>
      </c>
      <c r="F198">
        <v>2000</v>
      </c>
      <c r="G198" s="13">
        <f t="shared" si="17"/>
        <v>17553.041960784314</v>
      </c>
      <c r="H198" s="13">
        <f t="shared" si="18"/>
        <v>37.848509113788161</v>
      </c>
      <c r="I198" s="27">
        <f>G198/((Afleiding_Tapwater_schema!D$4*1000)*(E$4-H198))</f>
        <v>1.3042235886969258E-4</v>
      </c>
      <c r="J198" s="27">
        <f t="shared" si="19"/>
        <v>7.8253415321815547</v>
      </c>
      <c r="K198">
        <f t="shared" si="20"/>
        <v>17.553041960784313</v>
      </c>
    </row>
    <row r="199" spans="1:11" x14ac:dyDescent="0.25">
      <c r="A199">
        <f t="shared" si="21"/>
        <v>965</v>
      </c>
      <c r="B199">
        <f t="shared" ref="B199:B262" si="22">A199*60</f>
        <v>57900</v>
      </c>
      <c r="C199">
        <f t="shared" ref="C199:C262" si="23">A199/60</f>
        <v>16.083333333333332</v>
      </c>
      <c r="D199">
        <f>IF(OR(A199&lt;420,A199&gt;1440),0,Afleiding_Tapwater_schema!G$96)</f>
        <v>15553.041960784316</v>
      </c>
      <c r="E199" s="13">
        <f>_xlfn.NORM.DIST(A199,-30,Afleiding_Tapwater_schema!G$94,FALSE)*Afleiding_Tapwater_schema!G$95/K$4 + _xlfn.NORM.DIST(A199,Afleiding_Tapwater_schema!G$66*60,Afleiding_Tapwater_schema!G$94,FALSE)*Afleiding_Tapwater_schema!G$95/K$4 + _xlfn.NORM.DIST(A199,1415,Afleiding_Tapwater_schema!G$94,FALSE)*Afleiding_Tapwater_schema!G$95/K$4</f>
        <v>8.6914909828835665E-106</v>
      </c>
      <c r="F199">
        <v>2000</v>
      </c>
      <c r="G199" s="13">
        <f t="shared" ref="G199:G262" si="24">D199+E199+F199</f>
        <v>17553.041960784314</v>
      </c>
      <c r="H199" s="13">
        <f t="shared" ref="H199:H262" si="25">(F199*E$3+(D199+E199)*E$2)/(D199+E199+F199)</f>
        <v>37.848509113788161</v>
      </c>
      <c r="I199" s="27">
        <f>G199/((Afleiding_Tapwater_schema!D$4*1000)*(E$4-H199))</f>
        <v>1.3042235886969258E-4</v>
      </c>
      <c r="J199" s="27">
        <f t="shared" ref="J199:J262" si="26">I199*1000*60</f>
        <v>7.8253415321815547</v>
      </c>
      <c r="K199">
        <f t="shared" ref="K199:K262" si="27">G199/1000</f>
        <v>17.553041960784313</v>
      </c>
    </row>
    <row r="200" spans="1:11" x14ac:dyDescent="0.25">
      <c r="A200">
        <f t="shared" si="21"/>
        <v>970</v>
      </c>
      <c r="B200">
        <f t="shared" si="22"/>
        <v>58200</v>
      </c>
      <c r="C200">
        <f t="shared" si="23"/>
        <v>16.166666666666668</v>
      </c>
      <c r="D200">
        <f>IF(OR(A200&lt;420,A200&gt;1440),0,Afleiding_Tapwater_schema!G$96)</f>
        <v>15553.041960784316</v>
      </c>
      <c r="E200" s="13">
        <f>_xlfn.NORM.DIST(A200,-30,Afleiding_Tapwater_schema!G$94,FALSE)*Afleiding_Tapwater_schema!G$95/K$4 + _xlfn.NORM.DIST(A200,Afleiding_Tapwater_schema!G$66*60,Afleiding_Tapwater_schema!G$94,FALSE)*Afleiding_Tapwater_schema!G$95/K$4 + _xlfn.NORM.DIST(A200,1415,Afleiding_Tapwater_schema!G$94,FALSE)*Afleiding_Tapwater_schema!G$95/K$4</f>
        <v>2.3357644383479538E-103</v>
      </c>
      <c r="F200">
        <v>2000</v>
      </c>
      <c r="G200" s="13">
        <f t="shared" si="24"/>
        <v>17553.041960784314</v>
      </c>
      <c r="H200" s="13">
        <f t="shared" si="25"/>
        <v>37.848509113788161</v>
      </c>
      <c r="I200" s="27">
        <f>G200/((Afleiding_Tapwater_schema!D$4*1000)*(E$4-H200))</f>
        <v>1.3042235886969258E-4</v>
      </c>
      <c r="J200" s="27">
        <f t="shared" si="26"/>
        <v>7.8253415321815547</v>
      </c>
      <c r="K200">
        <f t="shared" si="27"/>
        <v>17.553041960784313</v>
      </c>
    </row>
    <row r="201" spans="1:11" x14ac:dyDescent="0.25">
      <c r="A201">
        <f t="shared" si="21"/>
        <v>975</v>
      </c>
      <c r="B201">
        <f t="shared" si="22"/>
        <v>58500</v>
      </c>
      <c r="C201">
        <f t="shared" si="23"/>
        <v>16.25</v>
      </c>
      <c r="D201">
        <f>IF(OR(A201&lt;420,A201&gt;1440),0,Afleiding_Tapwater_schema!G$96)</f>
        <v>15553.041960784316</v>
      </c>
      <c r="E201" s="13">
        <f>_xlfn.NORM.DIST(A201,-30,Afleiding_Tapwater_schema!G$94,FALSE)*Afleiding_Tapwater_schema!G$95/K$4 + _xlfn.NORM.DIST(A201,Afleiding_Tapwater_schema!G$66*60,Afleiding_Tapwater_schema!G$94,FALSE)*Afleiding_Tapwater_schema!G$95/K$4 + _xlfn.NORM.DIST(A201,1415,Afleiding_Tapwater_schema!G$94,FALSE)*Afleiding_Tapwater_schema!G$95/K$4</f>
        <v>5.8968542699859489E-101</v>
      </c>
      <c r="F201">
        <v>2000</v>
      </c>
      <c r="G201" s="13">
        <f t="shared" si="24"/>
        <v>17553.041960784314</v>
      </c>
      <c r="H201" s="13">
        <f t="shared" si="25"/>
        <v>37.848509113788161</v>
      </c>
      <c r="I201" s="27">
        <f>G201/((Afleiding_Tapwater_schema!D$4*1000)*(E$4-H201))</f>
        <v>1.3042235886969258E-4</v>
      </c>
      <c r="J201" s="27">
        <f t="shared" si="26"/>
        <v>7.8253415321815547</v>
      </c>
      <c r="K201">
        <f t="shared" si="27"/>
        <v>17.553041960784313</v>
      </c>
    </row>
    <row r="202" spans="1:11" x14ac:dyDescent="0.25">
      <c r="A202">
        <f t="shared" ref="A202:A265" si="28">A201+D$1</f>
        <v>980</v>
      </c>
      <c r="B202">
        <f t="shared" si="22"/>
        <v>58800</v>
      </c>
      <c r="C202">
        <f t="shared" si="23"/>
        <v>16.333333333333332</v>
      </c>
      <c r="D202">
        <f>IF(OR(A202&lt;420,A202&gt;1440),0,Afleiding_Tapwater_schema!G$96)</f>
        <v>15553.041960784316</v>
      </c>
      <c r="E202" s="13">
        <f>_xlfn.NORM.DIST(A202,-30,Afleiding_Tapwater_schema!G$94,FALSE)*Afleiding_Tapwater_schema!G$95/K$4 + _xlfn.NORM.DIST(A202,Afleiding_Tapwater_schema!G$66*60,Afleiding_Tapwater_schema!G$94,FALSE)*Afleiding_Tapwater_schema!G$95/K$4 + _xlfn.NORM.DIST(A202,1415,Afleiding_Tapwater_schema!G$94,FALSE)*Afleiding_Tapwater_schema!G$95/K$4</f>
        <v>1.3985189099496486E-98</v>
      </c>
      <c r="F202">
        <v>2000</v>
      </c>
      <c r="G202" s="13">
        <f t="shared" si="24"/>
        <v>17553.041960784314</v>
      </c>
      <c r="H202" s="13">
        <f t="shared" si="25"/>
        <v>37.848509113788161</v>
      </c>
      <c r="I202" s="27">
        <f>G202/((Afleiding_Tapwater_schema!D$4*1000)*(E$4-H202))</f>
        <v>1.3042235886969258E-4</v>
      </c>
      <c r="J202" s="27">
        <f t="shared" si="26"/>
        <v>7.8253415321815547</v>
      </c>
      <c r="K202">
        <f t="shared" si="27"/>
        <v>17.553041960784313</v>
      </c>
    </row>
    <row r="203" spans="1:11" x14ac:dyDescent="0.25">
      <c r="A203">
        <f t="shared" si="28"/>
        <v>985</v>
      </c>
      <c r="B203">
        <f t="shared" si="22"/>
        <v>59100</v>
      </c>
      <c r="C203">
        <f t="shared" si="23"/>
        <v>16.416666666666668</v>
      </c>
      <c r="D203">
        <f>IF(OR(A203&lt;420,A203&gt;1440),0,Afleiding_Tapwater_schema!G$96)</f>
        <v>15553.041960784316</v>
      </c>
      <c r="E203" s="13">
        <f>_xlfn.NORM.DIST(A203,-30,Afleiding_Tapwater_schema!G$94,FALSE)*Afleiding_Tapwater_schema!G$95/K$4 + _xlfn.NORM.DIST(A203,Afleiding_Tapwater_schema!G$66*60,Afleiding_Tapwater_schema!G$94,FALSE)*Afleiding_Tapwater_schema!G$95/K$4 + _xlfn.NORM.DIST(A203,1415,Afleiding_Tapwater_schema!G$94,FALSE)*Afleiding_Tapwater_schema!G$95/K$4</f>
        <v>3.1158237676576186E-96</v>
      </c>
      <c r="F203">
        <v>2000</v>
      </c>
      <c r="G203" s="13">
        <f t="shared" si="24"/>
        <v>17553.041960784314</v>
      </c>
      <c r="H203" s="13">
        <f t="shared" si="25"/>
        <v>37.848509113788161</v>
      </c>
      <c r="I203" s="27">
        <f>G203/((Afleiding_Tapwater_schema!D$4*1000)*(E$4-H203))</f>
        <v>1.3042235886969258E-4</v>
      </c>
      <c r="J203" s="27">
        <f t="shared" si="26"/>
        <v>7.8253415321815547</v>
      </c>
      <c r="K203">
        <f t="shared" si="27"/>
        <v>17.553041960784313</v>
      </c>
    </row>
    <row r="204" spans="1:11" x14ac:dyDescent="0.25">
      <c r="A204">
        <f t="shared" si="28"/>
        <v>990</v>
      </c>
      <c r="B204">
        <f t="shared" si="22"/>
        <v>59400</v>
      </c>
      <c r="C204">
        <f t="shared" si="23"/>
        <v>16.5</v>
      </c>
      <c r="D204">
        <f>IF(OR(A204&lt;420,A204&gt;1440),0,Afleiding_Tapwater_schema!G$96)</f>
        <v>15553.041960784316</v>
      </c>
      <c r="E204" s="13">
        <f>_xlfn.NORM.DIST(A204,-30,Afleiding_Tapwater_schema!G$94,FALSE)*Afleiding_Tapwater_schema!G$95/K$4 + _xlfn.NORM.DIST(A204,Afleiding_Tapwater_schema!G$66*60,Afleiding_Tapwater_schema!G$94,FALSE)*Afleiding_Tapwater_schema!G$95/K$4 + _xlfn.NORM.DIST(A204,1415,Afleiding_Tapwater_schema!G$94,FALSE)*Afleiding_Tapwater_schema!G$95/K$4</f>
        <v>6.521297656374393E-94</v>
      </c>
      <c r="F204">
        <v>2000</v>
      </c>
      <c r="G204" s="13">
        <f t="shared" si="24"/>
        <v>17553.041960784314</v>
      </c>
      <c r="H204" s="13">
        <f t="shared" si="25"/>
        <v>37.848509113788161</v>
      </c>
      <c r="I204" s="27">
        <f>G204/((Afleiding_Tapwater_schema!D$4*1000)*(E$4-H204))</f>
        <v>1.3042235886969258E-4</v>
      </c>
      <c r="J204" s="27">
        <f t="shared" si="26"/>
        <v>7.8253415321815547</v>
      </c>
      <c r="K204">
        <f t="shared" si="27"/>
        <v>17.553041960784313</v>
      </c>
    </row>
    <row r="205" spans="1:11" x14ac:dyDescent="0.25">
      <c r="A205">
        <f t="shared" si="28"/>
        <v>995</v>
      </c>
      <c r="B205">
        <f t="shared" si="22"/>
        <v>59700</v>
      </c>
      <c r="C205">
        <f t="shared" si="23"/>
        <v>16.583333333333332</v>
      </c>
      <c r="D205">
        <f>IF(OR(A205&lt;420,A205&gt;1440),0,Afleiding_Tapwater_schema!G$96)</f>
        <v>15553.041960784316</v>
      </c>
      <c r="E205" s="13">
        <f>_xlfn.NORM.DIST(A205,-30,Afleiding_Tapwater_schema!G$94,FALSE)*Afleiding_Tapwater_schema!G$95/K$4 + _xlfn.NORM.DIST(A205,Afleiding_Tapwater_schema!G$66*60,Afleiding_Tapwater_schema!G$94,FALSE)*Afleiding_Tapwater_schema!G$95/K$4 + _xlfn.NORM.DIST(A205,1415,Afleiding_Tapwater_schema!G$94,FALSE)*Afleiding_Tapwater_schema!G$95/K$4</f>
        <v>1.2821881417992262E-91</v>
      </c>
      <c r="F205">
        <v>2000</v>
      </c>
      <c r="G205" s="13">
        <f t="shared" si="24"/>
        <v>17553.041960784314</v>
      </c>
      <c r="H205" s="13">
        <f t="shared" si="25"/>
        <v>37.848509113788161</v>
      </c>
      <c r="I205" s="27">
        <f>G205/((Afleiding_Tapwater_schema!D$4*1000)*(E$4-H205))</f>
        <v>1.3042235886969258E-4</v>
      </c>
      <c r="J205" s="27">
        <f t="shared" si="26"/>
        <v>7.8253415321815547</v>
      </c>
      <c r="K205">
        <f t="shared" si="27"/>
        <v>17.553041960784313</v>
      </c>
    </row>
    <row r="206" spans="1:11" x14ac:dyDescent="0.25">
      <c r="A206">
        <f t="shared" si="28"/>
        <v>1000</v>
      </c>
      <c r="B206">
        <f t="shared" si="22"/>
        <v>60000</v>
      </c>
      <c r="C206">
        <f t="shared" si="23"/>
        <v>16.666666666666668</v>
      </c>
      <c r="D206">
        <f>IF(OR(A206&lt;420,A206&gt;1440),0,Afleiding_Tapwater_schema!G$96)</f>
        <v>15553.041960784316</v>
      </c>
      <c r="E206" s="13">
        <f>_xlfn.NORM.DIST(A206,-30,Afleiding_Tapwater_schema!G$94,FALSE)*Afleiding_Tapwater_schema!G$95/K$4 + _xlfn.NORM.DIST(A206,Afleiding_Tapwater_schema!G$66*60,Afleiding_Tapwater_schema!G$94,FALSE)*Afleiding_Tapwater_schema!G$95/K$4 + _xlfn.NORM.DIST(A206,1415,Afleiding_Tapwater_schema!G$94,FALSE)*Afleiding_Tapwater_schema!G$95/K$4</f>
        <v>2.3682420247962256E-89</v>
      </c>
      <c r="F206">
        <v>2000</v>
      </c>
      <c r="G206" s="13">
        <f t="shared" si="24"/>
        <v>17553.041960784314</v>
      </c>
      <c r="H206" s="13">
        <f t="shared" si="25"/>
        <v>37.848509113788161</v>
      </c>
      <c r="I206" s="27">
        <f>G206/((Afleiding_Tapwater_schema!D$4*1000)*(E$4-H206))</f>
        <v>1.3042235886969258E-4</v>
      </c>
      <c r="J206" s="27">
        <f t="shared" si="26"/>
        <v>7.8253415321815547</v>
      </c>
      <c r="K206">
        <f t="shared" si="27"/>
        <v>17.553041960784313</v>
      </c>
    </row>
    <row r="207" spans="1:11" x14ac:dyDescent="0.25">
      <c r="A207">
        <f t="shared" si="28"/>
        <v>1005</v>
      </c>
      <c r="B207">
        <f t="shared" si="22"/>
        <v>60300</v>
      </c>
      <c r="C207">
        <f t="shared" si="23"/>
        <v>16.75</v>
      </c>
      <c r="D207">
        <f>IF(OR(A207&lt;420,A207&gt;1440),0,Afleiding_Tapwater_schema!G$96)</f>
        <v>15553.041960784316</v>
      </c>
      <c r="E207" s="13">
        <f>_xlfn.NORM.DIST(A207,-30,Afleiding_Tapwater_schema!G$94,FALSE)*Afleiding_Tapwater_schema!G$95/K$4 + _xlfn.NORM.DIST(A207,Afleiding_Tapwater_schema!G$66*60,Afleiding_Tapwater_schema!G$94,FALSE)*Afleiding_Tapwater_schema!G$95/K$4 + _xlfn.NORM.DIST(A207,1415,Afleiding_Tapwater_schema!G$94,FALSE)*Afleiding_Tapwater_schema!G$95/K$4</f>
        <v>4.1091974106636404E-87</v>
      </c>
      <c r="F207">
        <v>2000</v>
      </c>
      <c r="G207" s="13">
        <f t="shared" si="24"/>
        <v>17553.041960784314</v>
      </c>
      <c r="H207" s="13">
        <f t="shared" si="25"/>
        <v>37.848509113788161</v>
      </c>
      <c r="I207" s="27">
        <f>G207/((Afleiding_Tapwater_schema!D$4*1000)*(E$4-H207))</f>
        <v>1.3042235886969258E-4</v>
      </c>
      <c r="J207" s="27">
        <f t="shared" si="26"/>
        <v>7.8253415321815547</v>
      </c>
      <c r="K207">
        <f t="shared" si="27"/>
        <v>17.553041960784313</v>
      </c>
    </row>
    <row r="208" spans="1:11" x14ac:dyDescent="0.25">
      <c r="A208">
        <f t="shared" si="28"/>
        <v>1010</v>
      </c>
      <c r="B208">
        <f t="shared" si="22"/>
        <v>60600</v>
      </c>
      <c r="C208">
        <f t="shared" si="23"/>
        <v>16.833333333333332</v>
      </c>
      <c r="D208">
        <f>IF(OR(A208&lt;420,A208&gt;1440),0,Afleiding_Tapwater_schema!G$96)</f>
        <v>15553.041960784316</v>
      </c>
      <c r="E208" s="13">
        <f>_xlfn.NORM.DIST(A208,-30,Afleiding_Tapwater_schema!G$94,FALSE)*Afleiding_Tapwater_schema!G$95/K$4 + _xlfn.NORM.DIST(A208,Afleiding_Tapwater_schema!G$66*60,Afleiding_Tapwater_schema!G$94,FALSE)*Afleiding_Tapwater_schema!G$95/K$4 + _xlfn.NORM.DIST(A208,1415,Afleiding_Tapwater_schema!G$94,FALSE)*Afleiding_Tapwater_schema!G$95/K$4</f>
        <v>6.6979904343798247E-85</v>
      </c>
      <c r="F208">
        <v>2000</v>
      </c>
      <c r="G208" s="13">
        <f t="shared" si="24"/>
        <v>17553.041960784314</v>
      </c>
      <c r="H208" s="13">
        <f t="shared" si="25"/>
        <v>37.848509113788161</v>
      </c>
      <c r="I208" s="27">
        <f>G208/((Afleiding_Tapwater_schema!D$4*1000)*(E$4-H208))</f>
        <v>1.3042235886969258E-4</v>
      </c>
      <c r="J208" s="27">
        <f t="shared" si="26"/>
        <v>7.8253415321815547</v>
      </c>
      <c r="K208">
        <f t="shared" si="27"/>
        <v>17.553041960784313</v>
      </c>
    </row>
    <row r="209" spans="1:11" x14ac:dyDescent="0.25">
      <c r="A209">
        <f t="shared" si="28"/>
        <v>1015</v>
      </c>
      <c r="B209">
        <f t="shared" si="22"/>
        <v>60900</v>
      </c>
      <c r="C209">
        <f t="shared" si="23"/>
        <v>16.916666666666668</v>
      </c>
      <c r="D209">
        <f>IF(OR(A209&lt;420,A209&gt;1440),0,Afleiding_Tapwater_schema!G$96)</f>
        <v>15553.041960784316</v>
      </c>
      <c r="E209" s="13">
        <f>_xlfn.NORM.DIST(A209,-30,Afleiding_Tapwater_schema!G$94,FALSE)*Afleiding_Tapwater_schema!G$95/K$4 + _xlfn.NORM.DIST(A209,Afleiding_Tapwater_schema!G$66*60,Afleiding_Tapwater_schema!G$94,FALSE)*Afleiding_Tapwater_schema!G$95/K$4 + _xlfn.NORM.DIST(A209,1415,Afleiding_Tapwater_schema!G$94,FALSE)*Afleiding_Tapwater_schema!G$95/K$4</f>
        <v>1.0256250865584731E-82</v>
      </c>
      <c r="F209">
        <v>2000</v>
      </c>
      <c r="G209" s="13">
        <f t="shared" si="24"/>
        <v>17553.041960784314</v>
      </c>
      <c r="H209" s="13">
        <f t="shared" si="25"/>
        <v>37.848509113788161</v>
      </c>
      <c r="I209" s="27">
        <f>G209/((Afleiding_Tapwater_schema!D$4*1000)*(E$4-H209))</f>
        <v>1.3042235886969258E-4</v>
      </c>
      <c r="J209" s="27">
        <f t="shared" si="26"/>
        <v>7.8253415321815547</v>
      </c>
      <c r="K209">
        <f t="shared" si="27"/>
        <v>17.553041960784313</v>
      </c>
    </row>
    <row r="210" spans="1:11" x14ac:dyDescent="0.25">
      <c r="A210">
        <f t="shared" si="28"/>
        <v>1020</v>
      </c>
      <c r="B210">
        <f t="shared" si="22"/>
        <v>61200</v>
      </c>
      <c r="C210">
        <f t="shared" si="23"/>
        <v>17</v>
      </c>
      <c r="D210">
        <f>IF(OR(A210&lt;420,A210&gt;1440),0,Afleiding_Tapwater_schema!G$96)</f>
        <v>15553.041960784316</v>
      </c>
      <c r="E210" s="13">
        <f>_xlfn.NORM.DIST(A210,-30,Afleiding_Tapwater_schema!G$94,FALSE)*Afleiding_Tapwater_schema!G$95/K$4 + _xlfn.NORM.DIST(A210,Afleiding_Tapwater_schema!G$66*60,Afleiding_Tapwater_schema!G$94,FALSE)*Afleiding_Tapwater_schema!G$95/K$4 + _xlfn.NORM.DIST(A210,1415,Afleiding_Tapwater_schema!G$94,FALSE)*Afleiding_Tapwater_schema!G$95/K$4</f>
        <v>1.4753305719680981E-80</v>
      </c>
      <c r="F210">
        <v>2000</v>
      </c>
      <c r="G210" s="13">
        <f t="shared" si="24"/>
        <v>17553.041960784314</v>
      </c>
      <c r="H210" s="13">
        <f t="shared" si="25"/>
        <v>37.848509113788161</v>
      </c>
      <c r="I210" s="27">
        <f>G210/((Afleiding_Tapwater_schema!D$4*1000)*(E$4-H210))</f>
        <v>1.3042235886969258E-4</v>
      </c>
      <c r="J210" s="27">
        <f t="shared" si="26"/>
        <v>7.8253415321815547</v>
      </c>
      <c r="K210">
        <f t="shared" si="27"/>
        <v>17.553041960784313</v>
      </c>
    </row>
    <row r="211" spans="1:11" x14ac:dyDescent="0.25">
      <c r="A211">
        <f t="shared" si="28"/>
        <v>1025</v>
      </c>
      <c r="B211">
        <f t="shared" si="22"/>
        <v>61500</v>
      </c>
      <c r="C211">
        <f t="shared" si="23"/>
        <v>17.083333333333332</v>
      </c>
      <c r="D211">
        <f>IF(OR(A211&lt;420,A211&gt;1440),0,Afleiding_Tapwater_schema!G$96)</f>
        <v>15553.041960784316</v>
      </c>
      <c r="E211" s="13">
        <f>_xlfn.NORM.DIST(A211,-30,Afleiding_Tapwater_schema!G$94,FALSE)*Afleiding_Tapwater_schema!G$95/K$4 + _xlfn.NORM.DIST(A211,Afleiding_Tapwater_schema!G$66*60,Afleiding_Tapwater_schema!G$94,FALSE)*Afleiding_Tapwater_schema!G$95/K$4 + _xlfn.NORM.DIST(A211,1415,Afleiding_Tapwater_schema!G$94,FALSE)*Afleiding_Tapwater_schema!G$95/K$4</f>
        <v>1.9936395647220292E-78</v>
      </c>
      <c r="F211">
        <v>2000</v>
      </c>
      <c r="G211" s="13">
        <f t="shared" si="24"/>
        <v>17553.041960784314</v>
      </c>
      <c r="H211" s="13">
        <f t="shared" si="25"/>
        <v>37.848509113788161</v>
      </c>
      <c r="I211" s="27">
        <f>G211/((Afleiding_Tapwater_schema!D$4*1000)*(E$4-H211))</f>
        <v>1.3042235886969258E-4</v>
      </c>
      <c r="J211" s="27">
        <f t="shared" si="26"/>
        <v>7.8253415321815547</v>
      </c>
      <c r="K211">
        <f t="shared" si="27"/>
        <v>17.553041960784313</v>
      </c>
    </row>
    <row r="212" spans="1:11" x14ac:dyDescent="0.25">
      <c r="A212">
        <f t="shared" si="28"/>
        <v>1030</v>
      </c>
      <c r="B212">
        <f t="shared" si="22"/>
        <v>61800</v>
      </c>
      <c r="C212">
        <f t="shared" si="23"/>
        <v>17.166666666666668</v>
      </c>
      <c r="D212">
        <f>IF(OR(A212&lt;420,A212&gt;1440),0,Afleiding_Tapwater_schema!G$96)</f>
        <v>15553.041960784316</v>
      </c>
      <c r="E212" s="13">
        <f>_xlfn.NORM.DIST(A212,-30,Afleiding_Tapwater_schema!G$94,FALSE)*Afleiding_Tapwater_schema!G$95/K$4 + _xlfn.NORM.DIST(A212,Afleiding_Tapwater_schema!G$66*60,Afleiding_Tapwater_schema!G$94,FALSE)*Afleiding_Tapwater_schema!G$95/K$4 + _xlfn.NORM.DIST(A212,1415,Afleiding_Tapwater_schema!G$94,FALSE)*Afleiding_Tapwater_schema!G$95/K$4</f>
        <v>2.5308158200882892E-76</v>
      </c>
      <c r="F212">
        <v>2000</v>
      </c>
      <c r="G212" s="13">
        <f t="shared" si="24"/>
        <v>17553.041960784314</v>
      </c>
      <c r="H212" s="13">
        <f t="shared" si="25"/>
        <v>37.848509113788161</v>
      </c>
      <c r="I212" s="27">
        <f>G212/((Afleiding_Tapwater_schema!D$4*1000)*(E$4-H212))</f>
        <v>1.3042235886969258E-4</v>
      </c>
      <c r="J212" s="27">
        <f t="shared" si="26"/>
        <v>7.8253415321815547</v>
      </c>
      <c r="K212">
        <f t="shared" si="27"/>
        <v>17.553041960784313</v>
      </c>
    </row>
    <row r="213" spans="1:11" x14ac:dyDescent="0.25">
      <c r="A213">
        <f t="shared" si="28"/>
        <v>1035</v>
      </c>
      <c r="B213">
        <f t="shared" si="22"/>
        <v>62100</v>
      </c>
      <c r="C213">
        <f t="shared" si="23"/>
        <v>17.25</v>
      </c>
      <c r="D213">
        <f>IF(OR(A213&lt;420,A213&gt;1440),0,Afleiding_Tapwater_schema!G$96)</f>
        <v>15553.041960784316</v>
      </c>
      <c r="E213" s="13">
        <f>_xlfn.NORM.DIST(A213,-30,Afleiding_Tapwater_schema!G$94,FALSE)*Afleiding_Tapwater_schema!G$95/K$4 + _xlfn.NORM.DIST(A213,Afleiding_Tapwater_schema!G$66*60,Afleiding_Tapwater_schema!G$94,FALSE)*Afleiding_Tapwater_schema!G$95/K$4 + _xlfn.NORM.DIST(A213,1415,Afleiding_Tapwater_schema!G$94,FALSE)*Afleiding_Tapwater_schema!G$95/K$4</f>
        <v>3.018081978926736E-74</v>
      </c>
      <c r="F213">
        <v>2000</v>
      </c>
      <c r="G213" s="13">
        <f t="shared" si="24"/>
        <v>17553.041960784314</v>
      </c>
      <c r="H213" s="13">
        <f t="shared" si="25"/>
        <v>37.848509113788161</v>
      </c>
      <c r="I213" s="27">
        <f>G213/((Afleiding_Tapwater_schema!D$4*1000)*(E$4-H213))</f>
        <v>1.3042235886969258E-4</v>
      </c>
      <c r="J213" s="27">
        <f t="shared" si="26"/>
        <v>7.8253415321815547</v>
      </c>
      <c r="K213">
        <f t="shared" si="27"/>
        <v>17.553041960784313</v>
      </c>
    </row>
    <row r="214" spans="1:11" x14ac:dyDescent="0.25">
      <c r="A214">
        <f t="shared" si="28"/>
        <v>1040</v>
      </c>
      <c r="B214">
        <f t="shared" si="22"/>
        <v>62400</v>
      </c>
      <c r="C214">
        <f t="shared" si="23"/>
        <v>17.333333333333332</v>
      </c>
      <c r="D214">
        <f>IF(OR(A214&lt;420,A214&gt;1440),0,Afleiding_Tapwater_schema!G$96)</f>
        <v>15553.041960784316</v>
      </c>
      <c r="E214" s="13">
        <f>_xlfn.NORM.DIST(A214,-30,Afleiding_Tapwater_schema!G$94,FALSE)*Afleiding_Tapwater_schema!G$95/K$4 + _xlfn.NORM.DIST(A214,Afleiding_Tapwater_schema!G$66*60,Afleiding_Tapwater_schema!G$94,FALSE)*Afleiding_Tapwater_schema!G$95/K$4 + _xlfn.NORM.DIST(A214,1415,Afleiding_Tapwater_schema!G$94,FALSE)*Afleiding_Tapwater_schema!G$95/K$4</f>
        <v>3.3811008012566234E-72</v>
      </c>
      <c r="F214">
        <v>2000</v>
      </c>
      <c r="G214" s="13">
        <f t="shared" si="24"/>
        <v>17553.041960784314</v>
      </c>
      <c r="H214" s="13">
        <f t="shared" si="25"/>
        <v>37.848509113788161</v>
      </c>
      <c r="I214" s="27">
        <f>G214/((Afleiding_Tapwater_schema!D$4*1000)*(E$4-H214))</f>
        <v>1.3042235886969258E-4</v>
      </c>
      <c r="J214" s="27">
        <f t="shared" si="26"/>
        <v>7.8253415321815547</v>
      </c>
      <c r="K214">
        <f t="shared" si="27"/>
        <v>17.553041960784313</v>
      </c>
    </row>
    <row r="215" spans="1:11" x14ac:dyDescent="0.25">
      <c r="A215">
        <f t="shared" si="28"/>
        <v>1045</v>
      </c>
      <c r="B215">
        <f t="shared" si="22"/>
        <v>62700</v>
      </c>
      <c r="C215">
        <f t="shared" si="23"/>
        <v>17.416666666666668</v>
      </c>
      <c r="D215">
        <f>IF(OR(A215&lt;420,A215&gt;1440),0,Afleiding_Tapwater_schema!G$96)</f>
        <v>15553.041960784316</v>
      </c>
      <c r="E215" s="13">
        <f>_xlfn.NORM.DIST(A215,-30,Afleiding_Tapwater_schema!G$94,FALSE)*Afleiding_Tapwater_schema!G$95/K$4 + _xlfn.NORM.DIST(A215,Afleiding_Tapwater_schema!G$66*60,Afleiding_Tapwater_schema!G$94,FALSE)*Afleiding_Tapwater_schema!G$95/K$4 + _xlfn.NORM.DIST(A215,1415,Afleiding_Tapwater_schema!G$94,FALSE)*Afleiding_Tapwater_schema!G$95/K$4</f>
        <v>3.5582937680283487E-70</v>
      </c>
      <c r="F215">
        <v>2000</v>
      </c>
      <c r="G215" s="13">
        <f t="shared" si="24"/>
        <v>17553.041960784314</v>
      </c>
      <c r="H215" s="13">
        <f t="shared" si="25"/>
        <v>37.848509113788161</v>
      </c>
      <c r="I215" s="27">
        <f>G215/((Afleiding_Tapwater_schema!D$4*1000)*(E$4-H215))</f>
        <v>1.3042235886969258E-4</v>
      </c>
      <c r="J215" s="27">
        <f t="shared" si="26"/>
        <v>7.8253415321815547</v>
      </c>
      <c r="K215">
        <f t="shared" si="27"/>
        <v>17.553041960784313</v>
      </c>
    </row>
    <row r="216" spans="1:11" x14ac:dyDescent="0.25">
      <c r="A216">
        <f t="shared" si="28"/>
        <v>1050</v>
      </c>
      <c r="B216">
        <f t="shared" si="22"/>
        <v>63000</v>
      </c>
      <c r="C216">
        <f t="shared" si="23"/>
        <v>17.5</v>
      </c>
      <c r="D216">
        <f>IF(OR(A216&lt;420,A216&gt;1440),0,Afleiding_Tapwater_schema!G$96)</f>
        <v>15553.041960784316</v>
      </c>
      <c r="E216" s="13">
        <f>_xlfn.NORM.DIST(A216,-30,Afleiding_Tapwater_schema!G$94,FALSE)*Afleiding_Tapwater_schema!G$95/K$4 + _xlfn.NORM.DIST(A216,Afleiding_Tapwater_schema!G$66*60,Afleiding_Tapwater_schema!G$94,FALSE)*Afleiding_Tapwater_schema!G$95/K$4 + _xlfn.NORM.DIST(A216,1415,Afleiding_Tapwater_schema!G$94,FALSE)*Afleiding_Tapwater_schema!G$95/K$4</f>
        <v>3.5178885480990657E-68</v>
      </c>
      <c r="F216">
        <v>2000</v>
      </c>
      <c r="G216" s="13">
        <f t="shared" si="24"/>
        <v>17553.041960784314</v>
      </c>
      <c r="H216" s="13">
        <f t="shared" si="25"/>
        <v>37.848509113788161</v>
      </c>
      <c r="I216" s="27">
        <f>G216/((Afleiding_Tapwater_schema!D$4*1000)*(E$4-H216))</f>
        <v>1.3042235886969258E-4</v>
      </c>
      <c r="J216" s="27">
        <f t="shared" si="26"/>
        <v>7.8253415321815547</v>
      </c>
      <c r="K216">
        <f t="shared" si="27"/>
        <v>17.553041960784313</v>
      </c>
    </row>
    <row r="217" spans="1:11" x14ac:dyDescent="0.25">
      <c r="A217">
        <f t="shared" si="28"/>
        <v>1055</v>
      </c>
      <c r="B217">
        <f t="shared" si="22"/>
        <v>63300</v>
      </c>
      <c r="C217">
        <f t="shared" si="23"/>
        <v>17.583333333333332</v>
      </c>
      <c r="D217">
        <f>IF(OR(A217&lt;420,A217&gt;1440),0,Afleiding_Tapwater_schema!G$96)</f>
        <v>15553.041960784316</v>
      </c>
      <c r="E217" s="13">
        <f>_xlfn.NORM.DIST(A217,-30,Afleiding_Tapwater_schema!G$94,FALSE)*Afleiding_Tapwater_schema!G$95/K$4 + _xlfn.NORM.DIST(A217,Afleiding_Tapwater_schema!G$66*60,Afleiding_Tapwater_schema!G$94,FALSE)*Afleiding_Tapwater_schema!G$95/K$4 + _xlfn.NORM.DIST(A217,1415,Afleiding_Tapwater_schema!G$94,FALSE)*Afleiding_Tapwater_schema!G$95/K$4</f>
        <v>3.2672242765790607E-66</v>
      </c>
      <c r="F217">
        <v>2000</v>
      </c>
      <c r="G217" s="13">
        <f t="shared" si="24"/>
        <v>17553.041960784314</v>
      </c>
      <c r="H217" s="13">
        <f t="shared" si="25"/>
        <v>37.848509113788161</v>
      </c>
      <c r="I217" s="27">
        <f>G217/((Afleiding_Tapwater_schema!D$4*1000)*(E$4-H217))</f>
        <v>1.3042235886969258E-4</v>
      </c>
      <c r="J217" s="27">
        <f t="shared" si="26"/>
        <v>7.8253415321815547</v>
      </c>
      <c r="K217">
        <f t="shared" si="27"/>
        <v>17.553041960784313</v>
      </c>
    </row>
    <row r="218" spans="1:11" x14ac:dyDescent="0.25">
      <c r="A218">
        <f t="shared" si="28"/>
        <v>1060</v>
      </c>
      <c r="B218">
        <f t="shared" si="22"/>
        <v>63600</v>
      </c>
      <c r="C218">
        <f t="shared" si="23"/>
        <v>17.666666666666668</v>
      </c>
      <c r="D218">
        <f>IF(OR(A218&lt;420,A218&gt;1440),0,Afleiding_Tapwater_schema!G$96)</f>
        <v>15553.041960784316</v>
      </c>
      <c r="E218" s="13">
        <f>_xlfn.NORM.DIST(A218,-30,Afleiding_Tapwater_schema!G$94,FALSE)*Afleiding_Tapwater_schema!G$95/K$4 + _xlfn.NORM.DIST(A218,Afleiding_Tapwater_schema!G$66*60,Afleiding_Tapwater_schema!G$94,FALSE)*Afleiding_Tapwater_schema!G$95/K$4 + _xlfn.NORM.DIST(A218,1415,Afleiding_Tapwater_schema!G$94,FALSE)*Afleiding_Tapwater_schema!G$95/K$4</f>
        <v>2.8505746153103038E-64</v>
      </c>
      <c r="F218">
        <v>2000</v>
      </c>
      <c r="G218" s="13">
        <f t="shared" si="24"/>
        <v>17553.041960784314</v>
      </c>
      <c r="H218" s="13">
        <f t="shared" si="25"/>
        <v>37.848509113788161</v>
      </c>
      <c r="I218" s="27">
        <f>G218/((Afleiding_Tapwater_schema!D$4*1000)*(E$4-H218))</f>
        <v>1.3042235886969258E-4</v>
      </c>
      <c r="J218" s="27">
        <f t="shared" si="26"/>
        <v>7.8253415321815547</v>
      </c>
      <c r="K218">
        <f t="shared" si="27"/>
        <v>17.553041960784313</v>
      </c>
    </row>
    <row r="219" spans="1:11" x14ac:dyDescent="0.25">
      <c r="A219">
        <f t="shared" si="28"/>
        <v>1065</v>
      </c>
      <c r="B219">
        <f t="shared" si="22"/>
        <v>63900</v>
      </c>
      <c r="C219">
        <f t="shared" si="23"/>
        <v>17.75</v>
      </c>
      <c r="D219">
        <f>IF(OR(A219&lt;420,A219&gt;1440),0,Afleiding_Tapwater_schema!G$96)</f>
        <v>15553.041960784316</v>
      </c>
      <c r="E219" s="13">
        <f>_xlfn.NORM.DIST(A219,-30,Afleiding_Tapwater_schema!G$94,FALSE)*Afleiding_Tapwater_schema!G$95/K$4 + _xlfn.NORM.DIST(A219,Afleiding_Tapwater_schema!G$66*60,Afleiding_Tapwater_schema!G$94,FALSE)*Afleiding_Tapwater_schema!G$95/K$4 + _xlfn.NORM.DIST(A219,1415,Afleiding_Tapwater_schema!G$94,FALSE)*Afleiding_Tapwater_schema!G$95/K$4</f>
        <v>2.3363745899029684E-62</v>
      </c>
      <c r="F219">
        <v>2000</v>
      </c>
      <c r="G219" s="13">
        <f t="shared" si="24"/>
        <v>17553.041960784314</v>
      </c>
      <c r="H219" s="13">
        <f t="shared" si="25"/>
        <v>37.848509113788161</v>
      </c>
      <c r="I219" s="27">
        <f>G219/((Afleiding_Tapwater_schema!D$4*1000)*(E$4-H219))</f>
        <v>1.3042235886969258E-4</v>
      </c>
      <c r="J219" s="27">
        <f t="shared" si="26"/>
        <v>7.8253415321815547</v>
      </c>
      <c r="K219">
        <f t="shared" si="27"/>
        <v>17.553041960784313</v>
      </c>
    </row>
    <row r="220" spans="1:11" x14ac:dyDescent="0.25">
      <c r="A220">
        <f t="shared" si="28"/>
        <v>1070</v>
      </c>
      <c r="B220">
        <f t="shared" si="22"/>
        <v>64200</v>
      </c>
      <c r="C220">
        <f t="shared" si="23"/>
        <v>17.833333333333332</v>
      </c>
      <c r="D220">
        <f>IF(OR(A220&lt;420,A220&gt;1440),0,Afleiding_Tapwater_schema!G$96)</f>
        <v>15553.041960784316</v>
      </c>
      <c r="E220" s="13">
        <f>_xlfn.NORM.DIST(A220,-30,Afleiding_Tapwater_schema!G$94,FALSE)*Afleiding_Tapwater_schema!G$95/K$4 + _xlfn.NORM.DIST(A220,Afleiding_Tapwater_schema!G$66*60,Afleiding_Tapwater_schema!G$94,FALSE)*Afleiding_Tapwater_schema!G$95/K$4 + _xlfn.NORM.DIST(A220,1415,Afleiding_Tapwater_schema!G$94,FALSE)*Afleiding_Tapwater_schema!G$95/K$4</f>
        <v>1.7989087326059183E-60</v>
      </c>
      <c r="F220">
        <v>2000</v>
      </c>
      <c r="G220" s="13">
        <f t="shared" si="24"/>
        <v>17553.041960784314</v>
      </c>
      <c r="H220" s="13">
        <f t="shared" si="25"/>
        <v>37.848509113788161</v>
      </c>
      <c r="I220" s="27">
        <f>G220/((Afleiding_Tapwater_schema!D$4*1000)*(E$4-H220))</f>
        <v>1.3042235886969258E-4</v>
      </c>
      <c r="J220" s="27">
        <f t="shared" si="26"/>
        <v>7.8253415321815547</v>
      </c>
      <c r="K220">
        <f t="shared" si="27"/>
        <v>17.553041960784313</v>
      </c>
    </row>
    <row r="221" spans="1:11" x14ac:dyDescent="0.25">
      <c r="A221">
        <f t="shared" si="28"/>
        <v>1075</v>
      </c>
      <c r="B221">
        <f t="shared" si="22"/>
        <v>64500</v>
      </c>
      <c r="C221">
        <f t="shared" si="23"/>
        <v>17.916666666666668</v>
      </c>
      <c r="D221">
        <f>IF(OR(A221&lt;420,A221&gt;1440),0,Afleiding_Tapwater_schema!G$96)</f>
        <v>15553.041960784316</v>
      </c>
      <c r="E221" s="13">
        <f>_xlfn.NORM.DIST(A221,-30,Afleiding_Tapwater_schema!G$94,FALSE)*Afleiding_Tapwater_schema!G$95/K$4 + _xlfn.NORM.DIST(A221,Afleiding_Tapwater_schema!G$66*60,Afleiding_Tapwater_schema!G$94,FALSE)*Afleiding_Tapwater_schema!G$95/K$4 + _xlfn.NORM.DIST(A221,1415,Afleiding_Tapwater_schema!G$94,FALSE)*Afleiding_Tapwater_schema!G$95/K$4</f>
        <v>1.3011650239328804E-58</v>
      </c>
      <c r="F221">
        <v>2000</v>
      </c>
      <c r="G221" s="13">
        <f t="shared" si="24"/>
        <v>17553.041960784314</v>
      </c>
      <c r="H221" s="13">
        <f t="shared" si="25"/>
        <v>37.848509113788161</v>
      </c>
      <c r="I221" s="27">
        <f>G221/((Afleiding_Tapwater_schema!D$4*1000)*(E$4-H221))</f>
        <v>1.3042235886969258E-4</v>
      </c>
      <c r="J221" s="27">
        <f t="shared" si="26"/>
        <v>7.8253415321815547</v>
      </c>
      <c r="K221">
        <f t="shared" si="27"/>
        <v>17.553041960784313</v>
      </c>
    </row>
    <row r="222" spans="1:11" x14ac:dyDescent="0.25">
      <c r="A222">
        <f t="shared" si="28"/>
        <v>1080</v>
      </c>
      <c r="B222">
        <f t="shared" si="22"/>
        <v>64800</v>
      </c>
      <c r="C222">
        <f t="shared" si="23"/>
        <v>18</v>
      </c>
      <c r="D222">
        <f>IF(OR(A222&lt;420,A222&gt;1440),0,Afleiding_Tapwater_schema!G$96)</f>
        <v>15553.041960784316</v>
      </c>
      <c r="E222" s="13">
        <f>_xlfn.NORM.DIST(A222,-30,Afleiding_Tapwater_schema!G$94,FALSE)*Afleiding_Tapwater_schema!G$95/K$4 + _xlfn.NORM.DIST(A222,Afleiding_Tapwater_schema!G$66*60,Afleiding_Tapwater_schema!G$94,FALSE)*Afleiding_Tapwater_schema!G$95/K$4 + _xlfn.NORM.DIST(A222,1415,Afleiding_Tapwater_schema!G$94,FALSE)*Afleiding_Tapwater_schema!G$95/K$4</f>
        <v>8.8412205855535725E-57</v>
      </c>
      <c r="F222">
        <v>2000</v>
      </c>
      <c r="G222" s="13">
        <f t="shared" si="24"/>
        <v>17553.041960784314</v>
      </c>
      <c r="H222" s="13">
        <f t="shared" si="25"/>
        <v>37.848509113788161</v>
      </c>
      <c r="I222" s="27">
        <f>G222/((Afleiding_Tapwater_schema!D$4*1000)*(E$4-H222))</f>
        <v>1.3042235886969258E-4</v>
      </c>
      <c r="J222" s="27">
        <f t="shared" si="26"/>
        <v>7.8253415321815547</v>
      </c>
      <c r="K222">
        <f t="shared" si="27"/>
        <v>17.553041960784313</v>
      </c>
    </row>
    <row r="223" spans="1:11" x14ac:dyDescent="0.25">
      <c r="A223">
        <f t="shared" si="28"/>
        <v>1085</v>
      </c>
      <c r="B223">
        <f t="shared" si="22"/>
        <v>65100</v>
      </c>
      <c r="C223">
        <f t="shared" si="23"/>
        <v>18.083333333333332</v>
      </c>
      <c r="D223">
        <f>IF(OR(A223&lt;420,A223&gt;1440),0,Afleiding_Tapwater_schema!G$96)</f>
        <v>15553.041960784316</v>
      </c>
      <c r="E223" s="13">
        <f>_xlfn.NORM.DIST(A223,-30,Afleiding_Tapwater_schema!G$94,FALSE)*Afleiding_Tapwater_schema!G$95/K$4 + _xlfn.NORM.DIST(A223,Afleiding_Tapwater_schema!G$66*60,Afleiding_Tapwater_schema!G$94,FALSE)*Afleiding_Tapwater_schema!G$95/K$4 + _xlfn.NORM.DIST(A223,1415,Afleiding_Tapwater_schema!G$94,FALSE)*Afleiding_Tapwater_schema!G$95/K$4</f>
        <v>5.6435017833760066E-55</v>
      </c>
      <c r="F223">
        <v>2000</v>
      </c>
      <c r="G223" s="13">
        <f t="shared" si="24"/>
        <v>17553.041960784314</v>
      </c>
      <c r="H223" s="13">
        <f t="shared" si="25"/>
        <v>37.848509113788161</v>
      </c>
      <c r="I223" s="27">
        <f>G223/((Afleiding_Tapwater_schema!D$4*1000)*(E$4-H223))</f>
        <v>1.3042235886969258E-4</v>
      </c>
      <c r="J223" s="27">
        <f t="shared" si="26"/>
        <v>7.8253415321815547</v>
      </c>
      <c r="K223">
        <f t="shared" si="27"/>
        <v>17.553041960784313</v>
      </c>
    </row>
    <row r="224" spans="1:11" x14ac:dyDescent="0.25">
      <c r="A224">
        <f t="shared" si="28"/>
        <v>1090</v>
      </c>
      <c r="B224">
        <f t="shared" si="22"/>
        <v>65400</v>
      </c>
      <c r="C224">
        <f t="shared" si="23"/>
        <v>18.166666666666668</v>
      </c>
      <c r="D224">
        <f>IF(OR(A224&lt;420,A224&gt;1440),0,Afleiding_Tapwater_schema!G$96)</f>
        <v>15553.041960784316</v>
      </c>
      <c r="E224" s="13">
        <f>_xlfn.NORM.DIST(A224,-30,Afleiding_Tapwater_schema!G$94,FALSE)*Afleiding_Tapwater_schema!G$95/K$4 + _xlfn.NORM.DIST(A224,Afleiding_Tapwater_schema!G$66*60,Afleiding_Tapwater_schema!G$94,FALSE)*Afleiding_Tapwater_schema!G$95/K$4 + _xlfn.NORM.DIST(A224,1415,Afleiding_Tapwater_schema!G$94,FALSE)*Afleiding_Tapwater_schema!G$95/K$4</f>
        <v>3.3840884206310904E-53</v>
      </c>
      <c r="F224">
        <v>2000</v>
      </c>
      <c r="G224" s="13">
        <f t="shared" si="24"/>
        <v>17553.041960784314</v>
      </c>
      <c r="H224" s="13">
        <f t="shared" si="25"/>
        <v>37.848509113788161</v>
      </c>
      <c r="I224" s="27">
        <f>G224/((Afleiding_Tapwater_schema!D$4*1000)*(E$4-H224))</f>
        <v>1.3042235886969258E-4</v>
      </c>
      <c r="J224" s="27">
        <f t="shared" si="26"/>
        <v>7.8253415321815547</v>
      </c>
      <c r="K224">
        <f t="shared" si="27"/>
        <v>17.553041960784313</v>
      </c>
    </row>
    <row r="225" spans="1:11" x14ac:dyDescent="0.25">
      <c r="A225">
        <f t="shared" si="28"/>
        <v>1095</v>
      </c>
      <c r="B225">
        <f t="shared" si="22"/>
        <v>65700</v>
      </c>
      <c r="C225">
        <f t="shared" si="23"/>
        <v>18.25</v>
      </c>
      <c r="D225">
        <f>IF(OR(A225&lt;420,A225&gt;1440),0,Afleiding_Tapwater_schema!G$96)</f>
        <v>15553.041960784316</v>
      </c>
      <c r="E225" s="13">
        <f>_xlfn.NORM.DIST(A225,-30,Afleiding_Tapwater_schema!G$94,FALSE)*Afleiding_Tapwater_schema!G$95/K$4 + _xlfn.NORM.DIST(A225,Afleiding_Tapwater_schema!G$66*60,Afleiding_Tapwater_schema!G$94,FALSE)*Afleiding_Tapwater_schema!G$95/K$4 + _xlfn.NORM.DIST(A225,1415,Afleiding_Tapwater_schema!G$94,FALSE)*Afleiding_Tapwater_schema!G$95/K$4</f>
        <v>1.9063003696408217E-51</v>
      </c>
      <c r="F225">
        <v>2000</v>
      </c>
      <c r="G225" s="13">
        <f t="shared" si="24"/>
        <v>17553.041960784314</v>
      </c>
      <c r="H225" s="13">
        <f t="shared" si="25"/>
        <v>37.848509113788161</v>
      </c>
      <c r="I225" s="27">
        <f>G225/((Afleiding_Tapwater_schema!D$4*1000)*(E$4-H225))</f>
        <v>1.3042235886969258E-4</v>
      </c>
      <c r="J225" s="27">
        <f t="shared" si="26"/>
        <v>7.8253415321815547</v>
      </c>
      <c r="K225">
        <f t="shared" si="27"/>
        <v>17.553041960784313</v>
      </c>
    </row>
    <row r="226" spans="1:11" x14ac:dyDescent="0.25">
      <c r="A226">
        <f t="shared" si="28"/>
        <v>1100</v>
      </c>
      <c r="B226">
        <f t="shared" si="22"/>
        <v>66000</v>
      </c>
      <c r="C226">
        <f t="shared" si="23"/>
        <v>18.333333333333332</v>
      </c>
      <c r="D226">
        <f>IF(OR(A226&lt;420,A226&gt;1440),0,Afleiding_Tapwater_schema!G$96)</f>
        <v>15553.041960784316</v>
      </c>
      <c r="E226" s="13">
        <f>_xlfn.NORM.DIST(A226,-30,Afleiding_Tapwater_schema!G$94,FALSE)*Afleiding_Tapwater_schema!G$95/K$4 + _xlfn.NORM.DIST(A226,Afleiding_Tapwater_schema!G$66*60,Afleiding_Tapwater_schema!G$94,FALSE)*Afleiding_Tapwater_schema!G$95/K$4 + _xlfn.NORM.DIST(A226,1415,Afleiding_Tapwater_schema!G$94,FALSE)*Afleiding_Tapwater_schema!G$95/K$4</f>
        <v>1.0087825406335679E-49</v>
      </c>
      <c r="F226">
        <v>2000</v>
      </c>
      <c r="G226" s="13">
        <f t="shared" si="24"/>
        <v>17553.041960784314</v>
      </c>
      <c r="H226" s="13">
        <f t="shared" si="25"/>
        <v>37.848509113788161</v>
      </c>
      <c r="I226" s="27">
        <f>G226/((Afleiding_Tapwater_schema!D$4*1000)*(E$4-H226))</f>
        <v>1.3042235886969258E-4</v>
      </c>
      <c r="J226" s="27">
        <f t="shared" si="26"/>
        <v>7.8253415321815547</v>
      </c>
      <c r="K226">
        <f t="shared" si="27"/>
        <v>17.553041960784313</v>
      </c>
    </row>
    <row r="227" spans="1:11" x14ac:dyDescent="0.25">
      <c r="A227">
        <f t="shared" si="28"/>
        <v>1105</v>
      </c>
      <c r="B227">
        <f t="shared" si="22"/>
        <v>66300</v>
      </c>
      <c r="C227">
        <f t="shared" si="23"/>
        <v>18.416666666666668</v>
      </c>
      <c r="D227">
        <f>IF(OR(A227&lt;420,A227&gt;1440),0,Afleiding_Tapwater_schema!G$96)</f>
        <v>15553.041960784316</v>
      </c>
      <c r="E227" s="13">
        <f>_xlfn.NORM.DIST(A227,-30,Afleiding_Tapwater_schema!G$94,FALSE)*Afleiding_Tapwater_schema!G$95/K$4 + _xlfn.NORM.DIST(A227,Afleiding_Tapwater_schema!G$66*60,Afleiding_Tapwater_schema!G$94,FALSE)*Afleiding_Tapwater_schema!G$95/K$4 + _xlfn.NORM.DIST(A227,1415,Afleiding_Tapwater_schema!G$94,FALSE)*Afleiding_Tapwater_schema!G$95/K$4</f>
        <v>5.0148780569762475E-48</v>
      </c>
      <c r="F227">
        <v>2000</v>
      </c>
      <c r="G227" s="13">
        <f t="shared" si="24"/>
        <v>17553.041960784314</v>
      </c>
      <c r="H227" s="13">
        <f t="shared" si="25"/>
        <v>37.848509113788161</v>
      </c>
      <c r="I227" s="27">
        <f>G227/((Afleiding_Tapwater_schema!D$4*1000)*(E$4-H227))</f>
        <v>1.3042235886969258E-4</v>
      </c>
      <c r="J227" s="27">
        <f t="shared" si="26"/>
        <v>7.8253415321815547</v>
      </c>
      <c r="K227">
        <f t="shared" si="27"/>
        <v>17.553041960784313</v>
      </c>
    </row>
    <row r="228" spans="1:11" x14ac:dyDescent="0.25">
      <c r="A228">
        <f t="shared" si="28"/>
        <v>1110</v>
      </c>
      <c r="B228">
        <f t="shared" si="22"/>
        <v>66600</v>
      </c>
      <c r="C228">
        <f t="shared" si="23"/>
        <v>18.5</v>
      </c>
      <c r="D228">
        <f>IF(OR(A228&lt;420,A228&gt;1440),0,Afleiding_Tapwater_schema!G$96)</f>
        <v>15553.041960784316</v>
      </c>
      <c r="E228" s="13">
        <f>_xlfn.NORM.DIST(A228,-30,Afleiding_Tapwater_schema!G$94,FALSE)*Afleiding_Tapwater_schema!G$95/K$4 + _xlfn.NORM.DIST(A228,Afleiding_Tapwater_schema!G$66*60,Afleiding_Tapwater_schema!G$94,FALSE)*Afleiding_Tapwater_schema!G$95/K$4 + _xlfn.NORM.DIST(A228,1415,Afleiding_Tapwater_schema!G$94,FALSE)*Afleiding_Tapwater_schema!G$95/K$4</f>
        <v>2.3419617186761482E-46</v>
      </c>
      <c r="F228">
        <v>2000</v>
      </c>
      <c r="G228" s="13">
        <f t="shared" si="24"/>
        <v>17553.041960784314</v>
      </c>
      <c r="H228" s="13">
        <f t="shared" si="25"/>
        <v>37.848509113788161</v>
      </c>
      <c r="I228" s="27">
        <f>G228/((Afleiding_Tapwater_schema!D$4*1000)*(E$4-H228))</f>
        <v>1.3042235886969258E-4</v>
      </c>
      <c r="J228" s="27">
        <f t="shared" si="26"/>
        <v>7.8253415321815547</v>
      </c>
      <c r="K228">
        <f t="shared" si="27"/>
        <v>17.553041960784313</v>
      </c>
    </row>
    <row r="229" spans="1:11" x14ac:dyDescent="0.25">
      <c r="A229">
        <f t="shared" si="28"/>
        <v>1115</v>
      </c>
      <c r="B229">
        <f t="shared" si="22"/>
        <v>66900</v>
      </c>
      <c r="C229">
        <f t="shared" si="23"/>
        <v>18.583333333333332</v>
      </c>
      <c r="D229">
        <f>IF(OR(A229&lt;420,A229&gt;1440),0,Afleiding_Tapwater_schema!G$96)</f>
        <v>15553.041960784316</v>
      </c>
      <c r="E229" s="13">
        <f>_xlfn.NORM.DIST(A229,-30,Afleiding_Tapwater_schema!G$94,FALSE)*Afleiding_Tapwater_schema!G$95/K$4 + _xlfn.NORM.DIST(A229,Afleiding_Tapwater_schema!G$66*60,Afleiding_Tapwater_schema!G$94,FALSE)*Afleiding_Tapwater_schema!G$95/K$4 + _xlfn.NORM.DIST(A229,1415,Afleiding_Tapwater_schema!G$94,FALSE)*Afleiding_Tapwater_schema!G$95/K$4</f>
        <v>1.0274384197590879E-44</v>
      </c>
      <c r="F229">
        <v>2000</v>
      </c>
      <c r="G229" s="13">
        <f t="shared" si="24"/>
        <v>17553.041960784314</v>
      </c>
      <c r="H229" s="13">
        <f t="shared" si="25"/>
        <v>37.848509113788161</v>
      </c>
      <c r="I229" s="27">
        <f>G229/((Afleiding_Tapwater_schema!D$4*1000)*(E$4-H229))</f>
        <v>1.3042235886969258E-4</v>
      </c>
      <c r="J229" s="27">
        <f t="shared" si="26"/>
        <v>7.8253415321815547</v>
      </c>
      <c r="K229">
        <f t="shared" si="27"/>
        <v>17.553041960784313</v>
      </c>
    </row>
    <row r="230" spans="1:11" x14ac:dyDescent="0.25">
      <c r="A230">
        <f t="shared" si="28"/>
        <v>1120</v>
      </c>
      <c r="B230">
        <f t="shared" si="22"/>
        <v>67200</v>
      </c>
      <c r="C230">
        <f t="shared" si="23"/>
        <v>18.666666666666668</v>
      </c>
      <c r="D230">
        <f>IF(OR(A230&lt;420,A230&gt;1440),0,Afleiding_Tapwater_schema!G$96)</f>
        <v>15553.041960784316</v>
      </c>
      <c r="E230" s="13">
        <f>_xlfn.NORM.DIST(A230,-30,Afleiding_Tapwater_schema!G$94,FALSE)*Afleiding_Tapwater_schema!G$95/K$4 + _xlfn.NORM.DIST(A230,Afleiding_Tapwater_schema!G$66*60,Afleiding_Tapwater_schema!G$94,FALSE)*Afleiding_Tapwater_schema!G$95/K$4 + _xlfn.NORM.DIST(A230,1415,Afleiding_Tapwater_schema!G$94,FALSE)*Afleiding_Tapwater_schema!G$95/K$4</f>
        <v>4.2343661203988941E-43</v>
      </c>
      <c r="F230">
        <v>2000</v>
      </c>
      <c r="G230" s="13">
        <f t="shared" si="24"/>
        <v>17553.041960784314</v>
      </c>
      <c r="H230" s="13">
        <f t="shared" si="25"/>
        <v>37.848509113788161</v>
      </c>
      <c r="I230" s="27">
        <f>G230/((Afleiding_Tapwater_schema!D$4*1000)*(E$4-H230))</f>
        <v>1.3042235886969258E-4</v>
      </c>
      <c r="J230" s="27">
        <f t="shared" si="26"/>
        <v>7.8253415321815547</v>
      </c>
      <c r="K230">
        <f t="shared" si="27"/>
        <v>17.553041960784313</v>
      </c>
    </row>
    <row r="231" spans="1:11" x14ac:dyDescent="0.25">
      <c r="A231">
        <f t="shared" si="28"/>
        <v>1125</v>
      </c>
      <c r="B231">
        <f t="shared" si="22"/>
        <v>67500</v>
      </c>
      <c r="C231">
        <f t="shared" si="23"/>
        <v>18.75</v>
      </c>
      <c r="D231">
        <f>IF(OR(A231&lt;420,A231&gt;1440),0,Afleiding_Tapwater_schema!G$96)</f>
        <v>15553.041960784316</v>
      </c>
      <c r="E231" s="13">
        <f>_xlfn.NORM.DIST(A231,-30,Afleiding_Tapwater_schema!G$94,FALSE)*Afleiding_Tapwater_schema!G$95/K$4 + _xlfn.NORM.DIST(A231,Afleiding_Tapwater_schema!G$66*60,Afleiding_Tapwater_schema!G$94,FALSE)*Afleiding_Tapwater_schema!G$95/K$4 + _xlfn.NORM.DIST(A231,1415,Afleiding_Tapwater_schema!G$94,FALSE)*Afleiding_Tapwater_schema!G$95/K$4</f>
        <v>1.6393723489084539E-41</v>
      </c>
      <c r="F231">
        <v>2000</v>
      </c>
      <c r="G231" s="13">
        <f t="shared" si="24"/>
        <v>17553.041960784314</v>
      </c>
      <c r="H231" s="13">
        <f t="shared" si="25"/>
        <v>37.848509113788161</v>
      </c>
      <c r="I231" s="27">
        <f>G231/((Afleiding_Tapwater_schema!D$4*1000)*(E$4-H231))</f>
        <v>1.3042235886969258E-4</v>
      </c>
      <c r="J231" s="27">
        <f t="shared" si="26"/>
        <v>7.8253415321815547</v>
      </c>
      <c r="K231">
        <f t="shared" si="27"/>
        <v>17.553041960784313</v>
      </c>
    </row>
    <row r="232" spans="1:11" x14ac:dyDescent="0.25">
      <c r="A232">
        <f t="shared" si="28"/>
        <v>1130</v>
      </c>
      <c r="B232">
        <f t="shared" si="22"/>
        <v>67800</v>
      </c>
      <c r="C232">
        <f t="shared" si="23"/>
        <v>18.833333333333332</v>
      </c>
      <c r="D232">
        <f>IF(OR(A232&lt;420,A232&gt;1440),0,Afleiding_Tapwater_schema!G$96)</f>
        <v>15553.041960784316</v>
      </c>
      <c r="E232" s="13">
        <f>_xlfn.NORM.DIST(A232,-30,Afleiding_Tapwater_schema!G$94,FALSE)*Afleiding_Tapwater_schema!G$95/K$4 + _xlfn.NORM.DIST(A232,Afleiding_Tapwater_schema!G$66*60,Afleiding_Tapwater_schema!G$94,FALSE)*Afleiding_Tapwater_schema!G$95/K$4 + _xlfn.NORM.DIST(A232,1415,Afleiding_Tapwater_schema!G$94,FALSE)*Afleiding_Tapwater_schema!G$95/K$4</f>
        <v>5.962431463207391E-40</v>
      </c>
      <c r="F232">
        <v>2000</v>
      </c>
      <c r="G232" s="13">
        <f t="shared" si="24"/>
        <v>17553.041960784314</v>
      </c>
      <c r="H232" s="13">
        <f t="shared" si="25"/>
        <v>37.848509113788161</v>
      </c>
      <c r="I232" s="27">
        <f>G232/((Afleiding_Tapwater_schema!D$4*1000)*(E$4-H232))</f>
        <v>1.3042235886969258E-4</v>
      </c>
      <c r="J232" s="27">
        <f t="shared" si="26"/>
        <v>7.8253415321815547</v>
      </c>
      <c r="K232">
        <f t="shared" si="27"/>
        <v>17.553041960784313</v>
      </c>
    </row>
    <row r="233" spans="1:11" x14ac:dyDescent="0.25">
      <c r="A233">
        <f t="shared" si="28"/>
        <v>1135</v>
      </c>
      <c r="B233">
        <f t="shared" si="22"/>
        <v>68100</v>
      </c>
      <c r="C233">
        <f t="shared" si="23"/>
        <v>18.916666666666668</v>
      </c>
      <c r="D233">
        <f>IF(OR(A233&lt;420,A233&gt;1440),0,Afleiding_Tapwater_schema!G$96)</f>
        <v>15553.041960784316</v>
      </c>
      <c r="E233" s="13">
        <f>_xlfn.NORM.DIST(A233,-30,Afleiding_Tapwater_schema!G$94,FALSE)*Afleiding_Tapwater_schema!G$95/K$4 + _xlfn.NORM.DIST(A233,Afleiding_Tapwater_schema!G$66*60,Afleiding_Tapwater_schema!G$94,FALSE)*Afleiding_Tapwater_schema!G$95/K$4 + _xlfn.NORM.DIST(A233,1415,Afleiding_Tapwater_schema!G$94,FALSE)*Afleiding_Tapwater_schema!G$95/K$4</f>
        <v>2.0371630444917328E-38</v>
      </c>
      <c r="F233">
        <v>2000</v>
      </c>
      <c r="G233" s="13">
        <f t="shared" si="24"/>
        <v>17553.041960784314</v>
      </c>
      <c r="H233" s="13">
        <f t="shared" si="25"/>
        <v>37.848509113788161</v>
      </c>
      <c r="I233" s="27">
        <f>G233/((Afleiding_Tapwater_schema!D$4*1000)*(E$4-H233))</f>
        <v>1.3042235886969258E-4</v>
      </c>
      <c r="J233" s="27">
        <f t="shared" si="26"/>
        <v>7.8253415321815547</v>
      </c>
      <c r="K233">
        <f t="shared" si="27"/>
        <v>17.553041960784313</v>
      </c>
    </row>
    <row r="234" spans="1:11" x14ac:dyDescent="0.25">
      <c r="A234">
        <f t="shared" si="28"/>
        <v>1140</v>
      </c>
      <c r="B234">
        <f t="shared" si="22"/>
        <v>68400</v>
      </c>
      <c r="C234">
        <f t="shared" si="23"/>
        <v>19</v>
      </c>
      <c r="D234">
        <f>IF(OR(A234&lt;420,A234&gt;1440),0,Afleiding_Tapwater_schema!G$96)</f>
        <v>15553.041960784316</v>
      </c>
      <c r="E234" s="13">
        <f>_xlfn.NORM.DIST(A234,-30,Afleiding_Tapwater_schema!G$94,FALSE)*Afleiding_Tapwater_schema!G$95/K$4 + _xlfn.NORM.DIST(A234,Afleiding_Tapwater_schema!G$66*60,Afleiding_Tapwater_schema!G$94,FALSE)*Afleiding_Tapwater_schema!G$95/K$4 + _xlfn.NORM.DIST(A234,1415,Afleiding_Tapwater_schema!G$94,FALSE)*Afleiding_Tapwater_schema!G$95/K$4</f>
        <v>6.5386000474103358E-37</v>
      </c>
      <c r="F234">
        <v>2000</v>
      </c>
      <c r="G234" s="13">
        <f t="shared" si="24"/>
        <v>17553.041960784314</v>
      </c>
      <c r="H234" s="13">
        <f t="shared" si="25"/>
        <v>37.848509113788161</v>
      </c>
      <c r="I234" s="27">
        <f>G234/((Afleiding_Tapwater_schema!D$4*1000)*(E$4-H234))</f>
        <v>1.3042235886969258E-4</v>
      </c>
      <c r="J234" s="27">
        <f t="shared" si="26"/>
        <v>7.8253415321815547</v>
      </c>
      <c r="K234">
        <f t="shared" si="27"/>
        <v>17.553041960784313</v>
      </c>
    </row>
    <row r="235" spans="1:11" x14ac:dyDescent="0.25">
      <c r="A235">
        <f t="shared" si="28"/>
        <v>1145</v>
      </c>
      <c r="B235">
        <f t="shared" si="22"/>
        <v>68700</v>
      </c>
      <c r="C235">
        <f t="shared" si="23"/>
        <v>19.083333333333332</v>
      </c>
      <c r="D235">
        <f>IF(OR(A235&lt;420,A235&gt;1440),0,Afleiding_Tapwater_schema!G$96)</f>
        <v>15553.041960784316</v>
      </c>
      <c r="E235" s="13">
        <f>_xlfn.NORM.DIST(A235,-30,Afleiding_Tapwater_schema!G$94,FALSE)*Afleiding_Tapwater_schema!G$95/K$4 + _xlfn.NORM.DIST(A235,Afleiding_Tapwater_schema!G$66*60,Afleiding_Tapwater_schema!G$94,FALSE)*Afleiding_Tapwater_schema!G$95/K$4 + _xlfn.NORM.DIST(A235,1415,Afleiding_Tapwater_schema!G$94,FALSE)*Afleiding_Tapwater_schema!G$95/K$4</f>
        <v>1.9715162101385792E-35</v>
      </c>
      <c r="F235">
        <v>2000</v>
      </c>
      <c r="G235" s="13">
        <f t="shared" si="24"/>
        <v>17553.041960784314</v>
      </c>
      <c r="H235" s="13">
        <f t="shared" si="25"/>
        <v>37.848509113788161</v>
      </c>
      <c r="I235" s="27">
        <f>G235/((Afleiding_Tapwater_schema!D$4*1000)*(E$4-H235))</f>
        <v>1.3042235886969258E-4</v>
      </c>
      <c r="J235" s="27">
        <f t="shared" si="26"/>
        <v>7.8253415321815547</v>
      </c>
      <c r="K235">
        <f t="shared" si="27"/>
        <v>17.553041960784313</v>
      </c>
    </row>
    <row r="236" spans="1:11" x14ac:dyDescent="0.25">
      <c r="A236">
        <f t="shared" si="28"/>
        <v>1150</v>
      </c>
      <c r="B236">
        <f t="shared" si="22"/>
        <v>69000</v>
      </c>
      <c r="C236">
        <f t="shared" si="23"/>
        <v>19.166666666666668</v>
      </c>
      <c r="D236">
        <f>IF(OR(A236&lt;420,A236&gt;1440),0,Afleiding_Tapwater_schema!G$96)</f>
        <v>15553.041960784316</v>
      </c>
      <c r="E236" s="13">
        <f>_xlfn.NORM.DIST(A236,-30,Afleiding_Tapwater_schema!G$94,FALSE)*Afleiding_Tapwater_schema!G$95/K$4 + _xlfn.NORM.DIST(A236,Afleiding_Tapwater_schema!G$66*60,Afleiding_Tapwater_schema!G$94,FALSE)*Afleiding_Tapwater_schema!G$95/K$4 + _xlfn.NORM.DIST(A236,1415,Afleiding_Tapwater_schema!G$94,FALSE)*Afleiding_Tapwater_schema!G$95/K$4</f>
        <v>5.5843486651447086E-34</v>
      </c>
      <c r="F236">
        <v>2000</v>
      </c>
      <c r="G236" s="13">
        <f t="shared" si="24"/>
        <v>17553.041960784314</v>
      </c>
      <c r="H236" s="13">
        <f t="shared" si="25"/>
        <v>37.848509113788161</v>
      </c>
      <c r="I236" s="27">
        <f>G236/((Afleiding_Tapwater_schema!D$4*1000)*(E$4-H236))</f>
        <v>1.3042235886969258E-4</v>
      </c>
      <c r="J236" s="27">
        <f t="shared" si="26"/>
        <v>7.8253415321815547</v>
      </c>
      <c r="K236">
        <f t="shared" si="27"/>
        <v>17.553041960784313</v>
      </c>
    </row>
    <row r="237" spans="1:11" x14ac:dyDescent="0.25">
      <c r="A237">
        <f t="shared" si="28"/>
        <v>1155</v>
      </c>
      <c r="B237">
        <f t="shared" si="22"/>
        <v>69300</v>
      </c>
      <c r="C237">
        <f t="shared" si="23"/>
        <v>19.25</v>
      </c>
      <c r="D237">
        <f>IF(OR(A237&lt;420,A237&gt;1440),0,Afleiding_Tapwater_schema!G$96)</f>
        <v>15553.041960784316</v>
      </c>
      <c r="E237" s="13">
        <f>_xlfn.NORM.DIST(A237,-30,Afleiding_Tapwater_schema!G$94,FALSE)*Afleiding_Tapwater_schema!G$95/K$4 + _xlfn.NORM.DIST(A237,Afleiding_Tapwater_schema!G$66*60,Afleiding_Tapwater_schema!G$94,FALSE)*Afleiding_Tapwater_schema!G$95/K$4 + _xlfn.NORM.DIST(A237,1415,Afleiding_Tapwater_schema!G$94,FALSE)*Afleiding_Tapwater_schema!G$95/K$4</f>
        <v>1.4859400727010512E-32</v>
      </c>
      <c r="F237">
        <v>2000</v>
      </c>
      <c r="G237" s="13">
        <f t="shared" si="24"/>
        <v>17553.041960784314</v>
      </c>
      <c r="H237" s="13">
        <f t="shared" si="25"/>
        <v>37.848509113788161</v>
      </c>
      <c r="I237" s="27">
        <f>G237/((Afleiding_Tapwater_schema!D$4*1000)*(E$4-H237))</f>
        <v>1.3042235886969258E-4</v>
      </c>
      <c r="J237" s="27">
        <f t="shared" si="26"/>
        <v>7.8253415321815547</v>
      </c>
      <c r="K237">
        <f t="shared" si="27"/>
        <v>17.553041960784313</v>
      </c>
    </row>
    <row r="238" spans="1:11" x14ac:dyDescent="0.25">
      <c r="A238">
        <f t="shared" si="28"/>
        <v>1160</v>
      </c>
      <c r="B238">
        <f t="shared" si="22"/>
        <v>69600</v>
      </c>
      <c r="C238">
        <f t="shared" si="23"/>
        <v>19.333333333333332</v>
      </c>
      <c r="D238">
        <f>IF(OR(A238&lt;420,A238&gt;1440),0,Afleiding_Tapwater_schema!G$96)</f>
        <v>15553.041960784316</v>
      </c>
      <c r="E238" s="13">
        <f>_xlfn.NORM.DIST(A238,-30,Afleiding_Tapwater_schema!G$94,FALSE)*Afleiding_Tapwater_schema!G$95/K$4 + _xlfn.NORM.DIST(A238,Afleiding_Tapwater_schema!G$66*60,Afleiding_Tapwater_schema!G$94,FALSE)*Afleiding_Tapwater_schema!G$95/K$4 + _xlfn.NORM.DIST(A238,1415,Afleiding_Tapwater_schema!G$94,FALSE)*Afleiding_Tapwater_schema!G$95/K$4</f>
        <v>3.7143827906234541E-31</v>
      </c>
      <c r="F238">
        <v>2000</v>
      </c>
      <c r="G238" s="13">
        <f t="shared" si="24"/>
        <v>17553.041960784314</v>
      </c>
      <c r="H238" s="13">
        <f t="shared" si="25"/>
        <v>37.848509113788161</v>
      </c>
      <c r="I238" s="27">
        <f>G238/((Afleiding_Tapwater_schema!D$4*1000)*(E$4-H238))</f>
        <v>1.3042235886969258E-4</v>
      </c>
      <c r="J238" s="27">
        <f t="shared" si="26"/>
        <v>7.8253415321815547</v>
      </c>
      <c r="K238">
        <f t="shared" si="27"/>
        <v>17.553041960784313</v>
      </c>
    </row>
    <row r="239" spans="1:11" x14ac:dyDescent="0.25">
      <c r="A239">
        <f t="shared" si="28"/>
        <v>1165</v>
      </c>
      <c r="B239">
        <f t="shared" si="22"/>
        <v>69900</v>
      </c>
      <c r="C239">
        <f t="shared" si="23"/>
        <v>19.416666666666668</v>
      </c>
      <c r="D239">
        <f>IF(OR(A239&lt;420,A239&gt;1440),0,Afleiding_Tapwater_schema!G$96)</f>
        <v>15553.041960784316</v>
      </c>
      <c r="E239" s="13">
        <f>_xlfn.NORM.DIST(A239,-30,Afleiding_Tapwater_schema!G$94,FALSE)*Afleiding_Tapwater_schema!G$95/K$4 + _xlfn.NORM.DIST(A239,Afleiding_Tapwater_schema!G$66*60,Afleiding_Tapwater_schema!G$94,FALSE)*Afleiding_Tapwater_schema!G$95/K$4 + _xlfn.NORM.DIST(A239,1415,Afleiding_Tapwater_schema!G$94,FALSE)*Afleiding_Tapwater_schema!G$95/K$4</f>
        <v>8.7222517392798069E-30</v>
      </c>
      <c r="F239">
        <v>2000</v>
      </c>
      <c r="G239" s="13">
        <f t="shared" si="24"/>
        <v>17553.041960784314</v>
      </c>
      <c r="H239" s="13">
        <f t="shared" si="25"/>
        <v>37.848509113788161</v>
      </c>
      <c r="I239" s="27">
        <f>G239/((Afleiding_Tapwater_schema!D$4*1000)*(E$4-H239))</f>
        <v>1.3042235886969258E-4</v>
      </c>
      <c r="J239" s="27">
        <f t="shared" si="26"/>
        <v>7.8253415321815547</v>
      </c>
      <c r="K239">
        <f t="shared" si="27"/>
        <v>17.553041960784313</v>
      </c>
    </row>
    <row r="240" spans="1:11" x14ac:dyDescent="0.25">
      <c r="A240">
        <f t="shared" si="28"/>
        <v>1170</v>
      </c>
      <c r="B240">
        <f t="shared" si="22"/>
        <v>70200</v>
      </c>
      <c r="C240">
        <f t="shared" si="23"/>
        <v>19.5</v>
      </c>
      <c r="D240">
        <f>IF(OR(A240&lt;420,A240&gt;1440),0,Afleiding_Tapwater_schema!G$96)</f>
        <v>15553.041960784316</v>
      </c>
      <c r="E240" s="13">
        <f>_xlfn.NORM.DIST(A240,-30,Afleiding_Tapwater_schema!G$94,FALSE)*Afleiding_Tapwater_schema!G$95/K$4 + _xlfn.NORM.DIST(A240,Afleiding_Tapwater_schema!G$66*60,Afleiding_Tapwater_schema!G$94,FALSE)*Afleiding_Tapwater_schema!G$95/K$4 + _xlfn.NORM.DIST(A240,1415,Afleiding_Tapwater_schema!G$94,FALSE)*Afleiding_Tapwater_schema!G$95/K$4</f>
        <v>1.924097921270334E-28</v>
      </c>
      <c r="F240">
        <v>2000</v>
      </c>
      <c r="G240" s="13">
        <f t="shared" si="24"/>
        <v>17553.041960784314</v>
      </c>
      <c r="H240" s="13">
        <f t="shared" si="25"/>
        <v>37.848509113788161</v>
      </c>
      <c r="I240" s="27">
        <f>G240/((Afleiding_Tapwater_schema!D$4*1000)*(E$4-H240))</f>
        <v>1.3042235886969258E-4</v>
      </c>
      <c r="J240" s="27">
        <f t="shared" si="26"/>
        <v>7.8253415321815547</v>
      </c>
      <c r="K240">
        <f t="shared" si="27"/>
        <v>17.553041960784313</v>
      </c>
    </row>
    <row r="241" spans="1:11" x14ac:dyDescent="0.25">
      <c r="A241">
        <f t="shared" si="28"/>
        <v>1175</v>
      </c>
      <c r="B241">
        <f t="shared" si="22"/>
        <v>70500</v>
      </c>
      <c r="C241">
        <f t="shared" si="23"/>
        <v>19.583333333333332</v>
      </c>
      <c r="D241">
        <f>IF(OR(A241&lt;420,A241&gt;1440),0,Afleiding_Tapwater_schema!G$96)</f>
        <v>15553.041960784316</v>
      </c>
      <c r="E241" s="13">
        <f>_xlfn.NORM.DIST(A241,-30,Afleiding_Tapwater_schema!G$94,FALSE)*Afleiding_Tapwater_schema!G$95/K$4 + _xlfn.NORM.DIST(A241,Afleiding_Tapwater_schema!G$66*60,Afleiding_Tapwater_schema!G$94,FALSE)*Afleiding_Tapwater_schema!G$95/K$4 + _xlfn.NORM.DIST(A241,1415,Afleiding_Tapwater_schema!G$94,FALSE)*Afleiding_Tapwater_schema!G$95/K$4</f>
        <v>3.9873312704123102E-27</v>
      </c>
      <c r="F241">
        <v>2000</v>
      </c>
      <c r="G241" s="13">
        <f t="shared" si="24"/>
        <v>17553.041960784314</v>
      </c>
      <c r="H241" s="13">
        <f t="shared" si="25"/>
        <v>37.848509113788161</v>
      </c>
      <c r="I241" s="27">
        <f>G241/((Afleiding_Tapwater_schema!D$4*1000)*(E$4-H241))</f>
        <v>1.3042235886969258E-4</v>
      </c>
      <c r="J241" s="27">
        <f t="shared" si="26"/>
        <v>7.8253415321815547</v>
      </c>
      <c r="K241">
        <f t="shared" si="27"/>
        <v>17.553041960784313</v>
      </c>
    </row>
    <row r="242" spans="1:11" x14ac:dyDescent="0.25">
      <c r="A242">
        <f t="shared" si="28"/>
        <v>1180</v>
      </c>
      <c r="B242">
        <f t="shared" si="22"/>
        <v>70800</v>
      </c>
      <c r="C242">
        <f t="shared" si="23"/>
        <v>19.666666666666668</v>
      </c>
      <c r="D242">
        <f>IF(OR(A242&lt;420,A242&gt;1440),0,Afleiding_Tapwater_schema!G$96)</f>
        <v>15553.041960784316</v>
      </c>
      <c r="E242" s="13">
        <f>_xlfn.NORM.DIST(A242,-30,Afleiding_Tapwater_schema!G$94,FALSE)*Afleiding_Tapwater_schema!G$95/K$4 + _xlfn.NORM.DIST(A242,Afleiding_Tapwater_schema!G$66*60,Afleiding_Tapwater_schema!G$94,FALSE)*Afleiding_Tapwater_schema!G$95/K$4 + _xlfn.NORM.DIST(A242,1415,Afleiding_Tapwater_schema!G$94,FALSE)*Afleiding_Tapwater_schema!G$95/K$4</f>
        <v>7.7623650293997046E-26</v>
      </c>
      <c r="F242">
        <v>2000</v>
      </c>
      <c r="G242" s="13">
        <f t="shared" si="24"/>
        <v>17553.041960784314</v>
      </c>
      <c r="H242" s="13">
        <f t="shared" si="25"/>
        <v>37.848509113788161</v>
      </c>
      <c r="I242" s="27">
        <f>G242/((Afleiding_Tapwater_schema!D$4*1000)*(E$4-H242))</f>
        <v>1.3042235886969258E-4</v>
      </c>
      <c r="J242" s="27">
        <f t="shared" si="26"/>
        <v>7.8253415321815547</v>
      </c>
      <c r="K242">
        <f t="shared" si="27"/>
        <v>17.553041960784313</v>
      </c>
    </row>
    <row r="243" spans="1:11" x14ac:dyDescent="0.25">
      <c r="A243">
        <f t="shared" si="28"/>
        <v>1185</v>
      </c>
      <c r="B243">
        <f t="shared" si="22"/>
        <v>71100</v>
      </c>
      <c r="C243">
        <f t="shared" si="23"/>
        <v>19.75</v>
      </c>
      <c r="D243">
        <f>IF(OR(A243&lt;420,A243&gt;1440),0,Afleiding_Tapwater_schema!G$96)</f>
        <v>15553.041960784316</v>
      </c>
      <c r="E243" s="13">
        <f>_xlfn.NORM.DIST(A243,-30,Afleiding_Tapwater_schema!G$94,FALSE)*Afleiding_Tapwater_schema!G$95/K$4 + _xlfn.NORM.DIST(A243,Afleiding_Tapwater_schema!G$66*60,Afleiding_Tapwater_schema!G$94,FALSE)*Afleiding_Tapwater_schema!G$95/K$4 + _xlfn.NORM.DIST(A243,1415,Afleiding_Tapwater_schema!G$94,FALSE)*Afleiding_Tapwater_schema!G$95/K$4</f>
        <v>1.4195882625305292E-24</v>
      </c>
      <c r="F243">
        <v>2000</v>
      </c>
      <c r="G243" s="13">
        <f t="shared" si="24"/>
        <v>17553.041960784314</v>
      </c>
      <c r="H243" s="13">
        <f t="shared" si="25"/>
        <v>37.848509113788161</v>
      </c>
      <c r="I243" s="27">
        <f>G243/((Afleiding_Tapwater_schema!D$4*1000)*(E$4-H243))</f>
        <v>1.3042235886969258E-4</v>
      </c>
      <c r="J243" s="27">
        <f t="shared" si="26"/>
        <v>7.8253415321815547</v>
      </c>
      <c r="K243">
        <f t="shared" si="27"/>
        <v>17.553041960784313</v>
      </c>
    </row>
    <row r="244" spans="1:11" x14ac:dyDescent="0.25">
      <c r="A244">
        <f t="shared" si="28"/>
        <v>1190</v>
      </c>
      <c r="B244">
        <f t="shared" si="22"/>
        <v>71400</v>
      </c>
      <c r="C244">
        <f t="shared" si="23"/>
        <v>19.833333333333332</v>
      </c>
      <c r="D244">
        <f>IF(OR(A244&lt;420,A244&gt;1440),0,Afleiding_Tapwater_schema!G$96)</f>
        <v>15553.041960784316</v>
      </c>
      <c r="E244" s="13">
        <f>_xlfn.NORM.DIST(A244,-30,Afleiding_Tapwater_schema!G$94,FALSE)*Afleiding_Tapwater_schema!G$95/K$4 + _xlfn.NORM.DIST(A244,Afleiding_Tapwater_schema!G$66*60,Afleiding_Tapwater_schema!G$94,FALSE)*Afleiding_Tapwater_schema!G$95/K$4 + _xlfn.NORM.DIST(A244,1415,Afleiding_Tapwater_schema!G$94,FALSE)*Afleiding_Tapwater_schema!G$95/K$4</f>
        <v>2.4388625939656751E-23</v>
      </c>
      <c r="F244">
        <v>2000</v>
      </c>
      <c r="G244" s="13">
        <f t="shared" si="24"/>
        <v>17553.041960784314</v>
      </c>
      <c r="H244" s="13">
        <f t="shared" si="25"/>
        <v>37.848509113788161</v>
      </c>
      <c r="I244" s="27">
        <f>G244/((Afleiding_Tapwater_schema!D$4*1000)*(E$4-H244))</f>
        <v>1.3042235886969258E-4</v>
      </c>
      <c r="J244" s="27">
        <f t="shared" si="26"/>
        <v>7.8253415321815547</v>
      </c>
      <c r="K244">
        <f t="shared" si="27"/>
        <v>17.553041960784313</v>
      </c>
    </row>
    <row r="245" spans="1:11" x14ac:dyDescent="0.25">
      <c r="A245">
        <f t="shared" si="28"/>
        <v>1195</v>
      </c>
      <c r="B245">
        <f t="shared" si="22"/>
        <v>71700</v>
      </c>
      <c r="C245">
        <f t="shared" si="23"/>
        <v>19.916666666666668</v>
      </c>
      <c r="D245">
        <f>IF(OR(A245&lt;420,A245&gt;1440),0,Afleiding_Tapwater_schema!G$96)</f>
        <v>15553.041960784316</v>
      </c>
      <c r="E245" s="13">
        <f>_xlfn.NORM.DIST(A245,-30,Afleiding_Tapwater_schema!G$94,FALSE)*Afleiding_Tapwater_schema!G$95/K$4 + _xlfn.NORM.DIST(A245,Afleiding_Tapwater_schema!G$66*60,Afleiding_Tapwater_schema!G$94,FALSE)*Afleiding_Tapwater_schema!G$95/K$4 + _xlfn.NORM.DIST(A245,1415,Afleiding_Tapwater_schema!G$94,FALSE)*Afleiding_Tapwater_schema!G$95/K$4</f>
        <v>3.9361248063406624E-22</v>
      </c>
      <c r="F245">
        <v>2000</v>
      </c>
      <c r="G245" s="13">
        <f t="shared" si="24"/>
        <v>17553.041960784314</v>
      </c>
      <c r="H245" s="13">
        <f t="shared" si="25"/>
        <v>37.848509113788161</v>
      </c>
      <c r="I245" s="27">
        <f>G245/((Afleiding_Tapwater_schema!D$4*1000)*(E$4-H245))</f>
        <v>1.3042235886969258E-4</v>
      </c>
      <c r="J245" s="27">
        <f t="shared" si="26"/>
        <v>7.8253415321815547</v>
      </c>
      <c r="K245">
        <f t="shared" si="27"/>
        <v>17.553041960784313</v>
      </c>
    </row>
    <row r="246" spans="1:11" x14ac:dyDescent="0.25">
      <c r="A246">
        <f t="shared" si="28"/>
        <v>1200</v>
      </c>
      <c r="B246">
        <f t="shared" si="22"/>
        <v>72000</v>
      </c>
      <c r="C246">
        <f t="shared" si="23"/>
        <v>20</v>
      </c>
      <c r="D246">
        <f>IF(OR(A246&lt;420,A246&gt;1440),0,Afleiding_Tapwater_schema!G$96)</f>
        <v>15553.041960784316</v>
      </c>
      <c r="E246" s="13">
        <f>_xlfn.NORM.DIST(A246,-30,Afleiding_Tapwater_schema!G$94,FALSE)*Afleiding_Tapwater_schema!G$95/K$4 + _xlfn.NORM.DIST(A246,Afleiding_Tapwater_schema!G$66*60,Afleiding_Tapwater_schema!G$94,FALSE)*Afleiding_Tapwater_schema!G$95/K$4 + _xlfn.NORM.DIST(A246,1415,Afleiding_Tapwater_schema!G$94,FALSE)*Afleiding_Tapwater_schema!G$95/K$4</f>
        <v>5.9677000064438979E-21</v>
      </c>
      <c r="F246">
        <v>2000</v>
      </c>
      <c r="G246" s="13">
        <f t="shared" si="24"/>
        <v>17553.041960784314</v>
      </c>
      <c r="H246" s="13">
        <f t="shared" si="25"/>
        <v>37.848509113788161</v>
      </c>
      <c r="I246" s="27">
        <f>G246/((Afleiding_Tapwater_schema!D$4*1000)*(E$4-H246))</f>
        <v>1.3042235886969258E-4</v>
      </c>
      <c r="J246" s="27">
        <f t="shared" si="26"/>
        <v>7.8253415321815547</v>
      </c>
      <c r="K246">
        <f t="shared" si="27"/>
        <v>17.553041960784313</v>
      </c>
    </row>
    <row r="247" spans="1:11" x14ac:dyDescent="0.25">
      <c r="A247">
        <f t="shared" si="28"/>
        <v>1205</v>
      </c>
      <c r="B247">
        <f t="shared" si="22"/>
        <v>72300</v>
      </c>
      <c r="C247">
        <f t="shared" si="23"/>
        <v>20.083333333333332</v>
      </c>
      <c r="D247">
        <f>IF(OR(A247&lt;420,A247&gt;1440),0,Afleiding_Tapwater_schema!G$96)</f>
        <v>15553.041960784316</v>
      </c>
      <c r="E247" s="13">
        <f>_xlfn.NORM.DIST(A247,-30,Afleiding_Tapwater_schema!G$94,FALSE)*Afleiding_Tapwater_schema!G$95/K$4 + _xlfn.NORM.DIST(A247,Afleiding_Tapwater_schema!G$66*60,Afleiding_Tapwater_schema!G$94,FALSE)*Afleiding_Tapwater_schema!G$95/K$4 + _xlfn.NORM.DIST(A247,1415,Afleiding_Tapwater_schema!G$94,FALSE)*Afleiding_Tapwater_schema!G$95/K$4</f>
        <v>8.4996628807984331E-20</v>
      </c>
      <c r="F247">
        <v>2000</v>
      </c>
      <c r="G247" s="13">
        <f t="shared" si="24"/>
        <v>17553.041960784314</v>
      </c>
      <c r="H247" s="13">
        <f t="shared" si="25"/>
        <v>37.848509113788161</v>
      </c>
      <c r="I247" s="27">
        <f>G247/((Afleiding_Tapwater_schema!D$4*1000)*(E$4-H247))</f>
        <v>1.3042235886969258E-4</v>
      </c>
      <c r="J247" s="27">
        <f t="shared" si="26"/>
        <v>7.8253415321815547</v>
      </c>
      <c r="K247">
        <f t="shared" si="27"/>
        <v>17.553041960784313</v>
      </c>
    </row>
    <row r="248" spans="1:11" x14ac:dyDescent="0.25">
      <c r="A248">
        <f t="shared" si="28"/>
        <v>1210</v>
      </c>
      <c r="B248">
        <f t="shared" si="22"/>
        <v>72600</v>
      </c>
      <c r="C248">
        <f t="shared" si="23"/>
        <v>20.166666666666668</v>
      </c>
      <c r="D248">
        <f>IF(OR(A248&lt;420,A248&gt;1440),0,Afleiding_Tapwater_schema!G$96)</f>
        <v>15553.041960784316</v>
      </c>
      <c r="E248" s="13">
        <f>_xlfn.NORM.DIST(A248,-30,Afleiding_Tapwater_schema!G$94,FALSE)*Afleiding_Tapwater_schema!G$95/K$4 + _xlfn.NORM.DIST(A248,Afleiding_Tapwater_schema!G$66*60,Afleiding_Tapwater_schema!G$94,FALSE)*Afleiding_Tapwater_schema!G$95/K$4 + _xlfn.NORM.DIST(A248,1415,Afleiding_Tapwater_schema!G$94,FALSE)*Afleiding_Tapwater_schema!G$95/K$4</f>
        <v>1.137242321508556E-18</v>
      </c>
      <c r="F248">
        <v>2000</v>
      </c>
      <c r="G248" s="13">
        <f t="shared" si="24"/>
        <v>17553.041960784314</v>
      </c>
      <c r="H248" s="13">
        <f t="shared" si="25"/>
        <v>37.848509113788161</v>
      </c>
      <c r="I248" s="27">
        <f>G248/((Afleiding_Tapwater_schema!D$4*1000)*(E$4-H248))</f>
        <v>1.3042235886969258E-4</v>
      </c>
      <c r="J248" s="27">
        <f t="shared" si="26"/>
        <v>7.8253415321815547</v>
      </c>
      <c r="K248">
        <f t="shared" si="27"/>
        <v>17.553041960784313</v>
      </c>
    </row>
    <row r="249" spans="1:11" x14ac:dyDescent="0.25">
      <c r="A249">
        <f t="shared" si="28"/>
        <v>1215</v>
      </c>
      <c r="B249">
        <f t="shared" si="22"/>
        <v>72900</v>
      </c>
      <c r="C249">
        <f t="shared" si="23"/>
        <v>20.25</v>
      </c>
      <c r="D249">
        <f>IF(OR(A249&lt;420,A249&gt;1440),0,Afleiding_Tapwater_schema!G$96)</f>
        <v>15553.041960784316</v>
      </c>
      <c r="E249" s="13">
        <f>_xlfn.NORM.DIST(A249,-30,Afleiding_Tapwater_schema!G$94,FALSE)*Afleiding_Tapwater_schema!G$95/K$4 + _xlfn.NORM.DIST(A249,Afleiding_Tapwater_schema!G$66*60,Afleiding_Tapwater_schema!G$94,FALSE)*Afleiding_Tapwater_schema!G$95/K$4 + _xlfn.NORM.DIST(A249,1415,Afleiding_Tapwater_schema!G$94,FALSE)*Afleiding_Tapwater_schema!G$95/K$4</f>
        <v>1.429423509308329E-17</v>
      </c>
      <c r="F249">
        <v>2000</v>
      </c>
      <c r="G249" s="13">
        <f t="shared" si="24"/>
        <v>17553.041960784314</v>
      </c>
      <c r="H249" s="13">
        <f t="shared" si="25"/>
        <v>37.848509113788161</v>
      </c>
      <c r="I249" s="27">
        <f>G249/((Afleiding_Tapwater_schema!D$4*1000)*(E$4-H249))</f>
        <v>1.3042235886969258E-4</v>
      </c>
      <c r="J249" s="27">
        <f t="shared" si="26"/>
        <v>7.8253415321815547</v>
      </c>
      <c r="K249">
        <f t="shared" si="27"/>
        <v>17.553041960784313</v>
      </c>
    </row>
    <row r="250" spans="1:11" x14ac:dyDescent="0.25">
      <c r="A250">
        <f t="shared" si="28"/>
        <v>1220</v>
      </c>
      <c r="B250">
        <f t="shared" si="22"/>
        <v>73200</v>
      </c>
      <c r="C250">
        <f t="shared" si="23"/>
        <v>20.333333333333332</v>
      </c>
      <c r="D250">
        <f>IF(OR(A250&lt;420,A250&gt;1440),0,Afleiding_Tapwater_schema!G$96)</f>
        <v>15553.041960784316</v>
      </c>
      <c r="E250" s="13">
        <f>_xlfn.NORM.DIST(A250,-30,Afleiding_Tapwater_schema!G$94,FALSE)*Afleiding_Tapwater_schema!G$95/K$4 + _xlfn.NORM.DIST(A250,Afleiding_Tapwater_schema!G$66*60,Afleiding_Tapwater_schema!G$94,FALSE)*Afleiding_Tapwater_schema!G$95/K$4 + _xlfn.NORM.DIST(A250,1415,Afleiding_Tapwater_schema!G$94,FALSE)*Afleiding_Tapwater_schema!G$95/K$4</f>
        <v>1.6878172560023289E-16</v>
      </c>
      <c r="F250">
        <v>2000</v>
      </c>
      <c r="G250" s="13">
        <f t="shared" si="24"/>
        <v>17553.041960784314</v>
      </c>
      <c r="H250" s="13">
        <f t="shared" si="25"/>
        <v>37.848509113788161</v>
      </c>
      <c r="I250" s="27">
        <f>G250/((Afleiding_Tapwater_schema!D$4*1000)*(E$4-H250))</f>
        <v>1.3042235886969258E-4</v>
      </c>
      <c r="J250" s="27">
        <f t="shared" si="26"/>
        <v>7.8253415321815547</v>
      </c>
      <c r="K250">
        <f t="shared" si="27"/>
        <v>17.553041960784313</v>
      </c>
    </row>
    <row r="251" spans="1:11" x14ac:dyDescent="0.25">
      <c r="A251">
        <f t="shared" si="28"/>
        <v>1225</v>
      </c>
      <c r="B251">
        <f t="shared" si="22"/>
        <v>73500</v>
      </c>
      <c r="C251">
        <f t="shared" si="23"/>
        <v>20.416666666666668</v>
      </c>
      <c r="D251">
        <f>IF(OR(A251&lt;420,A251&gt;1440),0,Afleiding_Tapwater_schema!G$96)</f>
        <v>15553.041960784316</v>
      </c>
      <c r="E251" s="13">
        <f>_xlfn.NORM.DIST(A251,-30,Afleiding_Tapwater_schema!G$94,FALSE)*Afleiding_Tapwater_schema!G$95/K$4 + _xlfn.NORM.DIST(A251,Afleiding_Tapwater_schema!G$66*60,Afleiding_Tapwater_schema!G$94,FALSE)*Afleiding_Tapwater_schema!G$95/K$4 + _xlfn.NORM.DIST(A251,1415,Afleiding_Tapwater_schema!G$94,FALSE)*Afleiding_Tapwater_schema!G$95/K$4</f>
        <v>1.8721753371129502E-15</v>
      </c>
      <c r="F251">
        <v>2000</v>
      </c>
      <c r="G251" s="13">
        <f t="shared" si="24"/>
        <v>17553.041960784314</v>
      </c>
      <c r="H251" s="13">
        <f t="shared" si="25"/>
        <v>37.848509113788161</v>
      </c>
      <c r="I251" s="27">
        <f>G251/((Afleiding_Tapwater_schema!D$4*1000)*(E$4-H251))</f>
        <v>1.3042235886969258E-4</v>
      </c>
      <c r="J251" s="27">
        <f t="shared" si="26"/>
        <v>7.8253415321815547</v>
      </c>
      <c r="K251">
        <f t="shared" si="27"/>
        <v>17.553041960784313</v>
      </c>
    </row>
    <row r="252" spans="1:11" x14ac:dyDescent="0.25">
      <c r="A252">
        <f t="shared" si="28"/>
        <v>1230</v>
      </c>
      <c r="B252">
        <f t="shared" si="22"/>
        <v>73800</v>
      </c>
      <c r="C252">
        <f t="shared" si="23"/>
        <v>20.5</v>
      </c>
      <c r="D252">
        <f>IF(OR(A252&lt;420,A252&gt;1440),0,Afleiding_Tapwater_schema!G$96)</f>
        <v>15553.041960784316</v>
      </c>
      <c r="E252" s="13">
        <f>_xlfn.NORM.DIST(A252,-30,Afleiding_Tapwater_schema!G$94,FALSE)*Afleiding_Tapwater_schema!G$95/K$4 + _xlfn.NORM.DIST(A252,Afleiding_Tapwater_schema!G$66*60,Afleiding_Tapwater_schema!G$94,FALSE)*Afleiding_Tapwater_schema!G$95/K$4 + _xlfn.NORM.DIST(A252,1415,Afleiding_Tapwater_schema!G$94,FALSE)*Afleiding_Tapwater_schema!G$95/K$4</f>
        <v>1.9508514994767028E-14</v>
      </c>
      <c r="F252">
        <v>2000</v>
      </c>
      <c r="G252" s="13">
        <f t="shared" si="24"/>
        <v>17553.041960784314</v>
      </c>
      <c r="H252" s="13">
        <f t="shared" si="25"/>
        <v>37.848509113788161</v>
      </c>
      <c r="I252" s="27">
        <f>G252/((Afleiding_Tapwater_schema!D$4*1000)*(E$4-H252))</f>
        <v>1.3042235886969258E-4</v>
      </c>
      <c r="J252" s="27">
        <f t="shared" si="26"/>
        <v>7.8253415321815547</v>
      </c>
      <c r="K252">
        <f t="shared" si="27"/>
        <v>17.553041960784313</v>
      </c>
    </row>
    <row r="253" spans="1:11" x14ac:dyDescent="0.25">
      <c r="A253">
        <f t="shared" si="28"/>
        <v>1235</v>
      </c>
      <c r="B253">
        <f t="shared" si="22"/>
        <v>74100</v>
      </c>
      <c r="C253">
        <f t="shared" si="23"/>
        <v>20.583333333333332</v>
      </c>
      <c r="D253">
        <f>IF(OR(A253&lt;420,A253&gt;1440),0,Afleiding_Tapwater_schema!G$96)</f>
        <v>15553.041960784316</v>
      </c>
      <c r="E253" s="13">
        <f>_xlfn.NORM.DIST(A253,-30,Afleiding_Tapwater_schema!G$94,FALSE)*Afleiding_Tapwater_schema!G$95/K$4 + _xlfn.NORM.DIST(A253,Afleiding_Tapwater_schema!G$66*60,Afleiding_Tapwater_schema!G$94,FALSE)*Afleiding_Tapwater_schema!G$95/K$4 + _xlfn.NORM.DIST(A253,1415,Afleiding_Tapwater_schema!G$94,FALSE)*Afleiding_Tapwater_schema!G$95/K$4</f>
        <v>1.9096707608255907E-13</v>
      </c>
      <c r="F253">
        <v>2000</v>
      </c>
      <c r="G253" s="13">
        <f t="shared" si="24"/>
        <v>17553.041960784314</v>
      </c>
      <c r="H253" s="13">
        <f t="shared" si="25"/>
        <v>37.848509113788161</v>
      </c>
      <c r="I253" s="27">
        <f>G253/((Afleiding_Tapwater_schema!D$4*1000)*(E$4-H253))</f>
        <v>1.3042235886969258E-4</v>
      </c>
      <c r="J253" s="27">
        <f t="shared" si="26"/>
        <v>7.8253415321815547</v>
      </c>
      <c r="K253">
        <f t="shared" si="27"/>
        <v>17.553041960784313</v>
      </c>
    </row>
    <row r="254" spans="1:11" x14ac:dyDescent="0.25">
      <c r="A254">
        <f t="shared" si="28"/>
        <v>1240</v>
      </c>
      <c r="B254">
        <f t="shared" si="22"/>
        <v>74400</v>
      </c>
      <c r="C254">
        <f t="shared" si="23"/>
        <v>20.666666666666668</v>
      </c>
      <c r="D254">
        <f>IF(OR(A254&lt;420,A254&gt;1440),0,Afleiding_Tapwater_schema!G$96)</f>
        <v>15553.041960784316</v>
      </c>
      <c r="E254" s="13">
        <f>_xlfn.NORM.DIST(A254,-30,Afleiding_Tapwater_schema!G$94,FALSE)*Afleiding_Tapwater_schema!G$95/K$4 + _xlfn.NORM.DIST(A254,Afleiding_Tapwater_schema!G$66*60,Afleiding_Tapwater_schema!G$94,FALSE)*Afleiding_Tapwater_schema!G$95/K$4 + _xlfn.NORM.DIST(A254,1415,Afleiding_Tapwater_schema!G$94,FALSE)*Afleiding_Tapwater_schema!G$95/K$4</f>
        <v>1.7561005557621426E-12</v>
      </c>
      <c r="F254">
        <v>2000</v>
      </c>
      <c r="G254" s="13">
        <f t="shared" si="24"/>
        <v>17553.041960784318</v>
      </c>
      <c r="H254" s="13">
        <f t="shared" si="25"/>
        <v>37.848509113788154</v>
      </c>
      <c r="I254" s="27">
        <f>G254/((Afleiding_Tapwater_schema!D$4*1000)*(E$4-H254))</f>
        <v>1.3042235886969255E-4</v>
      </c>
      <c r="J254" s="27">
        <f t="shared" si="26"/>
        <v>7.8253415321815538</v>
      </c>
      <c r="K254">
        <f t="shared" si="27"/>
        <v>17.553041960784316</v>
      </c>
    </row>
    <row r="255" spans="1:11" x14ac:dyDescent="0.25">
      <c r="A255">
        <f t="shared" si="28"/>
        <v>1245</v>
      </c>
      <c r="B255">
        <f t="shared" si="22"/>
        <v>74700</v>
      </c>
      <c r="C255">
        <f t="shared" si="23"/>
        <v>20.75</v>
      </c>
      <c r="D255">
        <f>IF(OR(A255&lt;420,A255&gt;1440),0,Afleiding_Tapwater_schema!G$96)</f>
        <v>15553.041960784316</v>
      </c>
      <c r="E255" s="13">
        <f>_xlfn.NORM.DIST(A255,-30,Afleiding_Tapwater_schema!G$94,FALSE)*Afleiding_Tapwater_schema!G$95/K$4 + _xlfn.NORM.DIST(A255,Afleiding_Tapwater_schema!G$66*60,Afleiding_Tapwater_schema!G$94,FALSE)*Afleiding_Tapwater_schema!G$95/K$4 + _xlfn.NORM.DIST(A255,1415,Afleiding_Tapwater_schema!G$94,FALSE)*Afleiding_Tapwater_schema!G$95/K$4</f>
        <v>1.5170393883762977E-11</v>
      </c>
      <c r="F255">
        <v>2000</v>
      </c>
      <c r="G255" s="13">
        <f t="shared" si="24"/>
        <v>17553.041960784329</v>
      </c>
      <c r="H255" s="13">
        <f t="shared" si="25"/>
        <v>37.848509113788154</v>
      </c>
      <c r="I255" s="27">
        <f>G255/((Afleiding_Tapwater_schema!D$4*1000)*(E$4-H255))</f>
        <v>1.3042235886969264E-4</v>
      </c>
      <c r="J255" s="27">
        <f t="shared" si="26"/>
        <v>7.8253415321815583</v>
      </c>
      <c r="K255">
        <f t="shared" si="27"/>
        <v>17.553041960784327</v>
      </c>
    </row>
    <row r="256" spans="1:11" x14ac:dyDescent="0.25">
      <c r="A256">
        <f t="shared" si="28"/>
        <v>1250</v>
      </c>
      <c r="B256">
        <f t="shared" si="22"/>
        <v>75000</v>
      </c>
      <c r="C256">
        <f t="shared" si="23"/>
        <v>20.833333333333332</v>
      </c>
      <c r="D256">
        <f>IF(OR(A256&lt;420,A256&gt;1440),0,Afleiding_Tapwater_schema!G$96)</f>
        <v>15553.041960784316</v>
      </c>
      <c r="E256" s="13">
        <f>_xlfn.NORM.DIST(A256,-30,Afleiding_Tapwater_schema!G$94,FALSE)*Afleiding_Tapwater_schema!G$95/K$4 + _xlfn.NORM.DIST(A256,Afleiding_Tapwater_schema!G$66*60,Afleiding_Tapwater_schema!G$94,FALSE)*Afleiding_Tapwater_schema!G$95/K$4 + _xlfn.NORM.DIST(A256,1415,Afleiding_Tapwater_schema!G$94,FALSE)*Afleiding_Tapwater_schema!G$95/K$4</f>
        <v>1.2311215358395273E-10</v>
      </c>
      <c r="F256">
        <v>2000</v>
      </c>
      <c r="G256" s="13">
        <f t="shared" si="24"/>
        <v>17553.041960784438</v>
      </c>
      <c r="H256" s="13">
        <f t="shared" si="25"/>
        <v>37.84850911378814</v>
      </c>
      <c r="I256" s="27">
        <f>G256/((Afleiding_Tapwater_schema!D$4*1000)*(E$4-H256))</f>
        <v>1.3042235886969339E-4</v>
      </c>
      <c r="J256" s="27">
        <f t="shared" si="26"/>
        <v>7.8253415321816036</v>
      </c>
      <c r="K256">
        <f t="shared" si="27"/>
        <v>17.553041960784437</v>
      </c>
    </row>
    <row r="257" spans="1:11" x14ac:dyDescent="0.25">
      <c r="A257">
        <f t="shared" si="28"/>
        <v>1255</v>
      </c>
      <c r="B257">
        <f t="shared" si="22"/>
        <v>75300</v>
      </c>
      <c r="C257">
        <f t="shared" si="23"/>
        <v>20.916666666666668</v>
      </c>
      <c r="D257">
        <f>IF(OR(A257&lt;420,A257&gt;1440),0,Afleiding_Tapwater_schema!G$96)</f>
        <v>15553.041960784316</v>
      </c>
      <c r="E257" s="13">
        <f>_xlfn.NORM.DIST(A257,-30,Afleiding_Tapwater_schema!G$94,FALSE)*Afleiding_Tapwater_schema!G$95/K$4 + _xlfn.NORM.DIST(A257,Afleiding_Tapwater_schema!G$66*60,Afleiding_Tapwater_schema!G$94,FALSE)*Afleiding_Tapwater_schema!G$95/K$4 + _xlfn.NORM.DIST(A257,1415,Afleiding_Tapwater_schema!G$94,FALSE)*Afleiding_Tapwater_schema!G$95/K$4</f>
        <v>9.3855903505359536E-10</v>
      </c>
      <c r="F257">
        <v>2000</v>
      </c>
      <c r="G257" s="13">
        <f t="shared" si="24"/>
        <v>17553.041960785253</v>
      </c>
      <c r="H257" s="13">
        <f t="shared" si="25"/>
        <v>37.848509113788005</v>
      </c>
      <c r="I257" s="27">
        <f>G257/((Afleiding_Tapwater_schema!D$4*1000)*(E$4-H257))</f>
        <v>1.304223588696989E-4</v>
      </c>
      <c r="J257" s="27">
        <f t="shared" si="26"/>
        <v>7.8253415321819331</v>
      </c>
      <c r="K257">
        <f t="shared" si="27"/>
        <v>17.553041960785254</v>
      </c>
    </row>
    <row r="258" spans="1:11" x14ac:dyDescent="0.25">
      <c r="A258">
        <f t="shared" si="28"/>
        <v>1260</v>
      </c>
      <c r="B258">
        <f t="shared" si="22"/>
        <v>75600</v>
      </c>
      <c r="C258">
        <f t="shared" si="23"/>
        <v>21</v>
      </c>
      <c r="D258">
        <f>IF(OR(A258&lt;420,A258&gt;1440),0,Afleiding_Tapwater_schema!G$96)</f>
        <v>15553.041960784316</v>
      </c>
      <c r="E258" s="13">
        <f>_xlfn.NORM.DIST(A258,-30,Afleiding_Tapwater_schema!G$94,FALSE)*Afleiding_Tapwater_schema!G$95/K$4 + _xlfn.NORM.DIST(A258,Afleiding_Tapwater_schema!G$66*60,Afleiding_Tapwater_schema!G$94,FALSE)*Afleiding_Tapwater_schema!G$95/K$4 + _xlfn.NORM.DIST(A258,1415,Afleiding_Tapwater_schema!G$94,FALSE)*Afleiding_Tapwater_schema!G$95/K$4</f>
        <v>6.7216958322801464E-9</v>
      </c>
      <c r="F258">
        <v>2000</v>
      </c>
      <c r="G258" s="13">
        <f t="shared" si="24"/>
        <v>17553.041960791037</v>
      </c>
      <c r="H258" s="13">
        <f t="shared" si="25"/>
        <v>37.84850911378706</v>
      </c>
      <c r="I258" s="27">
        <f>G258/((Afleiding_Tapwater_schema!D$4*1000)*(E$4-H258))</f>
        <v>1.3042235886973804E-4</v>
      </c>
      <c r="J258" s="27">
        <f t="shared" si="26"/>
        <v>7.8253415321842832</v>
      </c>
      <c r="K258">
        <f t="shared" si="27"/>
        <v>17.553041960791038</v>
      </c>
    </row>
    <row r="259" spans="1:11" x14ac:dyDescent="0.25">
      <c r="A259">
        <f t="shared" si="28"/>
        <v>1265</v>
      </c>
      <c r="B259">
        <f t="shared" si="22"/>
        <v>75900</v>
      </c>
      <c r="C259">
        <f t="shared" si="23"/>
        <v>21.083333333333332</v>
      </c>
      <c r="D259">
        <f>IF(OR(A259&lt;420,A259&gt;1440),0,Afleiding_Tapwater_schema!G$96)</f>
        <v>15553.041960784316</v>
      </c>
      <c r="E259" s="13">
        <f>_xlfn.NORM.DIST(A259,-30,Afleiding_Tapwater_schema!G$94,FALSE)*Afleiding_Tapwater_schema!G$95/K$4 + _xlfn.NORM.DIST(A259,Afleiding_Tapwater_schema!G$66*60,Afleiding_Tapwater_schema!G$94,FALSE)*Afleiding_Tapwater_schema!G$95/K$4 + _xlfn.NORM.DIST(A259,1415,Afleiding_Tapwater_schema!G$94,FALSE)*Afleiding_Tapwater_schema!G$95/K$4</f>
        <v>4.5222306814372222E-8</v>
      </c>
      <c r="F259">
        <v>2000</v>
      </c>
      <c r="G259" s="13">
        <f t="shared" si="24"/>
        <v>17553.041960829538</v>
      </c>
      <c r="H259" s="13">
        <f t="shared" si="25"/>
        <v>37.848509113780814</v>
      </c>
      <c r="I259" s="27">
        <f>G259/((Afleiding_Tapwater_schema!D$4*1000)*(E$4-H259))</f>
        <v>1.3042235886999879E-4</v>
      </c>
      <c r="J259" s="27">
        <f t="shared" si="26"/>
        <v>7.8253415321999267</v>
      </c>
      <c r="K259">
        <f t="shared" si="27"/>
        <v>17.553041960829539</v>
      </c>
    </row>
    <row r="260" spans="1:11" x14ac:dyDescent="0.25">
      <c r="A260">
        <f t="shared" si="28"/>
        <v>1270</v>
      </c>
      <c r="B260">
        <f t="shared" si="22"/>
        <v>76200</v>
      </c>
      <c r="C260">
        <f t="shared" si="23"/>
        <v>21.166666666666668</v>
      </c>
      <c r="D260">
        <f>IF(OR(A260&lt;420,A260&gt;1440),0,Afleiding_Tapwater_schema!G$96)</f>
        <v>15553.041960784316</v>
      </c>
      <c r="E260" s="13">
        <f>_xlfn.NORM.DIST(A260,-30,Afleiding_Tapwater_schema!G$94,FALSE)*Afleiding_Tapwater_schema!G$95/K$4 + _xlfn.NORM.DIST(A260,Afleiding_Tapwater_schema!G$66*60,Afleiding_Tapwater_schema!G$94,FALSE)*Afleiding_Tapwater_schema!G$95/K$4 + _xlfn.NORM.DIST(A260,1415,Afleiding_Tapwater_schema!G$94,FALSE)*Afleiding_Tapwater_schema!G$95/K$4</f>
        <v>2.8581377966386439E-7</v>
      </c>
      <c r="F260">
        <v>2000</v>
      </c>
      <c r="G260" s="13">
        <f t="shared" si="24"/>
        <v>17553.041961070128</v>
      </c>
      <c r="H260" s="13">
        <f t="shared" si="25"/>
        <v>37.848509113741777</v>
      </c>
      <c r="I260" s="27">
        <f>G260/((Afleiding_Tapwater_schema!D$4*1000)*(E$4-H260))</f>
        <v>1.3042235887162807E-4</v>
      </c>
      <c r="J260" s="27">
        <f t="shared" si="26"/>
        <v>7.825341532297684</v>
      </c>
      <c r="K260">
        <f t="shared" si="27"/>
        <v>17.553041961070129</v>
      </c>
    </row>
    <row r="261" spans="1:11" x14ac:dyDescent="0.25">
      <c r="A261">
        <f t="shared" si="28"/>
        <v>1275</v>
      </c>
      <c r="B261">
        <f t="shared" si="22"/>
        <v>76500</v>
      </c>
      <c r="C261">
        <f t="shared" si="23"/>
        <v>21.25</v>
      </c>
      <c r="D261">
        <f>IF(OR(A261&lt;420,A261&gt;1440),0,Afleiding_Tapwater_schema!G$96)</f>
        <v>15553.041960784316</v>
      </c>
      <c r="E261" s="13">
        <f>_xlfn.NORM.DIST(A261,-30,Afleiding_Tapwater_schema!G$94,FALSE)*Afleiding_Tapwater_schema!G$95/K$4 + _xlfn.NORM.DIST(A261,Afleiding_Tapwater_schema!G$66*60,Afleiding_Tapwater_schema!G$94,FALSE)*Afleiding_Tapwater_schema!G$95/K$4 + _xlfn.NORM.DIST(A261,1415,Afleiding_Tapwater_schema!G$94,FALSE)*Afleiding_Tapwater_schema!G$95/K$4</f>
        <v>1.6969545438478554E-6</v>
      </c>
      <c r="F261">
        <v>2000</v>
      </c>
      <c r="G261" s="13">
        <f t="shared" si="24"/>
        <v>17553.041962481271</v>
      </c>
      <c r="H261" s="13">
        <f t="shared" si="25"/>
        <v>37.848509113512769</v>
      </c>
      <c r="I261" s="27">
        <f>G261/((Afleiding_Tapwater_schema!D$4*1000)*(E$4-H261))</f>
        <v>1.3042235888118412E-4</v>
      </c>
      <c r="J261" s="27">
        <f t="shared" si="26"/>
        <v>7.8253415328710467</v>
      </c>
      <c r="K261">
        <f t="shared" si="27"/>
        <v>17.55304196248127</v>
      </c>
    </row>
    <row r="262" spans="1:11" x14ac:dyDescent="0.25">
      <c r="A262">
        <f t="shared" si="28"/>
        <v>1280</v>
      </c>
      <c r="B262">
        <f t="shared" si="22"/>
        <v>76800</v>
      </c>
      <c r="C262">
        <f t="shared" si="23"/>
        <v>21.333333333333332</v>
      </c>
      <c r="D262">
        <f>IF(OR(A262&lt;420,A262&gt;1440),0,Afleiding_Tapwater_schema!G$96)</f>
        <v>15553.041960784316</v>
      </c>
      <c r="E262" s="13">
        <f>_xlfn.NORM.DIST(A262,-30,Afleiding_Tapwater_schema!G$94,FALSE)*Afleiding_Tapwater_schema!G$95/K$4 + _xlfn.NORM.DIST(A262,Afleiding_Tapwater_schema!G$66*60,Afleiding_Tapwater_schema!G$94,FALSE)*Afleiding_Tapwater_schema!G$95/K$4 + _xlfn.NORM.DIST(A262,1415,Afleiding_Tapwater_schema!G$94,FALSE)*Afleiding_Tapwater_schema!G$95/K$4</f>
        <v>9.4648524895909712E-6</v>
      </c>
      <c r="F262">
        <v>2000</v>
      </c>
      <c r="G262" s="13">
        <f t="shared" si="24"/>
        <v>17553.041970249171</v>
      </c>
      <c r="H262" s="13">
        <f t="shared" si="25"/>
        <v>37.848509112252195</v>
      </c>
      <c r="I262" s="27">
        <f>G262/((Afleiding_Tapwater_schema!D$4*1000)*(E$4-H262))</f>
        <v>1.3042235893378758E-4</v>
      </c>
      <c r="J262" s="27">
        <f t="shared" si="26"/>
        <v>7.8253415360272554</v>
      </c>
      <c r="K262">
        <f t="shared" si="27"/>
        <v>17.553041970249172</v>
      </c>
    </row>
    <row r="263" spans="1:11" x14ac:dyDescent="0.25">
      <c r="A263">
        <f t="shared" si="28"/>
        <v>1285</v>
      </c>
      <c r="B263">
        <f t="shared" ref="B263:B294" si="29">A263*60</f>
        <v>77100</v>
      </c>
      <c r="C263">
        <f t="shared" ref="C263:C294" si="30">A263/60</f>
        <v>21.416666666666668</v>
      </c>
      <c r="D263">
        <f>IF(OR(A263&lt;420,A263&gt;1440),0,Afleiding_Tapwater_schema!G$96)</f>
        <v>15553.041960784316</v>
      </c>
      <c r="E263" s="13">
        <f>_xlfn.NORM.DIST(A263,-30,Afleiding_Tapwater_schema!G$94,FALSE)*Afleiding_Tapwater_schema!G$95/K$4 + _xlfn.NORM.DIST(A263,Afleiding_Tapwater_schema!G$66*60,Afleiding_Tapwater_schema!G$94,FALSE)*Afleiding_Tapwater_schema!G$95/K$4 + _xlfn.NORM.DIST(A263,1415,Afleiding_Tapwater_schema!G$94,FALSE)*Afleiding_Tapwater_schema!G$95/K$4</f>
        <v>4.9592281153265812E-5</v>
      </c>
      <c r="F263">
        <v>2000</v>
      </c>
      <c r="G263" s="13">
        <f t="shared" ref="G263:G294" si="31">D263+E263+F263</f>
        <v>17553.042010376597</v>
      </c>
      <c r="H263" s="13">
        <f t="shared" ref="H263:H294" si="32">(F263*E$3+(D263+E263)*E$2)/(D263+E263+F263)</f>
        <v>37.848509105740312</v>
      </c>
      <c r="I263" s="27">
        <f>G263/((Afleiding_Tapwater_schema!D$4*1000)*(E$4-H263))</f>
        <v>1.3042235920552637E-4</v>
      </c>
      <c r="J263" s="27">
        <f t="shared" ref="J263:J294" si="33">I263*1000*60</f>
        <v>7.8253415523315812</v>
      </c>
      <c r="K263">
        <f t="shared" ref="K263:K294" si="34">G263/1000</f>
        <v>17.553042010376597</v>
      </c>
    </row>
    <row r="264" spans="1:11" x14ac:dyDescent="0.25">
      <c r="A264">
        <f t="shared" si="28"/>
        <v>1290</v>
      </c>
      <c r="B264">
        <f t="shared" si="29"/>
        <v>77400</v>
      </c>
      <c r="C264">
        <f t="shared" si="30"/>
        <v>21.5</v>
      </c>
      <c r="D264">
        <f>IF(OR(A264&lt;420,A264&gt;1440),0,Afleiding_Tapwater_schema!G$96)</f>
        <v>15553.041960784316</v>
      </c>
      <c r="E264" s="13">
        <f>_xlfn.NORM.DIST(A264,-30,Afleiding_Tapwater_schema!G$94,FALSE)*Afleiding_Tapwater_schema!G$95/K$4 + _xlfn.NORM.DIST(A264,Afleiding_Tapwater_schema!G$66*60,Afleiding_Tapwater_schema!G$94,FALSE)*Afleiding_Tapwater_schema!G$95/K$4 + _xlfn.NORM.DIST(A264,1415,Afleiding_Tapwater_schema!G$94,FALSE)*Afleiding_Tapwater_schema!G$95/K$4</f>
        <v>2.4410176297264214E-4</v>
      </c>
      <c r="F264">
        <v>2000</v>
      </c>
      <c r="G264" s="13">
        <f t="shared" si="31"/>
        <v>17553.042204886078</v>
      </c>
      <c r="H264" s="13">
        <f t="shared" si="32"/>
        <v>37.848509074175304</v>
      </c>
      <c r="I264" s="27">
        <f>G264/((Afleiding_Tapwater_schema!D$4*1000)*(E$4-H264))</f>
        <v>1.3042236052272459E-4</v>
      </c>
      <c r="J264" s="27">
        <f t="shared" si="33"/>
        <v>7.825341631363476</v>
      </c>
      <c r="K264">
        <f t="shared" si="34"/>
        <v>17.553042204886079</v>
      </c>
    </row>
    <row r="265" spans="1:11" x14ac:dyDescent="0.25">
      <c r="A265">
        <f t="shared" si="28"/>
        <v>1295</v>
      </c>
      <c r="B265">
        <f t="shared" si="29"/>
        <v>77700</v>
      </c>
      <c r="C265">
        <f t="shared" si="30"/>
        <v>21.583333333333332</v>
      </c>
      <c r="D265">
        <f>IF(OR(A265&lt;420,A265&gt;1440),0,Afleiding_Tapwater_schema!G$96)</f>
        <v>15553.041960784316</v>
      </c>
      <c r="E265" s="13">
        <f>_xlfn.NORM.DIST(A265,-30,Afleiding_Tapwater_schema!G$94,FALSE)*Afleiding_Tapwater_schema!G$95/K$4 + _xlfn.NORM.DIST(A265,Afleiding_Tapwater_schema!G$66*60,Afleiding_Tapwater_schema!G$94,FALSE)*Afleiding_Tapwater_schema!G$95/K$4 + _xlfn.NORM.DIST(A265,1415,Afleiding_Tapwater_schema!G$94,FALSE)*Afleiding_Tapwater_schema!G$95/K$4</f>
        <v>1.1287151164970127E-3</v>
      </c>
      <c r="F265">
        <v>2000</v>
      </c>
      <c r="G265" s="13">
        <f t="shared" si="31"/>
        <v>17553.043089499435</v>
      </c>
      <c r="H265" s="13">
        <f t="shared" si="32"/>
        <v>37.848508930620177</v>
      </c>
      <c r="I265" s="27">
        <f>G265/((Afleiding_Tapwater_schema!D$4*1000)*(E$4-H265))</f>
        <v>1.3042236651323531E-4</v>
      </c>
      <c r="J265" s="27">
        <f t="shared" si="33"/>
        <v>7.8253419907941177</v>
      </c>
      <c r="K265">
        <f t="shared" si="34"/>
        <v>17.553043089499436</v>
      </c>
    </row>
    <row r="266" spans="1:11" x14ac:dyDescent="0.25">
      <c r="A266">
        <f t="shared" ref="A266:A294" si="35">A265+D$1</f>
        <v>1300</v>
      </c>
      <c r="B266">
        <f t="shared" si="29"/>
        <v>78000</v>
      </c>
      <c r="C266">
        <f t="shared" si="30"/>
        <v>21.666666666666668</v>
      </c>
      <c r="D266">
        <f>IF(OR(A266&lt;420,A266&gt;1440),0,Afleiding_Tapwater_schema!G$96)</f>
        <v>15553.041960784316</v>
      </c>
      <c r="E266" s="13">
        <f>_xlfn.NORM.DIST(A266,-30,Afleiding_Tapwater_schema!G$94,FALSE)*Afleiding_Tapwater_schema!G$95/K$4 + _xlfn.NORM.DIST(A266,Afleiding_Tapwater_schema!G$66*60,Afleiding_Tapwater_schema!G$94,FALSE)*Afleiding_Tapwater_schema!G$95/K$4 + _xlfn.NORM.DIST(A266,1415,Afleiding_Tapwater_schema!G$94,FALSE)*Afleiding_Tapwater_schema!G$95/K$4</f>
        <v>4.9029149732022076E-3</v>
      </c>
      <c r="F266">
        <v>2000</v>
      </c>
      <c r="G266" s="13">
        <f t="shared" si="31"/>
        <v>17553.046863699288</v>
      </c>
      <c r="H266" s="13">
        <f t="shared" si="32"/>
        <v>37.848508318142926</v>
      </c>
      <c r="I266" s="27">
        <f>G266/((Afleiding_Tapwater_schema!D$4*1000)*(E$4-H266))</f>
        <v>1.3042239207172892E-4</v>
      </c>
      <c r="J266" s="27">
        <f t="shared" si="33"/>
        <v>7.8253435243037357</v>
      </c>
      <c r="K266">
        <f t="shared" si="34"/>
        <v>17.553046863699286</v>
      </c>
    </row>
    <row r="267" spans="1:11" x14ac:dyDescent="0.25">
      <c r="A267">
        <f t="shared" si="35"/>
        <v>1305</v>
      </c>
      <c r="B267">
        <f t="shared" si="29"/>
        <v>78300</v>
      </c>
      <c r="C267">
        <f t="shared" si="30"/>
        <v>21.75</v>
      </c>
      <c r="D267">
        <f>IF(OR(A267&lt;420,A267&gt;1440),0,Afleiding_Tapwater_schema!G$96)</f>
        <v>15553.041960784316</v>
      </c>
      <c r="E267" s="13">
        <f>_xlfn.NORM.DIST(A267,-30,Afleiding_Tapwater_schema!G$94,FALSE)*Afleiding_Tapwater_schema!G$95/K$4 + _xlfn.NORM.DIST(A267,Afleiding_Tapwater_schema!G$66*60,Afleiding_Tapwater_schema!G$94,FALSE)*Afleiding_Tapwater_schema!G$95/K$4 + _xlfn.NORM.DIST(A267,1415,Afleiding_Tapwater_schema!G$94,FALSE)*Afleiding_Tapwater_schema!G$95/K$4</f>
        <v>2.000695415221453E-2</v>
      </c>
      <c r="F267">
        <v>2000</v>
      </c>
      <c r="G267" s="13">
        <f t="shared" si="31"/>
        <v>17553.061967738468</v>
      </c>
      <c r="H267" s="13">
        <f t="shared" si="32"/>
        <v>37.848505867061668</v>
      </c>
      <c r="I267" s="27">
        <f>G267/((Afleiding_Tapwater_schema!D$4*1000)*(E$4-H267))</f>
        <v>1.3042249435473122E-4</v>
      </c>
      <c r="J267" s="27">
        <f t="shared" si="33"/>
        <v>7.8253496612838731</v>
      </c>
      <c r="K267">
        <f t="shared" si="34"/>
        <v>17.553061967738468</v>
      </c>
    </row>
    <row r="268" spans="1:11" x14ac:dyDescent="0.25">
      <c r="A268">
        <f t="shared" si="35"/>
        <v>1310</v>
      </c>
      <c r="B268">
        <f t="shared" si="29"/>
        <v>78600</v>
      </c>
      <c r="C268">
        <f t="shared" si="30"/>
        <v>21.833333333333332</v>
      </c>
      <c r="D268">
        <f>IF(OR(A268&lt;420,A268&gt;1440),0,Afleiding_Tapwater_schema!G$96)</f>
        <v>15553.041960784316</v>
      </c>
      <c r="E268" s="13">
        <f>_xlfn.NORM.DIST(A268,-30,Afleiding_Tapwater_schema!G$94,FALSE)*Afleiding_Tapwater_schema!G$95/K$4 + _xlfn.NORM.DIST(A268,Afleiding_Tapwater_schema!G$66*60,Afleiding_Tapwater_schema!G$94,FALSE)*Afleiding_Tapwater_schema!G$95/K$4 + _xlfn.NORM.DIST(A268,1415,Afleiding_Tapwater_schema!G$94,FALSE)*Afleiding_Tapwater_schema!G$95/K$4</f>
        <v>7.6694494085276441E-2</v>
      </c>
      <c r="F268">
        <v>2000</v>
      </c>
      <c r="G268" s="13">
        <f t="shared" si="31"/>
        <v>17553.118655278402</v>
      </c>
      <c r="H268" s="13">
        <f t="shared" si="32"/>
        <v>37.848496667853631</v>
      </c>
      <c r="I268" s="27">
        <f>G268/((Afleiding_Tapwater_schema!D$4*1000)*(E$4-H268))</f>
        <v>1.3042287823694385E-4</v>
      </c>
      <c r="J268" s="27">
        <f t="shared" si="33"/>
        <v>7.8253726942166306</v>
      </c>
      <c r="K268">
        <f t="shared" si="34"/>
        <v>17.553118655278404</v>
      </c>
    </row>
    <row r="269" spans="1:11" x14ac:dyDescent="0.25">
      <c r="A269">
        <f t="shared" si="35"/>
        <v>1315</v>
      </c>
      <c r="B269">
        <f t="shared" si="29"/>
        <v>78900</v>
      </c>
      <c r="C269">
        <f t="shared" si="30"/>
        <v>21.916666666666668</v>
      </c>
      <c r="D269">
        <f>IF(OR(A269&lt;420,A269&gt;1440),0,Afleiding_Tapwater_schema!G$96)</f>
        <v>15553.041960784316</v>
      </c>
      <c r="E269" s="13">
        <f>_xlfn.NORM.DIST(A269,-30,Afleiding_Tapwater_schema!G$94,FALSE)*Afleiding_Tapwater_schema!G$95/K$4 + _xlfn.NORM.DIST(A269,Afleiding_Tapwater_schema!G$66*60,Afleiding_Tapwater_schema!G$94,FALSE)*Afleiding_Tapwater_schema!G$95/K$4 + _xlfn.NORM.DIST(A269,1415,Afleiding_Tapwater_schema!G$94,FALSE)*Afleiding_Tapwater_schema!G$95/K$4</f>
        <v>0.27618748283148864</v>
      </c>
      <c r="F269">
        <v>2000</v>
      </c>
      <c r="G269" s="13">
        <f t="shared" si="31"/>
        <v>17553.31814826715</v>
      </c>
      <c r="H269" s="13">
        <f t="shared" si="32"/>
        <v>37.848464294765598</v>
      </c>
      <c r="I269" s="27">
        <f>G269/((Afleiding_Tapwater_schema!D$4*1000)*(E$4-H269))</f>
        <v>1.3042422918319499E-4</v>
      </c>
      <c r="J269" s="27">
        <f t="shared" si="33"/>
        <v>7.8254537509916995</v>
      </c>
      <c r="K269">
        <f t="shared" si="34"/>
        <v>17.553318148267149</v>
      </c>
    </row>
    <row r="270" spans="1:11" x14ac:dyDescent="0.25">
      <c r="A270">
        <f t="shared" si="35"/>
        <v>1320</v>
      </c>
      <c r="B270">
        <f t="shared" si="29"/>
        <v>79200</v>
      </c>
      <c r="C270">
        <f t="shared" si="30"/>
        <v>22</v>
      </c>
      <c r="D270">
        <f>IF(OR(A270&lt;420,A270&gt;1440),0,Afleiding_Tapwater_schema!G$96)</f>
        <v>15553.041960784316</v>
      </c>
      <c r="E270" s="13">
        <f>_xlfn.NORM.DIST(A270,-30,Afleiding_Tapwater_schema!G$94,FALSE)*Afleiding_Tapwater_schema!G$95/K$4 + _xlfn.NORM.DIST(A270,Afleiding_Tapwater_schema!G$66*60,Afleiding_Tapwater_schema!G$94,FALSE)*Afleiding_Tapwater_schema!G$95/K$4 + _xlfn.NORM.DIST(A270,1415,Afleiding_Tapwater_schema!G$94,FALSE)*Afleiding_Tapwater_schema!G$95/K$4</f>
        <v>0.93433021101308866</v>
      </c>
      <c r="F270">
        <v>2000</v>
      </c>
      <c r="G270" s="13">
        <f t="shared" si="31"/>
        <v>17553.976290995328</v>
      </c>
      <c r="H270" s="13">
        <f t="shared" si="32"/>
        <v>37.848357498673877</v>
      </c>
      <c r="I270" s="27">
        <f>G270/((Afleiding_Tapwater_schema!D$4*1000)*(E$4-H270))</f>
        <v>1.3042868606075755E-4</v>
      </c>
      <c r="J270" s="27">
        <f t="shared" si="33"/>
        <v>7.8257211636454533</v>
      </c>
      <c r="K270">
        <f t="shared" si="34"/>
        <v>17.55397629099533</v>
      </c>
    </row>
    <row r="271" spans="1:11" x14ac:dyDescent="0.25">
      <c r="A271">
        <f t="shared" si="35"/>
        <v>1325</v>
      </c>
      <c r="B271">
        <f t="shared" si="29"/>
        <v>79500</v>
      </c>
      <c r="C271">
        <f t="shared" si="30"/>
        <v>22.083333333333332</v>
      </c>
      <c r="D271">
        <f>IF(OR(A271&lt;420,A271&gt;1440),0,Afleiding_Tapwater_schema!G$96)</f>
        <v>15553.041960784316</v>
      </c>
      <c r="E271" s="13">
        <f>_xlfn.NORM.DIST(A271,-30,Afleiding_Tapwater_schema!G$94,FALSE)*Afleiding_Tapwater_schema!G$95/K$4 + _xlfn.NORM.DIST(A271,Afleiding_Tapwater_schema!G$66*60,Afleiding_Tapwater_schema!G$94,FALSE)*Afleiding_Tapwater_schema!G$95/K$4 + _xlfn.NORM.DIST(A271,1415,Afleiding_Tapwater_schema!G$94,FALSE)*Afleiding_Tapwater_schema!G$95/K$4</f>
        <v>2.9692952697505719</v>
      </c>
      <c r="F271">
        <v>2000</v>
      </c>
      <c r="G271" s="13">
        <f t="shared" si="31"/>
        <v>17556.011256054066</v>
      </c>
      <c r="H271" s="13">
        <f t="shared" si="32"/>
        <v>37.848027337801909</v>
      </c>
      <c r="I271" s="27">
        <f>G271/((Afleiding_Tapwater_schema!D$4*1000)*(E$4-H271))</f>
        <v>1.304424666613837E-4</v>
      </c>
      <c r="J271" s="27">
        <f t="shared" si="33"/>
        <v>7.8265479996830223</v>
      </c>
      <c r="K271">
        <f t="shared" si="34"/>
        <v>17.556011256054067</v>
      </c>
    </row>
    <row r="272" spans="1:11" x14ac:dyDescent="0.25">
      <c r="A272">
        <f t="shared" si="35"/>
        <v>1330</v>
      </c>
      <c r="B272">
        <f t="shared" si="29"/>
        <v>79800</v>
      </c>
      <c r="C272">
        <f t="shared" si="30"/>
        <v>22.166666666666668</v>
      </c>
      <c r="D272">
        <f>IF(OR(A272&lt;420,A272&gt;1440),0,Afleiding_Tapwater_schema!G$96)</f>
        <v>15553.041960784316</v>
      </c>
      <c r="E272" s="13">
        <f>_xlfn.NORM.DIST(A272,-30,Afleiding_Tapwater_schema!G$94,FALSE)*Afleiding_Tapwater_schema!G$95/K$4 + _xlfn.NORM.DIST(A272,Afleiding_Tapwater_schema!G$66*60,Afleiding_Tapwater_schema!G$94,FALSE)*Afleiding_Tapwater_schema!G$95/K$4 + _xlfn.NORM.DIST(A272,1415,Afleiding_Tapwater_schema!G$94,FALSE)*Afleiding_Tapwater_schema!G$95/K$4</f>
        <v>8.8646782260213044</v>
      </c>
      <c r="F272">
        <v>2000</v>
      </c>
      <c r="G272" s="13">
        <f t="shared" si="31"/>
        <v>17561.90663901034</v>
      </c>
      <c r="H272" s="13">
        <f t="shared" si="32"/>
        <v>37.847071279204663</v>
      </c>
      <c r="I272" s="27">
        <f>G272/((Afleiding_Tapwater_schema!D$4*1000)*(E$4-H272))</f>
        <v>1.3048238982054161E-4</v>
      </c>
      <c r="J272" s="27">
        <f t="shared" si="33"/>
        <v>7.8289433892324967</v>
      </c>
      <c r="K272">
        <f t="shared" si="34"/>
        <v>17.561906639010338</v>
      </c>
    </row>
    <row r="273" spans="1:11" x14ac:dyDescent="0.25">
      <c r="A273">
        <f t="shared" si="35"/>
        <v>1335</v>
      </c>
      <c r="B273">
        <f t="shared" si="29"/>
        <v>80100</v>
      </c>
      <c r="C273">
        <f t="shared" si="30"/>
        <v>22.25</v>
      </c>
      <c r="D273">
        <f>IF(OR(A273&lt;420,A273&gt;1440),0,Afleiding_Tapwater_schema!G$96)</f>
        <v>15553.041960784316</v>
      </c>
      <c r="E273" s="13">
        <f>_xlfn.NORM.DIST(A273,-30,Afleiding_Tapwater_schema!G$94,FALSE)*Afleiding_Tapwater_schema!G$95/K$4 + _xlfn.NORM.DIST(A273,Afleiding_Tapwater_schema!G$66*60,Afleiding_Tapwater_schema!G$94,FALSE)*Afleiding_Tapwater_schema!G$95/K$4 + _xlfn.NORM.DIST(A273,1415,Afleiding_Tapwater_schema!G$94,FALSE)*Afleiding_Tapwater_schema!G$95/K$4</f>
        <v>24.861604905602729</v>
      </c>
      <c r="F273">
        <v>2000</v>
      </c>
      <c r="G273" s="13">
        <f t="shared" si="31"/>
        <v>17577.903565689921</v>
      </c>
      <c r="H273" s="13">
        <f t="shared" si="32"/>
        <v>37.844480276794457</v>
      </c>
      <c r="I273" s="27">
        <f>G273/((Afleiding_Tapwater_schema!D$4*1000)*(E$4-H273))</f>
        <v>1.3059072115354582E-4</v>
      </c>
      <c r="J273" s="27">
        <f t="shared" si="33"/>
        <v>7.8354432692127505</v>
      </c>
      <c r="K273">
        <f t="shared" si="34"/>
        <v>17.577903565689923</v>
      </c>
    </row>
    <row r="274" spans="1:11" x14ac:dyDescent="0.25">
      <c r="A274">
        <f t="shared" si="35"/>
        <v>1340</v>
      </c>
      <c r="B274">
        <f t="shared" si="29"/>
        <v>80400</v>
      </c>
      <c r="C274">
        <f t="shared" si="30"/>
        <v>22.333333333333332</v>
      </c>
      <c r="D274">
        <f>IF(OR(A274&lt;420,A274&gt;1440),0,Afleiding_Tapwater_schema!G$96)</f>
        <v>15553.041960784316</v>
      </c>
      <c r="E274" s="13">
        <f>_xlfn.NORM.DIST(A274,-30,Afleiding_Tapwater_schema!G$94,FALSE)*Afleiding_Tapwater_schema!G$95/K$4 + _xlfn.NORM.DIST(A274,Afleiding_Tapwater_schema!G$66*60,Afleiding_Tapwater_schema!G$94,FALSE)*Afleiding_Tapwater_schema!G$95/K$4 + _xlfn.NORM.DIST(A274,1415,Afleiding_Tapwater_schema!G$94,FALSE)*Afleiding_Tapwater_schema!G$95/K$4</f>
        <v>65.501604711040457</v>
      </c>
      <c r="F274">
        <v>2000</v>
      </c>
      <c r="G274" s="13">
        <f t="shared" si="31"/>
        <v>17618.543565495354</v>
      </c>
      <c r="H274" s="13">
        <f t="shared" si="32"/>
        <v>37.837919026287814</v>
      </c>
      <c r="I274" s="27">
        <f>G274/((Afleiding_Tapwater_schema!D$4*1000)*(E$4-H274))</f>
        <v>1.3086594320284889E-4</v>
      </c>
      <c r="J274" s="27">
        <f t="shared" si="33"/>
        <v>7.8519565921709331</v>
      </c>
      <c r="K274">
        <f t="shared" si="34"/>
        <v>17.618543565495354</v>
      </c>
    </row>
    <row r="275" spans="1:11" x14ac:dyDescent="0.25">
      <c r="A275">
        <f t="shared" si="35"/>
        <v>1345</v>
      </c>
      <c r="B275">
        <f t="shared" si="29"/>
        <v>80700</v>
      </c>
      <c r="C275">
        <f t="shared" si="30"/>
        <v>22.416666666666668</v>
      </c>
      <c r="D275">
        <f>IF(OR(A275&lt;420,A275&gt;1440),0,Afleiding_Tapwater_schema!G$96)</f>
        <v>15553.041960784316</v>
      </c>
      <c r="E275" s="13">
        <f>_xlfn.NORM.DIST(A275,-30,Afleiding_Tapwater_schema!G$94,FALSE)*Afleiding_Tapwater_schema!G$95/K$4 + _xlfn.NORM.DIST(A275,Afleiding_Tapwater_schema!G$66*60,Afleiding_Tapwater_schema!G$94,FALSE)*Afleiding_Tapwater_schema!G$95/K$4 + _xlfn.NORM.DIST(A275,1415,Afleiding_Tapwater_schema!G$94,FALSE)*Afleiding_Tapwater_schema!G$95/K$4</f>
        <v>162.1180286305472</v>
      </c>
      <c r="F275">
        <v>2000</v>
      </c>
      <c r="G275" s="13">
        <f t="shared" si="31"/>
        <v>17715.159989414864</v>
      </c>
      <c r="H275" s="13">
        <f t="shared" si="32"/>
        <v>37.822441345710445</v>
      </c>
      <c r="I275" s="27">
        <f>G275/((Afleiding_Tapwater_schema!D$4*1000)*(E$4-H275))</f>
        <v>1.3152029195476219E-4</v>
      </c>
      <c r="J275" s="27">
        <f t="shared" si="33"/>
        <v>7.8912175172857317</v>
      </c>
      <c r="K275">
        <f t="shared" si="34"/>
        <v>17.715159989414865</v>
      </c>
    </row>
    <row r="276" spans="1:11" x14ac:dyDescent="0.25">
      <c r="A276">
        <f t="shared" si="35"/>
        <v>1350</v>
      </c>
      <c r="B276">
        <f t="shared" si="29"/>
        <v>81000</v>
      </c>
      <c r="C276">
        <f t="shared" si="30"/>
        <v>22.5</v>
      </c>
      <c r="D276">
        <f>IF(OR(A276&lt;420,A276&gt;1440),0,Afleiding_Tapwater_schema!G$96)</f>
        <v>15553.041960784316</v>
      </c>
      <c r="E276" s="13">
        <f>_xlfn.NORM.DIST(A276,-30,Afleiding_Tapwater_schema!G$94,FALSE)*Afleiding_Tapwater_schema!G$95/K$4 + _xlfn.NORM.DIST(A276,Afleiding_Tapwater_schema!G$66*60,Afleiding_Tapwater_schema!G$94,FALSE)*Afleiding_Tapwater_schema!G$95/K$4 + _xlfn.NORM.DIST(A276,1415,Afleiding_Tapwater_schema!G$94,FALSE)*Afleiding_Tapwater_schema!G$95/K$4</f>
        <v>376.93570975282307</v>
      </c>
      <c r="F276">
        <v>2000</v>
      </c>
      <c r="G276" s="13">
        <f t="shared" si="31"/>
        <v>17929.977670537141</v>
      </c>
      <c r="H276" s="13">
        <f t="shared" si="32"/>
        <v>37.788625893391981</v>
      </c>
      <c r="I276" s="27">
        <f>G276/((Afleiding_Tapwater_schema!D$4*1000)*(E$4-H276))</f>
        <v>1.3297539005277474E-4</v>
      </c>
      <c r="J276" s="27">
        <f t="shared" si="33"/>
        <v>7.9785234031664833</v>
      </c>
      <c r="K276">
        <f t="shared" si="34"/>
        <v>17.929977670537141</v>
      </c>
    </row>
    <row r="277" spans="1:11" x14ac:dyDescent="0.25">
      <c r="A277">
        <f t="shared" si="35"/>
        <v>1355</v>
      </c>
      <c r="B277">
        <f t="shared" si="29"/>
        <v>81300</v>
      </c>
      <c r="C277">
        <f t="shared" si="30"/>
        <v>22.583333333333332</v>
      </c>
      <c r="D277">
        <f>IF(OR(A277&lt;420,A277&gt;1440),0,Afleiding_Tapwater_schema!G$96)</f>
        <v>15553.041960784316</v>
      </c>
      <c r="E277" s="13">
        <f>_xlfn.NORM.DIST(A277,-30,Afleiding_Tapwater_schema!G$94,FALSE)*Afleiding_Tapwater_schema!G$95/K$4 + _xlfn.NORM.DIST(A277,Afleiding_Tapwater_schema!G$66*60,Afleiding_Tapwater_schema!G$94,FALSE)*Afleiding_Tapwater_schema!G$95/K$4 + _xlfn.NORM.DIST(A277,1415,Afleiding_Tapwater_schema!G$94,FALSE)*Afleiding_Tapwater_schema!G$95/K$4</f>
        <v>823.30328286747624</v>
      </c>
      <c r="F277">
        <v>2000</v>
      </c>
      <c r="G277" s="13">
        <f t="shared" si="31"/>
        <v>18376.345243651791</v>
      </c>
      <c r="H277" s="13">
        <f t="shared" si="32"/>
        <v>37.720889237606855</v>
      </c>
      <c r="I277" s="27">
        <f>G277/((Afleiding_Tapwater_schema!D$4*1000)*(E$4-H277))</f>
        <v>1.3599982684374152E-4</v>
      </c>
      <c r="J277" s="27">
        <f t="shared" si="33"/>
        <v>8.1599896106244909</v>
      </c>
      <c r="K277">
        <f t="shared" si="34"/>
        <v>18.376345243651791</v>
      </c>
    </row>
    <row r="278" spans="1:11" x14ac:dyDescent="0.25">
      <c r="A278">
        <f t="shared" si="35"/>
        <v>1360</v>
      </c>
      <c r="B278">
        <f t="shared" si="29"/>
        <v>81600</v>
      </c>
      <c r="C278">
        <f t="shared" si="30"/>
        <v>22.666666666666668</v>
      </c>
      <c r="D278">
        <f>IF(OR(A278&lt;420,A278&gt;1440),0,Afleiding_Tapwater_schema!G$96)</f>
        <v>15553.041960784316</v>
      </c>
      <c r="E278" s="13">
        <f>_xlfn.NORM.DIST(A278,-30,Afleiding_Tapwater_schema!G$94,FALSE)*Afleiding_Tapwater_schema!G$95/K$4 + _xlfn.NORM.DIST(A278,Afleiding_Tapwater_schema!G$66*60,Afleiding_Tapwater_schema!G$94,FALSE)*Afleiding_Tapwater_schema!G$95/K$4 + _xlfn.NORM.DIST(A278,1415,Afleiding_Tapwater_schema!G$94,FALSE)*Afleiding_Tapwater_schema!G$95/K$4</f>
        <v>1689.3086506193474</v>
      </c>
      <c r="F278">
        <v>2000</v>
      </c>
      <c r="G278" s="13">
        <f t="shared" si="31"/>
        <v>19242.350611403665</v>
      </c>
      <c r="H278" s="13">
        <f t="shared" si="32"/>
        <v>37.598435139746819</v>
      </c>
      <c r="I278" s="27">
        <f>G278/((Afleiding_Tapwater_schema!D$4*1000)*(E$4-H278))</f>
        <v>1.4187076620950968E-4</v>
      </c>
      <c r="J278" s="27">
        <f t="shared" si="33"/>
        <v>8.5122459725705806</v>
      </c>
      <c r="K278">
        <f t="shared" si="34"/>
        <v>19.242350611403666</v>
      </c>
    </row>
    <row r="279" spans="1:11" x14ac:dyDescent="0.25">
      <c r="A279">
        <f t="shared" si="35"/>
        <v>1365</v>
      </c>
      <c r="B279">
        <f t="shared" si="29"/>
        <v>81900</v>
      </c>
      <c r="C279">
        <f t="shared" si="30"/>
        <v>22.75</v>
      </c>
      <c r="D279">
        <f>IF(OR(A279&lt;420,A279&gt;1440),0,Afleiding_Tapwater_schema!G$96)</f>
        <v>15553.041960784316</v>
      </c>
      <c r="E279" s="13">
        <f>_xlfn.NORM.DIST(A279,-30,Afleiding_Tapwater_schema!G$94,FALSE)*Afleiding_Tapwater_schema!G$95/K$4 + _xlfn.NORM.DIST(A279,Afleiding_Tapwater_schema!G$66*60,Afleiding_Tapwater_schema!G$94,FALSE)*Afleiding_Tapwater_schema!G$95/K$4 + _xlfn.NORM.DIST(A279,1415,Afleiding_Tapwater_schema!G$94,FALSE)*Afleiding_Tapwater_schema!G$95/K$4</f>
        <v>3256.2276499732516</v>
      </c>
      <c r="F279">
        <v>2000</v>
      </c>
      <c r="G279" s="13">
        <f t="shared" si="31"/>
        <v>20809.269610757568</v>
      </c>
      <c r="H279" s="13">
        <f t="shared" si="32"/>
        <v>37.402775346528834</v>
      </c>
      <c r="I279" s="27">
        <f>G279/((Afleiding_Tapwater_schema!D$4*1000)*(E$4-H279))</f>
        <v>1.5250250853698441E-4</v>
      </c>
      <c r="J279" s="27">
        <f t="shared" si="33"/>
        <v>9.1501505122190654</v>
      </c>
      <c r="K279">
        <f t="shared" si="34"/>
        <v>20.809269610757568</v>
      </c>
    </row>
    <row r="280" spans="1:11" x14ac:dyDescent="0.25">
      <c r="A280">
        <f t="shared" si="35"/>
        <v>1370</v>
      </c>
      <c r="B280">
        <f t="shared" si="29"/>
        <v>82200</v>
      </c>
      <c r="C280">
        <f t="shared" si="30"/>
        <v>22.833333333333332</v>
      </c>
      <c r="D280">
        <f>IF(OR(A280&lt;420,A280&gt;1440),0,Afleiding_Tapwater_schema!G$96)</f>
        <v>15553.041960784316</v>
      </c>
      <c r="E280" s="13">
        <f>_xlfn.NORM.DIST(A280,-30,Afleiding_Tapwater_schema!G$94,FALSE)*Afleiding_Tapwater_schema!G$95/K$4 + _xlfn.NORM.DIST(A280,Afleiding_Tapwater_schema!G$66*60,Afleiding_Tapwater_schema!G$94,FALSE)*Afleiding_Tapwater_schema!G$95/K$4 + _xlfn.NORM.DIST(A280,1415,Afleiding_Tapwater_schema!G$94,FALSE)*Afleiding_Tapwater_schema!G$95/K$4</f>
        <v>5896.2665516686066</v>
      </c>
      <c r="F280">
        <v>2000</v>
      </c>
      <c r="G280" s="13">
        <f t="shared" si="31"/>
        <v>23449.308512452924</v>
      </c>
      <c r="H280" s="13">
        <f t="shared" si="32"/>
        <v>37.132259037551023</v>
      </c>
      <c r="I280" s="27">
        <f>G280/((Afleiding_Tapwater_schema!D$4*1000)*(E$4-H280))</f>
        <v>1.7043585395284694E-4</v>
      </c>
      <c r="J280" s="27">
        <f t="shared" si="33"/>
        <v>10.226151237170816</v>
      </c>
      <c r="K280">
        <f t="shared" si="34"/>
        <v>23.449308512452923</v>
      </c>
    </row>
    <row r="281" spans="1:11" x14ac:dyDescent="0.25">
      <c r="A281">
        <f t="shared" si="35"/>
        <v>1375</v>
      </c>
      <c r="B281">
        <f t="shared" si="29"/>
        <v>82500</v>
      </c>
      <c r="C281">
        <f t="shared" si="30"/>
        <v>22.916666666666668</v>
      </c>
      <c r="D281">
        <f>IF(OR(A281&lt;420,A281&gt;1440),0,Afleiding_Tapwater_schema!G$96)</f>
        <v>15553.041960784316</v>
      </c>
      <c r="E281" s="13">
        <f>_xlfn.NORM.DIST(A281,-30,Afleiding_Tapwater_schema!G$94,FALSE)*Afleiding_Tapwater_schema!G$95/K$4 + _xlfn.NORM.DIST(A281,Afleiding_Tapwater_schema!G$66*60,Afleiding_Tapwater_schema!G$94,FALSE)*Afleiding_Tapwater_schema!G$95/K$4 + _xlfn.NORM.DIST(A281,1415,Afleiding_Tapwater_schema!G$94,FALSE)*Afleiding_Tapwater_schema!G$95/K$4</f>
        <v>10029.887271360376</v>
      </c>
      <c r="F281">
        <v>2000</v>
      </c>
      <c r="G281" s="13">
        <f t="shared" si="31"/>
        <v>27582.929232144692</v>
      </c>
      <c r="H281" s="13">
        <f t="shared" si="32"/>
        <v>36.812715378384496</v>
      </c>
      <c r="I281" s="27">
        <f>G281/((Afleiding_Tapwater_schema!D$4*1000)*(E$4-H281))</f>
        <v>1.9854979418947713E-4</v>
      </c>
      <c r="J281" s="27">
        <f t="shared" si="33"/>
        <v>11.912987651368628</v>
      </c>
      <c r="K281">
        <f t="shared" si="34"/>
        <v>27.582929232144693</v>
      </c>
    </row>
    <row r="282" spans="1:11" x14ac:dyDescent="0.25">
      <c r="A282">
        <f t="shared" si="35"/>
        <v>1380</v>
      </c>
      <c r="B282">
        <f t="shared" si="29"/>
        <v>82800</v>
      </c>
      <c r="C282">
        <f t="shared" si="30"/>
        <v>23</v>
      </c>
      <c r="D282">
        <f>IF(OR(A282&lt;420,A282&gt;1440),0,Afleiding_Tapwater_schema!G$96)</f>
        <v>15553.041960784316</v>
      </c>
      <c r="E282" s="13">
        <f>_xlfn.NORM.DIST(A282,-30,Afleiding_Tapwater_schema!G$94,FALSE)*Afleiding_Tapwater_schema!G$95/K$4 + _xlfn.NORM.DIST(A282,Afleiding_Tapwater_schema!G$66*60,Afleiding_Tapwater_schema!G$94,FALSE)*Afleiding_Tapwater_schema!G$95/K$4 + _xlfn.NORM.DIST(A282,1415,Afleiding_Tapwater_schema!G$94,FALSE)*Afleiding_Tapwater_schema!G$95/K$4</f>
        <v>16027.71422315165</v>
      </c>
      <c r="F282">
        <v>2000</v>
      </c>
      <c r="G282" s="13">
        <f t="shared" si="31"/>
        <v>33580.75618393597</v>
      </c>
      <c r="H282" s="13">
        <f t="shared" si="32"/>
        <v>36.488948007189855</v>
      </c>
      <c r="I282" s="27">
        <f>G282/((Afleiding_Tapwater_schema!D$4*1000)*(E$4-H282))</f>
        <v>2.3938844622504318E-4</v>
      </c>
      <c r="J282" s="27">
        <f t="shared" si="33"/>
        <v>14.363306773502591</v>
      </c>
      <c r="K282">
        <f t="shared" si="34"/>
        <v>33.580756183935968</v>
      </c>
    </row>
    <row r="283" spans="1:11" x14ac:dyDescent="0.25">
      <c r="A283">
        <f t="shared" si="35"/>
        <v>1385</v>
      </c>
      <c r="B283">
        <f t="shared" si="29"/>
        <v>83100</v>
      </c>
      <c r="C283">
        <f t="shared" si="30"/>
        <v>23.083333333333332</v>
      </c>
      <c r="D283">
        <f>IF(OR(A283&lt;420,A283&gt;1440),0,Afleiding_Tapwater_schema!G$96)</f>
        <v>15553.041960784316</v>
      </c>
      <c r="E283" s="13">
        <f>_xlfn.NORM.DIST(A283,-30,Afleiding_Tapwater_schema!G$94,FALSE)*Afleiding_Tapwater_schema!G$95/K$4 + _xlfn.NORM.DIST(A283,Afleiding_Tapwater_schema!G$66*60,Afleiding_Tapwater_schema!G$94,FALSE)*Afleiding_Tapwater_schema!G$95/K$4 + _xlfn.NORM.DIST(A283,1415,Afleiding_Tapwater_schema!G$94,FALSE)*Afleiding_Tapwater_schema!G$95/K$4</f>
        <v>24060.448776541471</v>
      </c>
      <c r="F283">
        <v>2000</v>
      </c>
      <c r="G283" s="13">
        <f t="shared" si="31"/>
        <v>41613.490737325788</v>
      </c>
      <c r="H283" s="13">
        <f t="shared" si="32"/>
        <v>36.201533423754618</v>
      </c>
      <c r="I283" s="27">
        <f>G283/((Afleiding_Tapwater_schema!D$4*1000)*(E$4-H283))</f>
        <v>2.9412905462414919E-4</v>
      </c>
      <c r="J283" s="27">
        <f t="shared" si="33"/>
        <v>17.647743277448949</v>
      </c>
      <c r="K283">
        <f t="shared" si="34"/>
        <v>41.61349073732579</v>
      </c>
    </row>
    <row r="284" spans="1:11" x14ac:dyDescent="0.25">
      <c r="A284">
        <f t="shared" si="35"/>
        <v>1390</v>
      </c>
      <c r="B284">
        <f t="shared" si="29"/>
        <v>83400</v>
      </c>
      <c r="C284">
        <f t="shared" si="30"/>
        <v>23.166666666666668</v>
      </c>
      <c r="D284">
        <f>IF(OR(A284&lt;420,A284&gt;1440),0,Afleiding_Tapwater_schema!G$96)</f>
        <v>15553.041960784316</v>
      </c>
      <c r="E284" s="13">
        <f>_xlfn.NORM.DIST(A284,-30,Afleiding_Tapwater_schema!G$94,FALSE)*Afleiding_Tapwater_schema!G$95/K$4 + _xlfn.NORM.DIST(A284,Afleiding_Tapwater_schema!G$66*60,Afleiding_Tapwater_schema!G$94,FALSE)*Afleiding_Tapwater_schema!G$95/K$4 + _xlfn.NORM.DIST(A284,1415,Afleiding_Tapwater_schema!G$94,FALSE)*Afleiding_Tapwater_schema!G$95/K$4</f>
        <v>33930.671276675246</v>
      </c>
      <c r="F284">
        <v>2000</v>
      </c>
      <c r="G284" s="13">
        <f t="shared" si="31"/>
        <v>51483.71323745956</v>
      </c>
      <c r="H284" s="13">
        <f t="shared" si="32"/>
        <v>35.971180920253047</v>
      </c>
      <c r="I284" s="27">
        <f>G284/((Afleiding_Tapwater_schema!D$4*1000)*(E$4-H284))</f>
        <v>3.6142963639634244E-4</v>
      </c>
      <c r="J284" s="27">
        <f t="shared" si="33"/>
        <v>21.685778183780549</v>
      </c>
      <c r="K284">
        <f t="shared" si="34"/>
        <v>51.483713237459561</v>
      </c>
    </row>
    <row r="285" spans="1:11" x14ac:dyDescent="0.25">
      <c r="A285">
        <f t="shared" si="35"/>
        <v>1395</v>
      </c>
      <c r="B285">
        <f t="shared" si="29"/>
        <v>83700</v>
      </c>
      <c r="C285">
        <f t="shared" si="30"/>
        <v>23.25</v>
      </c>
      <c r="D285">
        <f>IF(OR(A285&lt;420,A285&gt;1440),0,Afleiding_Tapwater_schema!G$96)</f>
        <v>15553.041960784316</v>
      </c>
      <c r="E285" s="13">
        <f>_xlfn.NORM.DIST(A285,-30,Afleiding_Tapwater_schema!G$94,FALSE)*Afleiding_Tapwater_schema!G$95/K$4 + _xlfn.NORM.DIST(A285,Afleiding_Tapwater_schema!G$66*60,Afleiding_Tapwater_schema!G$94,FALSE)*Afleiding_Tapwater_schema!G$95/K$4 + _xlfn.NORM.DIST(A285,1415,Afleiding_Tapwater_schema!G$94,FALSE)*Afleiding_Tapwater_schema!G$95/K$4</f>
        <v>44950.836160778657</v>
      </c>
      <c r="F285">
        <v>2000</v>
      </c>
      <c r="G285" s="13">
        <f t="shared" si="31"/>
        <v>62503.878121562972</v>
      </c>
      <c r="H285" s="13">
        <f t="shared" si="32"/>
        <v>35.799950363123955</v>
      </c>
      <c r="I285" s="27">
        <f>G285/((Afleiding_Tapwater_schema!D$4*1000)*(E$4-H285))</f>
        <v>4.3659725823338134E-4</v>
      </c>
      <c r="J285" s="27">
        <f t="shared" si="33"/>
        <v>26.195835494002882</v>
      </c>
      <c r="K285">
        <f t="shared" si="34"/>
        <v>62.50387812156297</v>
      </c>
    </row>
    <row r="286" spans="1:11" x14ac:dyDescent="0.25">
      <c r="A286">
        <f t="shared" si="35"/>
        <v>1400</v>
      </c>
      <c r="B286">
        <f t="shared" si="29"/>
        <v>84000</v>
      </c>
      <c r="C286">
        <f t="shared" si="30"/>
        <v>23.333333333333332</v>
      </c>
      <c r="D286">
        <f>IF(OR(A286&lt;420,A286&gt;1440),0,Afleiding_Tapwater_schema!G$96)</f>
        <v>15553.041960784316</v>
      </c>
      <c r="E286" s="13">
        <f>_xlfn.NORM.DIST(A286,-30,Afleiding_Tapwater_schema!G$94,FALSE)*Afleiding_Tapwater_schema!G$95/K$4 + _xlfn.NORM.DIST(A286,Afleiding_Tapwater_schema!G$66*60,Afleiding_Tapwater_schema!G$94,FALSE)*Afleiding_Tapwater_schema!G$95/K$4 + _xlfn.NORM.DIST(A286,1415,Afleiding_Tapwater_schema!G$94,FALSE)*Afleiding_Tapwater_schema!G$95/K$4</f>
        <v>55942.219462988338</v>
      </c>
      <c r="F286">
        <v>2000</v>
      </c>
      <c r="G286" s="13">
        <f t="shared" si="31"/>
        <v>73495.261423772652</v>
      </c>
      <c r="H286" s="13">
        <f t="shared" si="32"/>
        <v>35.680315969103106</v>
      </c>
      <c r="I286" s="27">
        <f>G286/((Afleiding_Tapwater_schema!D$4*1000)*(E$4-H286))</f>
        <v>5.1158385976105101E-4</v>
      </c>
      <c r="J286" s="27">
        <f t="shared" si="33"/>
        <v>30.695031585663063</v>
      </c>
      <c r="K286">
        <f t="shared" si="34"/>
        <v>73.495261423772646</v>
      </c>
    </row>
    <row r="287" spans="1:11" x14ac:dyDescent="0.25">
      <c r="A287">
        <f t="shared" si="35"/>
        <v>1405</v>
      </c>
      <c r="B287">
        <f t="shared" si="29"/>
        <v>84300</v>
      </c>
      <c r="C287">
        <f t="shared" si="30"/>
        <v>23.416666666666668</v>
      </c>
      <c r="D287">
        <f>IF(OR(A287&lt;420,A287&gt;1440),0,Afleiding_Tapwater_schema!G$96)</f>
        <v>15553.041960784316</v>
      </c>
      <c r="E287" s="13">
        <f>_xlfn.NORM.DIST(A287,-30,Afleiding_Tapwater_schema!G$94,FALSE)*Afleiding_Tapwater_schema!G$95/K$4 + _xlfn.NORM.DIST(A287,Afleiding_Tapwater_schema!G$66*60,Afleiding_Tapwater_schema!G$94,FALSE)*Afleiding_Tapwater_schema!G$95/K$4 + _xlfn.NORM.DIST(A287,1415,Afleiding_Tapwater_schema!G$94,FALSE)*Afleiding_Tapwater_schema!G$95/K$4</f>
        <v>65403.080693842348</v>
      </c>
      <c r="F287">
        <v>2000</v>
      </c>
      <c r="G287" s="13">
        <f t="shared" si="31"/>
        <v>82956.12265462667</v>
      </c>
      <c r="H287" s="13">
        <f t="shared" si="32"/>
        <v>35.602728266461611</v>
      </c>
      <c r="I287" s="27">
        <f>G287/((Afleiding_Tapwater_schema!D$4*1000)*(E$4-H287))</f>
        <v>5.7613627951764231E-4</v>
      </c>
      <c r="J287" s="27">
        <f t="shared" si="33"/>
        <v>34.568176771058539</v>
      </c>
      <c r="K287">
        <f t="shared" si="34"/>
        <v>82.956122654626668</v>
      </c>
    </row>
    <row r="288" spans="1:11" x14ac:dyDescent="0.25">
      <c r="A288">
        <f t="shared" si="35"/>
        <v>1410</v>
      </c>
      <c r="B288">
        <f t="shared" si="29"/>
        <v>84600</v>
      </c>
      <c r="C288">
        <f t="shared" si="30"/>
        <v>23.5</v>
      </c>
      <c r="D288">
        <f>IF(OR(A288&lt;420,A288&gt;1440),0,Afleiding_Tapwater_schema!G$96)</f>
        <v>15553.041960784316</v>
      </c>
      <c r="E288" s="13">
        <f>_xlfn.NORM.DIST(A288,-30,Afleiding_Tapwater_schema!G$94,FALSE)*Afleiding_Tapwater_schema!G$95/K$4 + _xlfn.NORM.DIST(A288,Afleiding_Tapwater_schema!G$66*60,Afleiding_Tapwater_schema!G$94,FALSE)*Afleiding_Tapwater_schema!G$95/K$4 + _xlfn.NORM.DIST(A288,1415,Afleiding_Tapwater_schema!G$94,FALSE)*Afleiding_Tapwater_schema!G$95/K$4</f>
        <v>71831.231656400691</v>
      </c>
      <c r="F288">
        <v>2000</v>
      </c>
      <c r="G288" s="13">
        <f t="shared" si="31"/>
        <v>89384.273617185012</v>
      </c>
      <c r="H288" s="13">
        <f t="shared" si="32"/>
        <v>35.559382517490043</v>
      </c>
      <c r="I288" s="27">
        <f>G288/((Afleiding_Tapwater_schema!D$4*1000)*(E$4-H288))</f>
        <v>6.1999896130152663E-4</v>
      </c>
      <c r="J288" s="27">
        <f t="shared" si="33"/>
        <v>37.199937678091601</v>
      </c>
      <c r="K288">
        <f t="shared" si="34"/>
        <v>89.384273617185016</v>
      </c>
    </row>
    <row r="289" spans="1:11" x14ac:dyDescent="0.25">
      <c r="A289">
        <f t="shared" si="35"/>
        <v>1415</v>
      </c>
      <c r="B289">
        <f t="shared" si="29"/>
        <v>84900</v>
      </c>
      <c r="C289">
        <f t="shared" si="30"/>
        <v>23.583333333333332</v>
      </c>
      <c r="D289">
        <f>IF(OR(A289&lt;420,A289&gt;1440),0,Afleiding_Tapwater_schema!G$96)</f>
        <v>15553.041960784316</v>
      </c>
      <c r="E289" s="13">
        <f>_xlfn.NORM.DIST(A289,-30,Afleiding_Tapwater_schema!G$94,FALSE)*Afleiding_Tapwater_schema!G$95/K$4 + _xlfn.NORM.DIST(A289,Afleiding_Tapwater_schema!G$66*60,Afleiding_Tapwater_schema!G$94,FALSE)*Afleiding_Tapwater_schema!G$95/K$4 + _xlfn.NORM.DIST(A289,1415,Afleiding_Tapwater_schema!G$94,FALSE)*Afleiding_Tapwater_schema!G$95/K$4</f>
        <v>74111.399714032275</v>
      </c>
      <c r="F289">
        <v>2000</v>
      </c>
      <c r="G289" s="13">
        <f t="shared" si="31"/>
        <v>91664.441674816597</v>
      </c>
      <c r="H289" s="13">
        <f t="shared" si="32"/>
        <v>35.545467785396838</v>
      </c>
      <c r="I289" s="27">
        <f>G289/((Afleiding_Tapwater_schema!D$4*1000)*(E$4-H289))</f>
        <v>6.3555818420285906E-4</v>
      </c>
      <c r="J289" s="27">
        <f t="shared" si="33"/>
        <v>38.133491052171543</v>
      </c>
      <c r="K289">
        <f t="shared" si="34"/>
        <v>91.664441674816601</v>
      </c>
    </row>
    <row r="290" spans="1:11" x14ac:dyDescent="0.25">
      <c r="A290">
        <f t="shared" si="35"/>
        <v>1420</v>
      </c>
      <c r="B290">
        <f t="shared" si="29"/>
        <v>85200</v>
      </c>
      <c r="C290">
        <f t="shared" si="30"/>
        <v>23.666666666666668</v>
      </c>
      <c r="D290">
        <f>IF(OR(A290&lt;420,A290&gt;1440),0,Afleiding_Tapwater_schema!G$96)</f>
        <v>15553.041960784316</v>
      </c>
      <c r="E290" s="13">
        <f>_xlfn.NORM.DIST(A290,-30,Afleiding_Tapwater_schema!G$94,FALSE)*Afleiding_Tapwater_schema!G$95/K$4 + _xlfn.NORM.DIST(A290,Afleiding_Tapwater_schema!G$66*60,Afleiding_Tapwater_schema!G$94,FALSE)*Afleiding_Tapwater_schema!G$95/K$4 + _xlfn.NORM.DIST(A290,1415,Afleiding_Tapwater_schema!G$94,FALSE)*Afleiding_Tapwater_schema!G$95/K$4</f>
        <v>71831.231656400691</v>
      </c>
      <c r="F290">
        <v>2000</v>
      </c>
      <c r="G290" s="13">
        <f t="shared" si="31"/>
        <v>89384.273617185012</v>
      </c>
      <c r="H290" s="13">
        <f t="shared" si="32"/>
        <v>35.559382517490043</v>
      </c>
      <c r="I290" s="27">
        <f>G290/((Afleiding_Tapwater_schema!D$4*1000)*(E$4-H290))</f>
        <v>6.1999896130152663E-4</v>
      </c>
      <c r="J290" s="27">
        <f t="shared" si="33"/>
        <v>37.199937678091601</v>
      </c>
      <c r="K290">
        <f t="shared" si="34"/>
        <v>89.384273617185016</v>
      </c>
    </row>
    <row r="291" spans="1:11" x14ac:dyDescent="0.25">
      <c r="A291">
        <f t="shared" si="35"/>
        <v>1425</v>
      </c>
      <c r="B291">
        <f t="shared" si="29"/>
        <v>85500</v>
      </c>
      <c r="C291">
        <f t="shared" si="30"/>
        <v>23.75</v>
      </c>
      <c r="D291">
        <f>IF(OR(A291&lt;420,A291&gt;1440),0,Afleiding_Tapwater_schema!G$96)</f>
        <v>15553.041960784316</v>
      </c>
      <c r="E291" s="13">
        <f>_xlfn.NORM.DIST(A291,-30,Afleiding_Tapwater_schema!G$94,FALSE)*Afleiding_Tapwater_schema!G$95/K$4 + _xlfn.NORM.DIST(A291,Afleiding_Tapwater_schema!G$66*60,Afleiding_Tapwater_schema!G$94,FALSE)*Afleiding_Tapwater_schema!G$95/K$4 + _xlfn.NORM.DIST(A291,1415,Afleiding_Tapwater_schema!G$94,FALSE)*Afleiding_Tapwater_schema!G$95/K$4</f>
        <v>65403.080693842348</v>
      </c>
      <c r="F291">
        <v>2000</v>
      </c>
      <c r="G291" s="13">
        <f t="shared" si="31"/>
        <v>82956.12265462667</v>
      </c>
      <c r="H291" s="13">
        <f t="shared" si="32"/>
        <v>35.602728266461611</v>
      </c>
      <c r="I291" s="27">
        <f>G291/((Afleiding_Tapwater_schema!D$4*1000)*(E$4-H291))</f>
        <v>5.7613627951764231E-4</v>
      </c>
      <c r="J291" s="27">
        <f t="shared" si="33"/>
        <v>34.568176771058539</v>
      </c>
      <c r="K291">
        <f t="shared" si="34"/>
        <v>82.956122654626668</v>
      </c>
    </row>
    <row r="292" spans="1:11" x14ac:dyDescent="0.25">
      <c r="A292">
        <f t="shared" si="35"/>
        <v>1430</v>
      </c>
      <c r="B292">
        <f t="shared" si="29"/>
        <v>85800</v>
      </c>
      <c r="C292">
        <f t="shared" si="30"/>
        <v>23.833333333333332</v>
      </c>
      <c r="D292">
        <f>IF(OR(A292&lt;420,A292&gt;1440),0,Afleiding_Tapwater_schema!G$96)</f>
        <v>15553.041960784316</v>
      </c>
      <c r="E292" s="13">
        <f>_xlfn.NORM.DIST(A292,-30,Afleiding_Tapwater_schema!G$94,FALSE)*Afleiding_Tapwater_schema!G$95/K$4 + _xlfn.NORM.DIST(A292,Afleiding_Tapwater_schema!G$66*60,Afleiding_Tapwater_schema!G$94,FALSE)*Afleiding_Tapwater_schema!G$95/K$4 + _xlfn.NORM.DIST(A292,1415,Afleiding_Tapwater_schema!G$94,FALSE)*Afleiding_Tapwater_schema!G$95/K$4</f>
        <v>55942.219462988338</v>
      </c>
      <c r="F292">
        <v>2000</v>
      </c>
      <c r="G292" s="13">
        <f t="shared" si="31"/>
        <v>73495.261423772652</v>
      </c>
      <c r="H292" s="13">
        <f t="shared" si="32"/>
        <v>35.680315969103106</v>
      </c>
      <c r="I292" s="27">
        <f>G292/((Afleiding_Tapwater_schema!D$4*1000)*(E$4-H292))</f>
        <v>5.1158385976105101E-4</v>
      </c>
      <c r="J292" s="27">
        <f t="shared" si="33"/>
        <v>30.695031585663063</v>
      </c>
      <c r="K292">
        <f t="shared" si="34"/>
        <v>73.495261423772646</v>
      </c>
    </row>
    <row r="293" spans="1:11" x14ac:dyDescent="0.25">
      <c r="A293">
        <f t="shared" si="35"/>
        <v>1435</v>
      </c>
      <c r="B293">
        <f t="shared" si="29"/>
        <v>86100</v>
      </c>
      <c r="C293">
        <f t="shared" si="30"/>
        <v>23.916666666666668</v>
      </c>
      <c r="D293">
        <f>IF(OR(A293&lt;420,A293&gt;1440),0,Afleiding_Tapwater_schema!G$96)</f>
        <v>15553.041960784316</v>
      </c>
      <c r="E293" s="13">
        <f>_xlfn.NORM.DIST(A293,-30,Afleiding_Tapwater_schema!G$94,FALSE)*Afleiding_Tapwater_schema!G$95/K$4 + _xlfn.NORM.DIST(A293,Afleiding_Tapwater_schema!G$66*60,Afleiding_Tapwater_schema!G$94,FALSE)*Afleiding_Tapwater_schema!G$95/K$4 + _xlfn.NORM.DIST(A293,1415,Afleiding_Tapwater_schema!G$94,FALSE)*Afleiding_Tapwater_schema!G$95/K$4</f>
        <v>44950.836160778657</v>
      </c>
      <c r="F293">
        <v>2000</v>
      </c>
      <c r="G293" s="13">
        <f t="shared" si="31"/>
        <v>62503.878121562972</v>
      </c>
      <c r="H293" s="13">
        <f t="shared" si="32"/>
        <v>35.799950363123955</v>
      </c>
      <c r="I293" s="27">
        <f>G293/((Afleiding_Tapwater_schema!D$4*1000)*(E$4-H293))</f>
        <v>4.3659725823338134E-4</v>
      </c>
      <c r="J293" s="27">
        <f t="shared" si="33"/>
        <v>26.195835494002882</v>
      </c>
      <c r="K293">
        <f t="shared" si="34"/>
        <v>62.50387812156297</v>
      </c>
    </row>
    <row r="294" spans="1:11" x14ac:dyDescent="0.25">
      <c r="A294">
        <f t="shared" si="35"/>
        <v>1440</v>
      </c>
      <c r="B294">
        <f t="shared" si="29"/>
        <v>86400</v>
      </c>
      <c r="C294">
        <f t="shared" si="30"/>
        <v>24</v>
      </c>
      <c r="D294">
        <f>IF(OR(A294&lt;420,A294&gt;1440),0,Afleiding_Tapwater_schema!G$96)</f>
        <v>15553.041960784316</v>
      </c>
      <c r="E294" s="13">
        <f>_xlfn.NORM.DIST(A294,-30,Afleiding_Tapwater_schema!G$94,FALSE)*Afleiding_Tapwater_schema!G$95/K$4 + _xlfn.NORM.DIST(A294,Afleiding_Tapwater_schema!G$66*60,Afleiding_Tapwater_schema!G$94,FALSE)*Afleiding_Tapwater_schema!G$95/K$4 + _xlfn.NORM.DIST(A294,1415,Afleiding_Tapwater_schema!G$94,FALSE)*Afleiding_Tapwater_schema!G$95/K$4</f>
        <v>33930.671276675246</v>
      </c>
      <c r="F294">
        <v>2000</v>
      </c>
      <c r="G294" s="13">
        <f t="shared" si="31"/>
        <v>51483.71323745956</v>
      </c>
      <c r="H294" s="13">
        <f t="shared" si="32"/>
        <v>35.971180920253047</v>
      </c>
      <c r="I294" s="27">
        <f>G294/((Afleiding_Tapwater_schema!D$4*1000)*(E$4-H294))</f>
        <v>3.6142963639634244E-4</v>
      </c>
      <c r="J294" s="27">
        <f t="shared" si="33"/>
        <v>21.685778183780549</v>
      </c>
      <c r="K294">
        <f t="shared" si="34"/>
        <v>51.483713237459561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883B-9D00-476B-AFFF-66AF35BCF5DB}">
  <dimension ref="C1:J128"/>
  <sheetViews>
    <sheetView topLeftCell="A97" workbookViewId="0">
      <selection activeCell="F116" sqref="F116"/>
    </sheetView>
  </sheetViews>
  <sheetFormatPr defaultRowHeight="15" x14ac:dyDescent="0.25"/>
  <cols>
    <col min="3" max="3" width="40.7109375" bestFit="1" customWidth="1"/>
    <col min="5" max="5" width="5.28515625" bestFit="1" customWidth="1"/>
    <col min="6" max="6" width="12" bestFit="1" customWidth="1"/>
  </cols>
  <sheetData>
    <row r="1" spans="3:3" x14ac:dyDescent="0.25">
      <c r="C1" t="s">
        <v>166</v>
      </c>
    </row>
    <row r="2" spans="3:3" x14ac:dyDescent="0.25">
      <c r="C2" t="s">
        <v>167</v>
      </c>
    </row>
    <row r="3" spans="3:3" x14ac:dyDescent="0.25">
      <c r="C3" t="s">
        <v>168</v>
      </c>
    </row>
    <row r="5" spans="3:3" x14ac:dyDescent="0.25">
      <c r="C5" t="s">
        <v>188</v>
      </c>
    </row>
    <row r="7" spans="3:3" x14ac:dyDescent="0.25">
      <c r="C7" t="s">
        <v>189</v>
      </c>
    </row>
    <row r="9" spans="3:3" x14ac:dyDescent="0.25">
      <c r="C9" t="s">
        <v>190</v>
      </c>
    </row>
    <row r="10" spans="3:3" x14ac:dyDescent="0.25">
      <c r="C10" t="s">
        <v>191</v>
      </c>
    </row>
    <row r="36" spans="3:10" x14ac:dyDescent="0.25">
      <c r="C36" t="s">
        <v>56</v>
      </c>
      <c r="F36">
        <v>48</v>
      </c>
      <c r="G36" t="s">
        <v>57</v>
      </c>
    </row>
    <row r="37" spans="3:10" x14ac:dyDescent="0.25">
      <c r="C37" t="s">
        <v>58</v>
      </c>
      <c r="F37">
        <v>6</v>
      </c>
    </row>
    <row r="38" spans="3:10" x14ac:dyDescent="0.25">
      <c r="C38" t="s">
        <v>59</v>
      </c>
      <c r="F38">
        <v>8</v>
      </c>
    </row>
    <row r="39" spans="3:10" x14ac:dyDescent="0.25">
      <c r="C39" t="s">
        <v>60</v>
      </c>
      <c r="F39" t="s">
        <v>61</v>
      </c>
    </row>
    <row r="40" spans="3:10" x14ac:dyDescent="0.25">
      <c r="C40" t="s">
        <v>62</v>
      </c>
      <c r="F40" s="1">
        <v>0.18</v>
      </c>
      <c r="G40" s="1" t="s">
        <v>63</v>
      </c>
    </row>
    <row r="41" spans="3:10" x14ac:dyDescent="0.25">
      <c r="C41" t="s">
        <v>64</v>
      </c>
      <c r="F41" s="1">
        <v>0.21</v>
      </c>
      <c r="G41" s="1" t="s">
        <v>63</v>
      </c>
      <c r="J41">
        <f>82*12.3</f>
        <v>1008.6</v>
      </c>
    </row>
    <row r="42" spans="3:10" x14ac:dyDescent="0.25">
      <c r="C42" t="s">
        <v>65</v>
      </c>
      <c r="F42" s="1">
        <f>2.8-F40</f>
        <v>2.6199999999999997</v>
      </c>
      <c r="G42" s="1" t="s">
        <v>63</v>
      </c>
    </row>
    <row r="43" spans="3:10" ht="15.75" thickBot="1" x14ac:dyDescent="0.3">
      <c r="C43" t="s">
        <v>66</v>
      </c>
      <c r="F43">
        <v>3</v>
      </c>
    </row>
    <row r="44" spans="3:10" x14ac:dyDescent="0.25">
      <c r="C44" s="2" t="s">
        <v>67</v>
      </c>
      <c r="D44" s="3"/>
      <c r="E44" s="3"/>
      <c r="F44" s="3">
        <v>82</v>
      </c>
      <c r="G44" s="4" t="s">
        <v>68</v>
      </c>
      <c r="H44" s="3"/>
      <c r="I44" s="3" t="s">
        <v>69</v>
      </c>
      <c r="J44" s="5"/>
    </row>
    <row r="45" spans="3:10" x14ac:dyDescent="0.25">
      <c r="C45" s="6" t="s">
        <v>70</v>
      </c>
      <c r="D45" s="28"/>
      <c r="E45" s="28"/>
      <c r="F45" s="28"/>
      <c r="G45" s="28"/>
      <c r="H45" s="28"/>
      <c r="I45" s="28"/>
      <c r="J45" s="7"/>
    </row>
    <row r="46" spans="3:10" x14ac:dyDescent="0.25">
      <c r="C46" s="6" t="s">
        <v>71</v>
      </c>
      <c r="D46" s="28"/>
      <c r="E46" s="28"/>
      <c r="F46" s="28">
        <v>23.7</v>
      </c>
      <c r="G46" s="29" t="s">
        <v>68</v>
      </c>
      <c r="H46" s="28" t="s">
        <v>72</v>
      </c>
      <c r="I46" s="28"/>
      <c r="J46" s="7" t="s">
        <v>73</v>
      </c>
    </row>
    <row r="47" spans="3:10" x14ac:dyDescent="0.25">
      <c r="C47" s="6" t="s">
        <v>74</v>
      </c>
      <c r="D47" s="28"/>
      <c r="E47" s="28"/>
      <c r="F47" s="28">
        <v>1.2</v>
      </c>
      <c r="G47" s="28"/>
      <c r="H47" s="28" t="s">
        <v>72</v>
      </c>
      <c r="I47" s="28"/>
      <c r="J47" s="7" t="s">
        <v>75</v>
      </c>
    </row>
    <row r="48" spans="3:10" x14ac:dyDescent="0.25">
      <c r="C48" s="6" t="s">
        <v>76</v>
      </c>
      <c r="D48" s="28"/>
      <c r="E48" s="28"/>
      <c r="F48" s="28">
        <v>12.4</v>
      </c>
      <c r="G48" s="28"/>
      <c r="H48" s="28"/>
      <c r="I48" s="28"/>
      <c r="J48" s="7"/>
    </row>
    <row r="49" spans="3:10" x14ac:dyDescent="0.25">
      <c r="C49" s="6"/>
      <c r="D49" s="28"/>
      <c r="E49" s="28"/>
      <c r="F49" s="28"/>
      <c r="G49" s="28"/>
      <c r="H49" s="28"/>
      <c r="I49" s="28"/>
      <c r="J49" s="7"/>
    </row>
    <row r="50" spans="3:10" x14ac:dyDescent="0.25">
      <c r="C50" s="6" t="s">
        <v>77</v>
      </c>
      <c r="D50" s="28"/>
      <c r="E50" s="28"/>
      <c r="F50" s="28">
        <f>F46+F47+F48</f>
        <v>37.299999999999997</v>
      </c>
      <c r="G50" s="28"/>
      <c r="H50" s="28"/>
      <c r="I50" s="28"/>
      <c r="J50" s="7"/>
    </row>
    <row r="51" spans="3:10" x14ac:dyDescent="0.25">
      <c r="C51" s="6" t="s">
        <v>78</v>
      </c>
      <c r="D51" s="28"/>
      <c r="E51" s="28"/>
      <c r="F51" s="28">
        <f>2.62</f>
        <v>2.62</v>
      </c>
      <c r="G51" s="28" t="s">
        <v>63</v>
      </c>
      <c r="H51" s="28"/>
      <c r="I51" s="28"/>
      <c r="J51" s="7"/>
    </row>
    <row r="52" spans="3:10" x14ac:dyDescent="0.25">
      <c r="C52" s="6" t="s">
        <v>79</v>
      </c>
      <c r="D52" s="28"/>
      <c r="E52" s="28"/>
      <c r="F52" s="28">
        <f>F50/2.6/2</f>
        <v>7.1730769230769225</v>
      </c>
      <c r="G52" s="28" t="s">
        <v>63</v>
      </c>
      <c r="H52" s="28"/>
      <c r="I52" s="28"/>
      <c r="J52" s="7"/>
    </row>
    <row r="53" spans="3:10" x14ac:dyDescent="0.25">
      <c r="C53" s="6" t="s">
        <v>80</v>
      </c>
      <c r="D53" s="28"/>
      <c r="E53" s="28"/>
      <c r="F53" s="28">
        <f>2/3*(F47+F48)</f>
        <v>9.0666666666666664</v>
      </c>
      <c r="G53" s="28" t="s">
        <v>68</v>
      </c>
      <c r="H53" s="28"/>
      <c r="I53" s="28"/>
      <c r="J53" s="7"/>
    </row>
    <row r="54" spans="3:10" x14ac:dyDescent="0.25">
      <c r="C54" s="6" t="s">
        <v>192</v>
      </c>
      <c r="D54" s="28"/>
      <c r="E54" s="28"/>
      <c r="F54" s="28">
        <f>F47+F48-F53</f>
        <v>4.5333333333333332</v>
      </c>
      <c r="G54" s="28"/>
      <c r="H54" s="28"/>
      <c r="I54" s="28"/>
      <c r="J54" s="7"/>
    </row>
    <row r="55" spans="3:10" x14ac:dyDescent="0.25">
      <c r="C55" s="6" t="s">
        <v>81</v>
      </c>
      <c r="D55" s="28"/>
      <c r="E55" s="28" t="s">
        <v>82</v>
      </c>
      <c r="F55" s="28">
        <f>0.7</f>
        <v>0.7</v>
      </c>
      <c r="G55" s="28" t="s">
        <v>68</v>
      </c>
      <c r="H55" s="28"/>
      <c r="I55" s="28"/>
      <c r="J55" s="7"/>
    </row>
    <row r="56" spans="3:10" x14ac:dyDescent="0.25">
      <c r="C56" s="6" t="s">
        <v>83</v>
      </c>
      <c r="D56" s="28"/>
      <c r="E56" s="28" t="s">
        <v>84</v>
      </c>
      <c r="F56" s="28">
        <f>0.7</f>
        <v>0.7</v>
      </c>
      <c r="G56" s="28" t="s">
        <v>68</v>
      </c>
      <c r="H56" s="28"/>
      <c r="I56" s="28"/>
      <c r="J56" s="7"/>
    </row>
    <row r="57" spans="3:10" x14ac:dyDescent="0.25">
      <c r="C57" s="6"/>
      <c r="D57" s="28"/>
      <c r="E57" s="28"/>
      <c r="F57" s="28"/>
      <c r="G57" s="28"/>
      <c r="H57" s="28"/>
      <c r="I57" s="28"/>
      <c r="J57" s="7"/>
    </row>
    <row r="58" spans="3:10" x14ac:dyDescent="0.25">
      <c r="C58" s="6"/>
      <c r="D58" s="28"/>
      <c r="E58" s="28"/>
      <c r="F58" s="28"/>
      <c r="G58" s="28"/>
      <c r="H58" s="28"/>
      <c r="I58" s="28"/>
      <c r="J58" s="7"/>
    </row>
    <row r="59" spans="3:10" x14ac:dyDescent="0.25">
      <c r="C59" s="6" t="s">
        <v>109</v>
      </c>
      <c r="D59" s="28"/>
      <c r="E59" s="28"/>
      <c r="F59" s="28">
        <f>F52</f>
        <v>7.1730769230769225</v>
      </c>
      <c r="G59" s="28" t="s">
        <v>63</v>
      </c>
      <c r="H59" s="28"/>
      <c r="I59" s="28"/>
      <c r="J59" s="7"/>
    </row>
    <row r="60" spans="3:10" ht="15.75" thickBot="1" x14ac:dyDescent="0.3">
      <c r="C60" s="8" t="s">
        <v>110</v>
      </c>
      <c r="D60" s="9"/>
      <c r="E60" s="9"/>
      <c r="F60" s="9">
        <f>F44/F59</f>
        <v>11.431635388739947</v>
      </c>
      <c r="G60" s="9" t="s">
        <v>63</v>
      </c>
      <c r="H60" s="9"/>
      <c r="I60" s="9"/>
      <c r="J60" s="10"/>
    </row>
    <row r="61" spans="3:10" x14ac:dyDescent="0.25">
      <c r="C61" s="31" t="s">
        <v>223</v>
      </c>
      <c r="D61" s="28"/>
      <c r="E61" s="28"/>
      <c r="F61" s="28"/>
      <c r="G61" s="28"/>
      <c r="H61" s="28"/>
      <c r="I61" s="28"/>
      <c r="J61" s="28"/>
    </row>
    <row r="62" spans="3:10" x14ac:dyDescent="0.25">
      <c r="C62" t="s">
        <v>111</v>
      </c>
      <c r="F62">
        <f>F38+1</f>
        <v>9</v>
      </c>
    </row>
    <row r="63" spans="3:10" x14ac:dyDescent="0.25">
      <c r="C63" t="s">
        <v>112</v>
      </c>
      <c r="F63">
        <f>F37+1</f>
        <v>7</v>
      </c>
    </row>
    <row r="64" spans="3:10" x14ac:dyDescent="0.25">
      <c r="C64" t="s">
        <v>113</v>
      </c>
      <c r="F64">
        <f>F60*(F59*F38+F62*F41)*F40</f>
        <v>121.96904235924931</v>
      </c>
      <c r="G64" t="s">
        <v>88</v>
      </c>
    </row>
    <row r="65" spans="3:7" x14ac:dyDescent="0.25">
      <c r="C65" t="s">
        <v>114</v>
      </c>
      <c r="F65">
        <f>F63*F64</f>
        <v>853.78329651474519</v>
      </c>
      <c r="G65" t="s">
        <v>88</v>
      </c>
    </row>
    <row r="66" spans="3:7" x14ac:dyDescent="0.25">
      <c r="C66" t="s">
        <v>115</v>
      </c>
      <c r="F66">
        <f>F60*F42*F41</f>
        <v>6.2896857908847172</v>
      </c>
      <c r="G66" t="s">
        <v>88</v>
      </c>
    </row>
    <row r="67" spans="3:7" x14ac:dyDescent="0.25">
      <c r="C67" t="s">
        <v>116</v>
      </c>
      <c r="F67">
        <f>F66*F62*F37</f>
        <v>339.64303270777475</v>
      </c>
      <c r="G67" t="s">
        <v>88</v>
      </c>
    </row>
    <row r="68" spans="3:7" x14ac:dyDescent="0.25">
      <c r="C68" t="s">
        <v>117</v>
      </c>
      <c r="F68">
        <f>F65+F67</f>
        <v>1193.4263292225201</v>
      </c>
      <c r="G68" t="s">
        <v>88</v>
      </c>
    </row>
    <row r="69" spans="3:7" x14ac:dyDescent="0.25">
      <c r="C69" t="s">
        <v>118</v>
      </c>
      <c r="F69">
        <f xml:space="preserve"> 880</f>
        <v>880</v>
      </c>
      <c r="G69" t="s">
        <v>7</v>
      </c>
    </row>
    <row r="70" spans="3:7" x14ac:dyDescent="0.25">
      <c r="C70" t="s">
        <v>119</v>
      </c>
      <c r="F70">
        <v>2500</v>
      </c>
      <c r="G70" t="s">
        <v>101</v>
      </c>
    </row>
    <row r="71" spans="3:7" x14ac:dyDescent="0.25">
      <c r="C71" t="s">
        <v>222</v>
      </c>
      <c r="F71" s="30">
        <f>F70*F69*F68</f>
        <v>2625537924.2895441</v>
      </c>
      <c r="G71" t="s">
        <v>120</v>
      </c>
    </row>
    <row r="72" spans="3:7" x14ac:dyDescent="0.25">
      <c r="F72" s="30"/>
    </row>
    <row r="73" spans="3:7" x14ac:dyDescent="0.25">
      <c r="F73" s="20"/>
    </row>
    <row r="74" spans="3:7" x14ac:dyDescent="0.25">
      <c r="C74" t="s">
        <v>121</v>
      </c>
      <c r="F74">
        <v>30</v>
      </c>
      <c r="G74" t="s">
        <v>63</v>
      </c>
    </row>
    <row r="75" spans="3:7" x14ac:dyDescent="0.25">
      <c r="C75" t="s">
        <v>122</v>
      </c>
      <c r="F75">
        <v>0.1</v>
      </c>
      <c r="G75" t="s">
        <v>63</v>
      </c>
    </row>
    <row r="76" spans="3:7" x14ac:dyDescent="0.25">
      <c r="C76" t="s">
        <v>123</v>
      </c>
      <c r="F76">
        <f>F74*F75*F51</f>
        <v>7.86</v>
      </c>
    </row>
    <row r="77" spans="3:7" x14ac:dyDescent="0.25">
      <c r="C77" t="s">
        <v>124</v>
      </c>
      <c r="F77">
        <f>F76*F36</f>
        <v>377.28000000000003</v>
      </c>
      <c r="G77" t="s">
        <v>88</v>
      </c>
    </row>
    <row r="78" spans="3:7" x14ac:dyDescent="0.25">
      <c r="C78" t="s">
        <v>125</v>
      </c>
      <c r="F78">
        <v>500</v>
      </c>
      <c r="G78" t="s">
        <v>101</v>
      </c>
    </row>
    <row r="79" spans="3:7" x14ac:dyDescent="0.25">
      <c r="C79" t="s">
        <v>126</v>
      </c>
      <c r="F79">
        <v>840</v>
      </c>
      <c r="G79" t="s">
        <v>7</v>
      </c>
    </row>
    <row r="80" spans="3:7" x14ac:dyDescent="0.25">
      <c r="C80" t="s">
        <v>127</v>
      </c>
      <c r="F80" s="20">
        <f>F79*F77*F78</f>
        <v>158457600</v>
      </c>
      <c r="G80" t="s">
        <v>120</v>
      </c>
    </row>
    <row r="81" spans="3:9" x14ac:dyDescent="0.25">
      <c r="C81" t="s">
        <v>193</v>
      </c>
      <c r="F81">
        <f>F59*F60*F42*48</f>
        <v>10312.32</v>
      </c>
      <c r="G81" t="s">
        <v>88</v>
      </c>
    </row>
    <row r="82" spans="3:9" x14ac:dyDescent="0.25">
      <c r="C82" t="s">
        <v>194</v>
      </c>
      <c r="F82" s="20">
        <f>F81*1.2*1000</f>
        <v>12374784</v>
      </c>
      <c r="G82" t="s">
        <v>120</v>
      </c>
    </row>
    <row r="83" spans="3:9" x14ac:dyDescent="0.25">
      <c r="C83" t="s">
        <v>195</v>
      </c>
      <c r="F83">
        <v>30000</v>
      </c>
      <c r="G83" t="s">
        <v>197</v>
      </c>
      <c r="H83" t="s">
        <v>196</v>
      </c>
    </row>
    <row r="84" spans="3:9" x14ac:dyDescent="0.25">
      <c r="C84" t="s">
        <v>198</v>
      </c>
      <c r="F84" s="20">
        <f>F83*F44*48</f>
        <v>118080000</v>
      </c>
      <c r="G84" t="s">
        <v>120</v>
      </c>
    </row>
    <row r="85" spans="3:9" x14ac:dyDescent="0.25">
      <c r="C85" t="s">
        <v>199</v>
      </c>
      <c r="F85" s="30">
        <f>F84+F80+F82</f>
        <v>288912384</v>
      </c>
      <c r="G85" t="s">
        <v>120</v>
      </c>
    </row>
    <row r="88" spans="3:9" x14ac:dyDescent="0.25">
      <c r="C88" t="s">
        <v>200</v>
      </c>
      <c r="D88" s="12">
        <v>0.2</v>
      </c>
      <c r="E88" t="s">
        <v>201</v>
      </c>
    </row>
    <row r="89" spans="3:9" x14ac:dyDescent="0.25">
      <c r="C89" t="s">
        <v>202</v>
      </c>
      <c r="D89">
        <v>4</v>
      </c>
    </row>
    <row r="90" spans="3:9" x14ac:dyDescent="0.25">
      <c r="C90" t="s">
        <v>203</v>
      </c>
      <c r="D90" t="s">
        <v>204</v>
      </c>
    </row>
    <row r="91" spans="3:9" x14ac:dyDescent="0.25">
      <c r="C91" t="s">
        <v>225</v>
      </c>
      <c r="F91">
        <v>12.5</v>
      </c>
      <c r="G91" t="s">
        <v>224</v>
      </c>
      <c r="I91" t="s">
        <v>233</v>
      </c>
    </row>
    <row r="92" spans="3:9" x14ac:dyDescent="0.25">
      <c r="C92" t="s">
        <v>226</v>
      </c>
      <c r="F92">
        <v>8</v>
      </c>
      <c r="G92" t="s">
        <v>224</v>
      </c>
    </row>
    <row r="93" spans="3:9" x14ac:dyDescent="0.25">
      <c r="C93" t="s">
        <v>227</v>
      </c>
      <c r="F93">
        <v>6</v>
      </c>
      <c r="G93" t="s">
        <v>228</v>
      </c>
    </row>
    <row r="94" spans="3:9" x14ac:dyDescent="0.25">
      <c r="C94" t="s">
        <v>229</v>
      </c>
      <c r="F94">
        <f>F44*F36</f>
        <v>3936</v>
      </c>
      <c r="G94" t="s">
        <v>68</v>
      </c>
    </row>
    <row r="95" spans="3:9" x14ac:dyDescent="0.25">
      <c r="C95" t="s">
        <v>230</v>
      </c>
      <c r="F95">
        <f>F60*F51*2*48</f>
        <v>2875.2849329758719</v>
      </c>
      <c r="G95" t="s">
        <v>68</v>
      </c>
    </row>
    <row r="96" spans="3:9" x14ac:dyDescent="0.25">
      <c r="C96" t="s">
        <v>229</v>
      </c>
      <c r="F96">
        <f>F44*F36</f>
        <v>3936</v>
      </c>
      <c r="G96" t="s">
        <v>68</v>
      </c>
    </row>
    <row r="97" spans="3:8" x14ac:dyDescent="0.25">
      <c r="C97" t="s">
        <v>231</v>
      </c>
      <c r="F97" s="30">
        <f>1/(F91*F94+F92*F95+F93*F96)</f>
        <v>1.0436422002105826E-5</v>
      </c>
      <c r="G97" t="s">
        <v>205</v>
      </c>
    </row>
    <row r="98" spans="3:8" x14ac:dyDescent="0.25">
      <c r="C98" s="6" t="s">
        <v>48</v>
      </c>
      <c r="F98" s="20">
        <f>1/F97</f>
        <v>95818.279463806975</v>
      </c>
    </row>
    <row r="99" spans="3:8" x14ac:dyDescent="0.25">
      <c r="C99" s="28"/>
      <c r="F99" s="20">
        <f>F98/1000</f>
        <v>95.818279463806974</v>
      </c>
      <c r="G99" t="s">
        <v>232</v>
      </c>
    </row>
    <row r="100" spans="3:8" x14ac:dyDescent="0.25">
      <c r="C100" t="s">
        <v>85</v>
      </c>
    </row>
    <row r="101" spans="3:8" x14ac:dyDescent="0.25">
      <c r="C101" t="s">
        <v>86</v>
      </c>
      <c r="F101">
        <f>48*F53</f>
        <v>435.2</v>
      </c>
      <c r="G101" t="s">
        <v>68</v>
      </c>
      <c r="H101" t="s">
        <v>76</v>
      </c>
    </row>
    <row r="102" spans="3:8" x14ac:dyDescent="0.25">
      <c r="C102" t="s">
        <v>206</v>
      </c>
      <c r="F102" s="12">
        <v>0.25</v>
      </c>
    </row>
    <row r="103" spans="3:8" x14ac:dyDescent="0.25">
      <c r="C103" t="s">
        <v>207</v>
      </c>
      <c r="F103">
        <f>F101*(1-F102)</f>
        <v>326.39999999999998</v>
      </c>
      <c r="G103" t="s">
        <v>68</v>
      </c>
    </row>
    <row r="104" spans="3:8" x14ac:dyDescent="0.25">
      <c r="C104" t="s">
        <v>209</v>
      </c>
      <c r="F104">
        <v>0.8</v>
      </c>
    </row>
    <row r="105" spans="3:8" ht="18.75" customHeight="1" x14ac:dyDescent="0.25">
      <c r="C105" t="s">
        <v>87</v>
      </c>
      <c r="F105">
        <f>48*(F54-F47)</f>
        <v>160</v>
      </c>
      <c r="G105" t="s">
        <v>68</v>
      </c>
      <c r="H105" t="s">
        <v>76</v>
      </c>
    </row>
    <row r="106" spans="3:8" x14ac:dyDescent="0.25">
      <c r="C106" t="s">
        <v>208</v>
      </c>
      <c r="F106" s="12">
        <v>0.15</v>
      </c>
    </row>
    <row r="107" spans="3:8" x14ac:dyDescent="0.25">
      <c r="C107" t="s">
        <v>207</v>
      </c>
      <c r="F107">
        <f>F105*(1-F106)</f>
        <v>136</v>
      </c>
      <c r="G107" t="s">
        <v>68</v>
      </c>
    </row>
    <row r="108" spans="3:8" x14ac:dyDescent="0.25">
      <c r="C108" t="s">
        <v>209</v>
      </c>
      <c r="F108">
        <v>0.8</v>
      </c>
    </row>
    <row r="109" spans="3:8" x14ac:dyDescent="0.25">
      <c r="F109">
        <f>48*F47</f>
        <v>57.599999999999994</v>
      </c>
      <c r="G109" t="s">
        <v>88</v>
      </c>
      <c r="H109" t="s">
        <v>89</v>
      </c>
    </row>
    <row r="110" spans="3:8" x14ac:dyDescent="0.25">
      <c r="C110" t="s">
        <v>208</v>
      </c>
      <c r="F110" s="12">
        <v>0.15</v>
      </c>
    </row>
    <row r="111" spans="3:8" x14ac:dyDescent="0.25">
      <c r="C111" t="s">
        <v>207</v>
      </c>
      <c r="F111">
        <f>F109*(1-F110)</f>
        <v>48.959999999999994</v>
      </c>
      <c r="G111" t="s">
        <v>68</v>
      </c>
    </row>
    <row r="112" spans="3:8" x14ac:dyDescent="0.25">
      <c r="C112" t="s">
        <v>90</v>
      </c>
      <c r="F112">
        <f>48*0.7</f>
        <v>33.599999999999994</v>
      </c>
      <c r="G112" t="s">
        <v>91</v>
      </c>
    </row>
    <row r="113" spans="3:10" x14ac:dyDescent="0.25">
      <c r="C113" t="s">
        <v>92</v>
      </c>
      <c r="F113">
        <f>48*0.7</f>
        <v>33.599999999999994</v>
      </c>
      <c r="G113" t="s">
        <v>93</v>
      </c>
    </row>
    <row r="115" spans="3:10" x14ac:dyDescent="0.25">
      <c r="C115" t="s">
        <v>94</v>
      </c>
      <c r="F115">
        <v>11.4</v>
      </c>
      <c r="G115" t="s">
        <v>95</v>
      </c>
      <c r="H115" s="11" t="s">
        <v>96</v>
      </c>
    </row>
    <row r="116" spans="3:10" x14ac:dyDescent="0.25">
      <c r="F116">
        <f>F115*F44</f>
        <v>934.80000000000007</v>
      </c>
      <c r="G116" t="s">
        <v>88</v>
      </c>
    </row>
    <row r="119" spans="3:10" x14ac:dyDescent="0.25">
      <c r="C119" t="s">
        <v>98</v>
      </c>
      <c r="F119" s="12">
        <v>0.8</v>
      </c>
      <c r="J119" s="11" t="s">
        <v>99</v>
      </c>
    </row>
    <row r="120" spans="3:10" x14ac:dyDescent="0.25">
      <c r="C120" t="s">
        <v>100</v>
      </c>
      <c r="F120" s="13">
        <v>1000</v>
      </c>
      <c r="G120" t="s">
        <v>101</v>
      </c>
    </row>
    <row r="121" spans="3:10" x14ac:dyDescent="0.25">
      <c r="C121" t="s">
        <v>210</v>
      </c>
      <c r="F121" s="20">
        <v>7220000000</v>
      </c>
      <c r="G121" t="s">
        <v>41</v>
      </c>
    </row>
    <row r="122" spans="3:10" x14ac:dyDescent="0.25">
      <c r="C122" t="s">
        <v>102</v>
      </c>
      <c r="F122" s="20">
        <v>31650000</v>
      </c>
      <c r="G122" t="s">
        <v>211</v>
      </c>
    </row>
    <row r="123" spans="3:10" x14ac:dyDescent="0.25">
      <c r="C123" t="s">
        <v>103</v>
      </c>
      <c r="F123" s="20">
        <f>F121/(F119*F122)</f>
        <v>285.15007898894157</v>
      </c>
      <c r="G123" t="s">
        <v>88</v>
      </c>
    </row>
    <row r="124" spans="3:10" x14ac:dyDescent="0.25">
      <c r="C124" t="s">
        <v>212</v>
      </c>
      <c r="F124" s="20">
        <v>40</v>
      </c>
      <c r="G124" t="s">
        <v>88</v>
      </c>
    </row>
    <row r="125" spans="3:10" x14ac:dyDescent="0.25">
      <c r="C125" t="s">
        <v>104</v>
      </c>
      <c r="F125" s="20">
        <f>F116-F123-F124</f>
        <v>609.6499210110585</v>
      </c>
      <c r="G125" t="s">
        <v>88</v>
      </c>
      <c r="I125" s="20">
        <f>F125*F122</f>
        <v>19295420000</v>
      </c>
    </row>
    <row r="127" spans="3:10" x14ac:dyDescent="0.25">
      <c r="C127" t="s">
        <v>105</v>
      </c>
      <c r="F127">
        <v>1970</v>
      </c>
      <c r="G127" t="s">
        <v>106</v>
      </c>
    </row>
    <row r="128" spans="3:10" x14ac:dyDescent="0.25">
      <c r="C128" t="s">
        <v>107</v>
      </c>
      <c r="F128">
        <v>2.2000000000000002</v>
      </c>
      <c r="G128" t="s">
        <v>108</v>
      </c>
    </row>
  </sheetData>
  <phoneticPr fontId="3" type="noConversion"/>
  <hyperlinks>
    <hyperlink ref="J119" r:id="rId1" display="https://publications.tno.nl/publication/34629245/45C6Dl/e13075.pdf" xr:uid="{18D58F18-3516-47DB-AA60-E185D0A54C8F}"/>
    <hyperlink ref="H115" r:id="rId2" location="/CBS/nl/dataset/83878ned/table?ts=1632388294280" xr:uid="{8CD35446-2197-4569-A75C-8B82DAA2530D}"/>
  </hyperlinks>
  <pageMargins left="0.7" right="0.7" top="0.75" bottom="0.75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F43D-831D-4C67-BFD8-0F3C338EAC5E}">
  <dimension ref="A3:W34"/>
  <sheetViews>
    <sheetView tabSelected="1" topLeftCell="D2" workbookViewId="0">
      <selection activeCell="M4" sqref="M4"/>
    </sheetView>
  </sheetViews>
  <sheetFormatPr defaultRowHeight="15" x14ac:dyDescent="0.25"/>
  <cols>
    <col min="3" max="3" width="17.140625" customWidth="1"/>
    <col min="9" max="9" width="13.140625" customWidth="1"/>
    <col min="10" max="10" width="15.28515625" bestFit="1" customWidth="1"/>
    <col min="12" max="12" width="16.7109375" bestFit="1" customWidth="1"/>
    <col min="15" max="15" width="25.5703125" bestFit="1" customWidth="1"/>
    <col min="17" max="17" width="13.7109375" customWidth="1"/>
  </cols>
  <sheetData>
    <row r="3" spans="2:23" x14ac:dyDescent="0.25">
      <c r="B3" t="s">
        <v>128</v>
      </c>
      <c r="L3" t="s">
        <v>219</v>
      </c>
      <c r="O3" t="s">
        <v>220</v>
      </c>
      <c r="V3">
        <f>(50-30)/LN(50/30)</f>
        <v>39.152303779424351</v>
      </c>
      <c r="W3">
        <f>49.32^1.33</f>
        <v>178.53389517593286</v>
      </c>
    </row>
    <row r="4" spans="2:23" x14ac:dyDescent="0.25">
      <c r="J4" t="s">
        <v>163</v>
      </c>
      <c r="K4" t="s">
        <v>129</v>
      </c>
      <c r="L4" t="s">
        <v>164</v>
      </c>
      <c r="M4" t="s">
        <v>165</v>
      </c>
      <c r="O4" s="12">
        <v>0.5</v>
      </c>
      <c r="P4" t="s">
        <v>221</v>
      </c>
      <c r="V4">
        <f>V3^1.33</f>
        <v>131.330995972708</v>
      </c>
    </row>
    <row r="5" spans="2:23" x14ac:dyDescent="0.25">
      <c r="B5" t="s">
        <v>130</v>
      </c>
      <c r="C5" t="s">
        <v>131</v>
      </c>
      <c r="D5">
        <v>70</v>
      </c>
      <c r="E5" t="s">
        <v>132</v>
      </c>
      <c r="F5" t="s">
        <v>97</v>
      </c>
      <c r="J5" t="s">
        <v>163</v>
      </c>
      <c r="P5" t="s">
        <v>164</v>
      </c>
      <c r="Q5" t="s">
        <v>165</v>
      </c>
    </row>
    <row r="6" spans="2:23" x14ac:dyDescent="0.25">
      <c r="B6" t="s">
        <v>130</v>
      </c>
      <c r="C6" t="s">
        <v>134</v>
      </c>
      <c r="D6">
        <v>40</v>
      </c>
      <c r="E6" t="s">
        <v>132</v>
      </c>
      <c r="F6" t="s">
        <v>97</v>
      </c>
      <c r="J6">
        <v>20.100000000000001</v>
      </c>
      <c r="K6">
        <f>(D$5-J6)/LN((D$5-D$9)/(J6-D$9))</f>
        <v>8.0294685054507422</v>
      </c>
      <c r="L6">
        <f>K6^D$8/D$10^D$8</f>
        <v>0.18514782118004633</v>
      </c>
      <c r="M6">
        <f t="shared" ref="M6:M14" si="0">L6*(D$5-D$6)/(D$5-J6)</f>
        <v>0.11131131533870521</v>
      </c>
      <c r="O6" s="12">
        <f>1-((D$6-J6)/(D$6-D$9))*(1-O$4)</f>
        <v>0.50250000000000006</v>
      </c>
      <c r="P6">
        <f>O6*K6^D$8/D$10^D$8</f>
        <v>9.3036780142973285E-2</v>
      </c>
      <c r="Q6">
        <f>P6*(D$5-D$6)/(D$5-J6)</f>
        <v>5.5933935957699375E-2</v>
      </c>
    </row>
    <row r="7" spans="2:23" x14ac:dyDescent="0.25">
      <c r="C7" t="s">
        <v>133</v>
      </c>
      <c r="D7">
        <v>1</v>
      </c>
      <c r="J7">
        <v>20.2</v>
      </c>
      <c r="K7">
        <f t="shared" ref="K7:K14" si="1">(D$5-J7)/LN((D$5-D$9)/(J7-D$9))</f>
        <v>9.0193520774355349</v>
      </c>
      <c r="L7">
        <f t="shared" ref="L7:L34" si="2">K7^D$8/D$10^D$8</f>
        <v>0.21286529216881556</v>
      </c>
      <c r="M7">
        <f t="shared" si="0"/>
        <v>0.12823210371615396</v>
      </c>
      <c r="O7" s="12">
        <f t="shared" ref="O7:O34" si="3">1-((D$6-J7)/(D$6-D$9))*(1-O$4)</f>
        <v>0.505</v>
      </c>
      <c r="P7">
        <f t="shared" ref="P7:P34" si="4">O7*K7^D$8/D$10^D$8</f>
        <v>0.10749697254525185</v>
      </c>
      <c r="Q7">
        <f t="shared" ref="Q7:Q34" si="5">P7*(D$5-D$6)/(D$5-J7)</f>
        <v>6.4757212376657741E-2</v>
      </c>
    </row>
    <row r="8" spans="2:23" x14ac:dyDescent="0.25">
      <c r="C8" t="s">
        <v>45</v>
      </c>
      <c r="D8">
        <v>1.2</v>
      </c>
      <c r="J8">
        <v>20.3</v>
      </c>
      <c r="K8">
        <f t="shared" si="1"/>
        <v>9.7146287542383707</v>
      </c>
      <c r="L8">
        <f t="shared" si="2"/>
        <v>0.23270509773346165</v>
      </c>
      <c r="M8">
        <f t="shared" si="0"/>
        <v>0.14046585376265291</v>
      </c>
      <c r="O8" s="12">
        <f t="shared" si="3"/>
        <v>0.50750000000000006</v>
      </c>
      <c r="P8">
        <f t="shared" si="4"/>
        <v>0.1180978370997318</v>
      </c>
      <c r="Q8">
        <f t="shared" si="5"/>
        <v>7.1286420784546348E-2</v>
      </c>
    </row>
    <row r="9" spans="2:23" x14ac:dyDescent="0.25">
      <c r="C9" t="s">
        <v>135</v>
      </c>
      <c r="D9">
        <v>20</v>
      </c>
      <c r="E9" t="s">
        <v>132</v>
      </c>
      <c r="F9" t="s">
        <v>97</v>
      </c>
      <c r="J9">
        <v>20.399999999999999</v>
      </c>
      <c r="K9">
        <f t="shared" si="1"/>
        <v>10.272737584718907</v>
      </c>
      <c r="L9">
        <f t="shared" si="2"/>
        <v>0.2488386748993282</v>
      </c>
      <c r="M9">
        <f t="shared" si="0"/>
        <v>0.15050726304394851</v>
      </c>
      <c r="O9" s="12">
        <f t="shared" si="3"/>
        <v>0.51</v>
      </c>
      <c r="P9">
        <f t="shared" si="4"/>
        <v>0.1269077241986574</v>
      </c>
      <c r="Q9">
        <f t="shared" si="5"/>
        <v>7.6758704152413745E-2</v>
      </c>
    </row>
    <row r="10" spans="2:23" x14ac:dyDescent="0.25">
      <c r="C10" t="s">
        <v>136</v>
      </c>
      <c r="D10">
        <f>(D5-D6)/LN((D5-D9)/(D6-D9))</f>
        <v>32.740700038118739</v>
      </c>
      <c r="E10" t="s">
        <v>132</v>
      </c>
      <c r="F10" t="s">
        <v>97</v>
      </c>
      <c r="J10">
        <v>20.5</v>
      </c>
      <c r="K10">
        <f t="shared" si="1"/>
        <v>10.748788427105481</v>
      </c>
      <c r="L10">
        <f t="shared" si="2"/>
        <v>0.26273979961284344</v>
      </c>
      <c r="M10">
        <f t="shared" si="0"/>
        <v>0.15923624218960208</v>
      </c>
      <c r="O10" s="12">
        <f t="shared" si="3"/>
        <v>0.51249999999999996</v>
      </c>
      <c r="P10">
        <f t="shared" si="4"/>
        <v>0.13465414730158223</v>
      </c>
      <c r="Q10">
        <f t="shared" si="5"/>
        <v>8.160857412217104E-2</v>
      </c>
    </row>
    <row r="11" spans="2:23" x14ac:dyDescent="0.25">
      <c r="J11">
        <v>20.6</v>
      </c>
      <c r="K11">
        <f t="shared" si="1"/>
        <v>11.169272145992691</v>
      </c>
      <c r="L11">
        <f t="shared" si="2"/>
        <v>0.27512135030840174</v>
      </c>
      <c r="M11">
        <f t="shared" si="0"/>
        <v>0.16707774310226828</v>
      </c>
      <c r="O11" s="12">
        <f t="shared" si="3"/>
        <v>0.51500000000000001</v>
      </c>
      <c r="P11">
        <f t="shared" si="4"/>
        <v>0.14168749540882691</v>
      </c>
      <c r="Q11">
        <f t="shared" si="5"/>
        <v>8.6045037697668164E-2</v>
      </c>
    </row>
    <row r="12" spans="2:23" x14ac:dyDescent="0.25">
      <c r="C12" t="s">
        <v>97</v>
      </c>
      <c r="D12">
        <f>D10^(-D8)</f>
        <v>1.5201780130424312E-2</v>
      </c>
      <c r="J12">
        <v>20.7</v>
      </c>
      <c r="K12">
        <f t="shared" si="1"/>
        <v>11.549189140288556</v>
      </c>
      <c r="L12">
        <f t="shared" si="2"/>
        <v>0.28638893829755246</v>
      </c>
      <c r="M12">
        <f t="shared" si="0"/>
        <v>0.17427318760500152</v>
      </c>
      <c r="O12" s="12">
        <f t="shared" si="3"/>
        <v>0.51749999999999996</v>
      </c>
      <c r="P12">
        <f t="shared" si="4"/>
        <v>0.14820627556898339</v>
      </c>
      <c r="Q12">
        <f t="shared" si="5"/>
        <v>9.0186374585588272E-2</v>
      </c>
    </row>
    <row r="13" spans="2:23" x14ac:dyDescent="0.25">
      <c r="J13">
        <v>20.8</v>
      </c>
      <c r="K13">
        <f t="shared" si="1"/>
        <v>11.897948806869655</v>
      </c>
      <c r="L13">
        <f t="shared" si="2"/>
        <v>0.29679799448552591</v>
      </c>
      <c r="M13">
        <f t="shared" si="0"/>
        <v>0.18097438688141823</v>
      </c>
      <c r="O13" s="12">
        <f t="shared" si="3"/>
        <v>0.52</v>
      </c>
      <c r="P13">
        <f t="shared" si="4"/>
        <v>0.15433495713247347</v>
      </c>
      <c r="Q13">
        <f t="shared" si="5"/>
        <v>9.4106681178337481E-2</v>
      </c>
    </row>
    <row r="14" spans="2:23" x14ac:dyDescent="0.25">
      <c r="C14" t="s">
        <v>137</v>
      </c>
      <c r="D14">
        <f>D12*(D10^D8)</f>
        <v>1</v>
      </c>
      <c r="J14">
        <v>20.9</v>
      </c>
      <c r="K14">
        <f t="shared" si="1"/>
        <v>12.221885150444225</v>
      </c>
      <c r="L14">
        <f t="shared" si="2"/>
        <v>0.30652103607230197</v>
      </c>
      <c r="M14">
        <f t="shared" si="0"/>
        <v>0.18728372876108065</v>
      </c>
      <c r="O14" s="12">
        <f t="shared" si="3"/>
        <v>0.52249999999999996</v>
      </c>
      <c r="P14">
        <f t="shared" si="4"/>
        <v>0.16015724134777778</v>
      </c>
      <c r="Q14">
        <f t="shared" si="5"/>
        <v>9.7855748277664634E-2</v>
      </c>
    </row>
    <row r="15" spans="2:23" x14ac:dyDescent="0.25">
      <c r="J15">
        <v>21</v>
      </c>
      <c r="K15">
        <f>(D$5-J15)/LN((D$5-D$9)/(J15-D$9))</f>
        <v>12.525488713131242</v>
      </c>
      <c r="L15">
        <f t="shared" si="2"/>
        <v>0.31568072317034473</v>
      </c>
      <c r="M15">
        <f>L15*(D$5-D$6)/(D$5-J15)</f>
        <v>0.19327391214510903</v>
      </c>
      <c r="O15" s="12">
        <f t="shared" si="3"/>
        <v>0.52500000000000002</v>
      </c>
      <c r="P15">
        <f t="shared" si="4"/>
        <v>0.165732379664431</v>
      </c>
      <c r="Q15">
        <f t="shared" si="5"/>
        <v>0.10146880387618225</v>
      </c>
    </row>
    <row r="16" spans="2:23" x14ac:dyDescent="0.25">
      <c r="J16">
        <v>22</v>
      </c>
      <c r="K16">
        <f t="shared" ref="K16:K34" si="6">(D$5-J16)/LN((D$5-D$9)/(J16-D$9))</f>
        <v>14.912038429430684</v>
      </c>
      <c r="L16">
        <f t="shared" si="2"/>
        <v>0.38916956051636326</v>
      </c>
      <c r="M16">
        <f t="shared" ref="M16:M34" si="7">L16*(D$5-D$6)/(D$5-J16)</f>
        <v>0.24323097532272706</v>
      </c>
      <c r="O16" s="12">
        <f t="shared" si="3"/>
        <v>0.55000000000000004</v>
      </c>
      <c r="P16">
        <f t="shared" si="4"/>
        <v>0.21404325828399981</v>
      </c>
      <c r="Q16">
        <f t="shared" si="5"/>
        <v>0.13377703642749988</v>
      </c>
    </row>
    <row r="17" spans="1:17" x14ac:dyDescent="0.25">
      <c r="A17" t="s">
        <v>169</v>
      </c>
      <c r="J17">
        <v>23</v>
      </c>
      <c r="K17">
        <f t="shared" si="6"/>
        <v>16.705701631124043</v>
      </c>
      <c r="L17">
        <f t="shared" si="2"/>
        <v>0.44599717872355432</v>
      </c>
      <c r="M17">
        <f t="shared" si="7"/>
        <v>0.28467905024907725</v>
      </c>
      <c r="O17" s="12">
        <f t="shared" si="3"/>
        <v>0.57499999999999996</v>
      </c>
      <c r="P17">
        <f t="shared" si="4"/>
        <v>0.25644837776604373</v>
      </c>
      <c r="Q17">
        <f t="shared" si="5"/>
        <v>0.1636904538932194</v>
      </c>
    </row>
    <row r="18" spans="1:17" x14ac:dyDescent="0.25">
      <c r="A18" t="s">
        <v>170</v>
      </c>
      <c r="J18">
        <v>24</v>
      </c>
      <c r="K18">
        <f t="shared" si="6"/>
        <v>18.212566145480938</v>
      </c>
      <c r="L18">
        <f t="shared" si="2"/>
        <v>0.49469761588312233</v>
      </c>
      <c r="M18">
        <f t="shared" si="7"/>
        <v>0.32262887992377542</v>
      </c>
      <c r="O18" s="12">
        <f t="shared" si="3"/>
        <v>0.6</v>
      </c>
      <c r="P18">
        <f t="shared" si="4"/>
        <v>0.2968185695298734</v>
      </c>
      <c r="Q18">
        <f t="shared" si="5"/>
        <v>0.19357732795426527</v>
      </c>
    </row>
    <row r="19" spans="1:17" x14ac:dyDescent="0.25">
      <c r="A19" t="s">
        <v>171</v>
      </c>
      <c r="J19">
        <v>25</v>
      </c>
      <c r="K19">
        <f t="shared" si="6"/>
        <v>19.543251685646329</v>
      </c>
      <c r="L19">
        <f t="shared" si="2"/>
        <v>0.53838213076552632</v>
      </c>
      <c r="M19">
        <f t="shared" si="7"/>
        <v>0.35892142051035086</v>
      </c>
      <c r="O19" s="12">
        <f t="shared" si="3"/>
        <v>0.625</v>
      </c>
      <c r="P19">
        <f t="shared" si="4"/>
        <v>0.33648883172845395</v>
      </c>
      <c r="Q19">
        <f t="shared" si="5"/>
        <v>0.22432588781896928</v>
      </c>
    </row>
    <row r="20" spans="1:17" x14ac:dyDescent="0.25">
      <c r="A20" t="s">
        <v>172</v>
      </c>
      <c r="J20">
        <v>26</v>
      </c>
      <c r="K20">
        <f t="shared" si="6"/>
        <v>20.752137292733067</v>
      </c>
      <c r="L20">
        <f t="shared" si="2"/>
        <v>0.57858856374539736</v>
      </c>
      <c r="M20">
        <f t="shared" si="7"/>
        <v>0.39449220255368006</v>
      </c>
      <c r="O20" s="12">
        <f t="shared" si="3"/>
        <v>0.65</v>
      </c>
      <c r="P20">
        <f t="shared" si="4"/>
        <v>0.37608256643450827</v>
      </c>
      <c r="Q20">
        <f t="shared" si="5"/>
        <v>0.25641993165989202</v>
      </c>
    </row>
    <row r="21" spans="1:17" x14ac:dyDescent="0.25">
      <c r="A21" t="s">
        <v>173</v>
      </c>
      <c r="J21">
        <v>27</v>
      </c>
      <c r="K21">
        <f t="shared" si="6"/>
        <v>21.870565497103865</v>
      </c>
      <c r="L21">
        <f t="shared" si="2"/>
        <v>0.61620676501903671</v>
      </c>
      <c r="M21">
        <f t="shared" si="7"/>
        <v>0.42991169652490935</v>
      </c>
      <c r="O21" s="12">
        <f t="shared" si="3"/>
        <v>0.67500000000000004</v>
      </c>
      <c r="P21">
        <f t="shared" si="4"/>
        <v>0.41593956638784979</v>
      </c>
      <c r="Q21">
        <f t="shared" si="5"/>
        <v>0.29019039515431377</v>
      </c>
    </row>
    <row r="22" spans="1:17" x14ac:dyDescent="0.25">
      <c r="A22" t="s">
        <v>174</v>
      </c>
      <c r="J22">
        <v>28</v>
      </c>
      <c r="K22">
        <f t="shared" si="6"/>
        <v>22.91849002668312</v>
      </c>
      <c r="L22">
        <f t="shared" si="2"/>
        <v>0.6518049405663866</v>
      </c>
      <c r="M22">
        <f t="shared" si="7"/>
        <v>0.46557495754741901</v>
      </c>
      <c r="O22" s="12">
        <f t="shared" si="3"/>
        <v>0.7</v>
      </c>
      <c r="P22">
        <f t="shared" si="4"/>
        <v>0.45626345839647059</v>
      </c>
      <c r="Q22">
        <f t="shared" si="5"/>
        <v>0.32590247028319325</v>
      </c>
    </row>
    <row r="23" spans="1:17" x14ac:dyDescent="0.25">
      <c r="J23">
        <v>29</v>
      </c>
      <c r="K23">
        <f t="shared" si="6"/>
        <v>23.909515735689769</v>
      </c>
      <c r="L23">
        <f t="shared" si="2"/>
        <v>0.68577142191805551</v>
      </c>
      <c r="M23">
        <f t="shared" si="7"/>
        <v>0.50178396725711383</v>
      </c>
      <c r="O23" s="12">
        <f t="shared" si="3"/>
        <v>0.72499999999999998</v>
      </c>
      <c r="P23">
        <f t="shared" si="4"/>
        <v>0.49718428089059019</v>
      </c>
      <c r="Q23">
        <f t="shared" si="5"/>
        <v>0.36379337626140745</v>
      </c>
    </row>
    <row r="24" spans="1:17" x14ac:dyDescent="0.25">
      <c r="J24">
        <v>30</v>
      </c>
      <c r="K24">
        <f t="shared" si="6"/>
        <v>24.853397382384475</v>
      </c>
      <c r="L24">
        <f t="shared" si="2"/>
        <v>0.71838517840775429</v>
      </c>
      <c r="M24">
        <f t="shared" si="7"/>
        <v>0.53878888380581569</v>
      </c>
      <c r="O24" s="12">
        <f t="shared" si="3"/>
        <v>0.75</v>
      </c>
      <c r="P24">
        <f t="shared" si="4"/>
        <v>0.5387888838058158</v>
      </c>
      <c r="Q24">
        <f t="shared" si="5"/>
        <v>0.40409166285436182</v>
      </c>
    </row>
    <row r="25" spans="1:17" x14ac:dyDescent="0.25">
      <c r="J25">
        <v>31</v>
      </c>
      <c r="K25">
        <f t="shared" si="6"/>
        <v>25.757404186939901</v>
      </c>
      <c r="L25">
        <f t="shared" si="2"/>
        <v>0.74985442467742414</v>
      </c>
      <c r="M25">
        <f t="shared" si="7"/>
        <v>0.57681109590571089</v>
      </c>
      <c r="O25" s="12">
        <f t="shared" si="3"/>
        <v>0.77500000000000002</v>
      </c>
      <c r="P25">
        <f t="shared" si="4"/>
        <v>0.58113717912500362</v>
      </c>
      <c r="Q25">
        <f t="shared" si="5"/>
        <v>0.4470285993269259</v>
      </c>
    </row>
    <row r="26" spans="1:17" x14ac:dyDescent="0.25">
      <c r="J26">
        <v>32</v>
      </c>
      <c r="K26">
        <f t="shared" si="6"/>
        <v>26.627121082187276</v>
      </c>
      <c r="L26">
        <f t="shared" si="2"/>
        <v>0.78033934123179294</v>
      </c>
      <c r="M26">
        <f t="shared" si="7"/>
        <v>0.61605737465667865</v>
      </c>
      <c r="O26" s="12">
        <f t="shared" si="3"/>
        <v>0.8</v>
      </c>
      <c r="P26">
        <f t="shared" si="4"/>
        <v>0.62427147298543439</v>
      </c>
      <c r="Q26">
        <f t="shared" si="5"/>
        <v>0.49284589972534293</v>
      </c>
    </row>
    <row r="27" spans="1:17" x14ac:dyDescent="0.25">
      <c r="J27">
        <v>33</v>
      </c>
      <c r="K27">
        <f t="shared" si="6"/>
        <v>27.46694663343094</v>
      </c>
      <c r="L27">
        <f t="shared" si="2"/>
        <v>0.80996622092141135</v>
      </c>
      <c r="M27">
        <f t="shared" si="7"/>
        <v>0.65672936831465778</v>
      </c>
      <c r="O27" s="12">
        <f t="shared" si="3"/>
        <v>0.82499999999999996</v>
      </c>
      <c r="P27">
        <f t="shared" si="4"/>
        <v>0.66822213226016436</v>
      </c>
      <c r="Q27">
        <f t="shared" si="5"/>
        <v>0.54180172885959277</v>
      </c>
    </row>
    <row r="28" spans="1:17" x14ac:dyDescent="0.25">
      <c r="J28">
        <v>34</v>
      </c>
      <c r="K28">
        <f t="shared" si="6"/>
        <v>28.280416891061261</v>
      </c>
      <c r="L28">
        <f t="shared" si="2"/>
        <v>0.83883668553206436</v>
      </c>
      <c r="M28">
        <f t="shared" si="7"/>
        <v>0.6990305712767203</v>
      </c>
      <c r="O28" s="12">
        <f t="shared" si="3"/>
        <v>0.85</v>
      </c>
      <c r="P28">
        <f t="shared" si="4"/>
        <v>0.71301118270225461</v>
      </c>
      <c r="Q28">
        <f t="shared" si="5"/>
        <v>0.59417598558521212</v>
      </c>
    </row>
    <row r="29" spans="1:17" x14ac:dyDescent="0.25">
      <c r="J29">
        <v>35</v>
      </c>
      <c r="K29">
        <f t="shared" si="6"/>
        <v>29.070424077888806</v>
      </c>
      <c r="L29">
        <f t="shared" si="2"/>
        <v>0.86703391875302305</v>
      </c>
      <c r="M29">
        <f t="shared" si="7"/>
        <v>0.74317193035973406</v>
      </c>
      <c r="O29" s="12">
        <f t="shared" si="3"/>
        <v>0.875</v>
      </c>
      <c r="P29">
        <f t="shared" si="4"/>
        <v>0.75865467890889526</v>
      </c>
      <c r="Q29">
        <f t="shared" si="5"/>
        <v>0.65027543906476737</v>
      </c>
    </row>
    <row r="30" spans="1:17" x14ac:dyDescent="0.25">
      <c r="J30">
        <v>36</v>
      </c>
      <c r="K30">
        <f t="shared" si="6"/>
        <v>29.839368976033622</v>
      </c>
      <c r="L30">
        <f t="shared" si="2"/>
        <v>0.89462701524825028</v>
      </c>
      <c r="M30">
        <f t="shared" si="7"/>
        <v>0.78937677816022078</v>
      </c>
      <c r="O30" s="12">
        <f t="shared" si="3"/>
        <v>0.9</v>
      </c>
      <c r="P30">
        <f t="shared" si="4"/>
        <v>0.80516431372342523</v>
      </c>
      <c r="Q30">
        <f t="shared" si="5"/>
        <v>0.71043910034419877</v>
      </c>
    </row>
    <row r="31" spans="1:17" x14ac:dyDescent="0.25">
      <c r="J31">
        <v>37</v>
      </c>
      <c r="K31">
        <f t="shared" si="6"/>
        <v>30.589269990438964</v>
      </c>
      <c r="L31">
        <f t="shared" si="2"/>
        <v>0.92167409700692782</v>
      </c>
      <c r="M31">
        <f t="shared" si="7"/>
        <v>0.83788554273357074</v>
      </c>
      <c r="O31" s="12">
        <f t="shared" si="3"/>
        <v>0.92500000000000004</v>
      </c>
      <c r="P31">
        <f t="shared" si="4"/>
        <v>0.85254853973140821</v>
      </c>
      <c r="Q31">
        <f t="shared" si="5"/>
        <v>0.77504412702855285</v>
      </c>
    </row>
    <row r="32" spans="1:17" x14ac:dyDescent="0.25">
      <c r="J32">
        <v>38</v>
      </c>
      <c r="K32">
        <f t="shared" si="6"/>
        <v>31.321843023539486</v>
      </c>
      <c r="L32">
        <f t="shared" si="2"/>
        <v>0.9482245981146965</v>
      </c>
      <c r="M32">
        <f t="shared" si="7"/>
        <v>0.88896056073252794</v>
      </c>
      <c r="O32" s="12">
        <f t="shared" si="3"/>
        <v>0.95</v>
      </c>
      <c r="P32">
        <f t="shared" si="4"/>
        <v>0.90081336820896163</v>
      </c>
      <c r="Q32">
        <f t="shared" si="5"/>
        <v>0.84451253269590154</v>
      </c>
    </row>
    <row r="33" spans="10:17" x14ac:dyDescent="0.25">
      <c r="J33">
        <v>39</v>
      </c>
      <c r="K33">
        <f t="shared" si="6"/>
        <v>32.038561157080665</v>
      </c>
      <c r="L33">
        <f t="shared" si="2"/>
        <v>0.97432097358195879</v>
      </c>
      <c r="M33">
        <f t="shared" si="7"/>
        <v>0.94289126475673435</v>
      </c>
      <c r="O33" s="12">
        <f t="shared" si="3"/>
        <v>0.97499999999999998</v>
      </c>
      <c r="P33">
        <f t="shared" si="4"/>
        <v>0.94996294924240976</v>
      </c>
      <c r="Q33">
        <f t="shared" si="5"/>
        <v>0.9193189831378159</v>
      </c>
    </row>
    <row r="34" spans="10:17" x14ac:dyDescent="0.25">
      <c r="J34">
        <v>40</v>
      </c>
      <c r="K34">
        <f t="shared" si="6"/>
        <v>32.740700038118739</v>
      </c>
      <c r="L34">
        <f t="shared" si="2"/>
        <v>1</v>
      </c>
      <c r="M34">
        <f t="shared" si="7"/>
        <v>1</v>
      </c>
      <c r="O34" s="12">
        <f t="shared" si="3"/>
        <v>1</v>
      </c>
      <c r="P34">
        <f t="shared" si="4"/>
        <v>1</v>
      </c>
      <c r="Q34">
        <f t="shared" si="5"/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92525-02DD-4DCE-866C-85C0F85BD3E7}">
  <dimension ref="A2:C16"/>
  <sheetViews>
    <sheetView workbookViewId="0">
      <selection activeCell="B9" sqref="B9"/>
    </sheetView>
  </sheetViews>
  <sheetFormatPr defaultRowHeight="15" x14ac:dyDescent="0.25"/>
  <cols>
    <col min="1" max="1" width="29.28515625" bestFit="1" customWidth="1"/>
    <col min="2" max="2" width="12" bestFit="1" customWidth="1"/>
  </cols>
  <sheetData>
    <row r="2" spans="1:3" x14ac:dyDescent="0.25">
      <c r="A2" s="25" t="s">
        <v>177</v>
      </c>
    </row>
    <row r="4" spans="1:3" x14ac:dyDescent="0.25">
      <c r="A4" t="s">
        <v>213</v>
      </c>
      <c r="B4">
        <v>1970</v>
      </c>
      <c r="C4" t="s">
        <v>106</v>
      </c>
    </row>
    <row r="5" spans="1:3" x14ac:dyDescent="0.25">
      <c r="A5" t="s">
        <v>178</v>
      </c>
      <c r="B5">
        <v>8766</v>
      </c>
    </row>
    <row r="6" spans="1:3" x14ac:dyDescent="0.25">
      <c r="A6" t="s">
        <v>179</v>
      </c>
      <c r="B6">
        <f>B4/B5*1000</f>
        <v>224.73191877709331</v>
      </c>
      <c r="C6" t="s">
        <v>50</v>
      </c>
    </row>
    <row r="7" spans="1:3" x14ac:dyDescent="0.25">
      <c r="A7" t="s">
        <v>180</v>
      </c>
      <c r="B7">
        <v>40</v>
      </c>
      <c r="C7" t="s">
        <v>50</v>
      </c>
    </row>
    <row r="8" spans="1:3" x14ac:dyDescent="0.25">
      <c r="A8" t="s">
        <v>181</v>
      </c>
      <c r="B8">
        <f>'Globaal model'!F128</f>
        <v>2.2000000000000002</v>
      </c>
    </row>
    <row r="9" spans="1:3" x14ac:dyDescent="0.25">
      <c r="A9" t="s">
        <v>182</v>
      </c>
      <c r="B9">
        <f>130/168</f>
        <v>0.77380952380952384</v>
      </c>
    </row>
    <row r="10" spans="1:3" x14ac:dyDescent="0.25">
      <c r="A10" t="s">
        <v>183</v>
      </c>
      <c r="B10">
        <v>100</v>
      </c>
      <c r="C10" t="s">
        <v>50</v>
      </c>
    </row>
    <row r="11" spans="1:3" x14ac:dyDescent="0.25">
      <c r="A11" t="s">
        <v>184</v>
      </c>
      <c r="B11">
        <f>B8*B9*B10</f>
        <v>170.23809523809524</v>
      </c>
      <c r="C11" t="s">
        <v>50</v>
      </c>
    </row>
    <row r="12" spans="1:3" x14ac:dyDescent="0.25">
      <c r="A12" t="s">
        <v>185</v>
      </c>
      <c r="B12">
        <f>B6+B11+B7</f>
        <v>434.97001401518855</v>
      </c>
      <c r="C12" t="s">
        <v>50</v>
      </c>
    </row>
    <row r="15" spans="1:3" x14ac:dyDescent="0.25">
      <c r="A15" t="s">
        <v>186</v>
      </c>
    </row>
    <row r="16" spans="1:3" x14ac:dyDescent="0.25">
      <c r="A16" t="s">
        <v>187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B3F6-0D1B-4ECB-B137-A4842E81EBC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Afleiding_Tapwater_schema</vt:lpstr>
      <vt:lpstr>Tapwater</vt:lpstr>
      <vt:lpstr>Globaal model</vt:lpstr>
      <vt:lpstr>Radiator</vt:lpstr>
      <vt:lpstr>Interne lasten</vt:lpstr>
      <vt:lpstr>Blad3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Steeg Rob ter</dc:creator>
  <cp:keywords/>
  <dc:description/>
  <cp:lastModifiedBy>Uitleen</cp:lastModifiedBy>
  <cp:revision/>
  <dcterms:created xsi:type="dcterms:W3CDTF">2022-01-20T13:08:20Z</dcterms:created>
  <dcterms:modified xsi:type="dcterms:W3CDTF">2022-11-21T08:46:27Z</dcterms:modified>
  <cp:category/>
  <cp:contentStatus/>
</cp:coreProperties>
</file>