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520" windowHeight="15620" tabRatio="783" firstSheet="1" activeTab="3"/>
  </bookViews>
  <sheets>
    <sheet name="ForSkyParams" sheetId="8" r:id="rId1"/>
    <sheet name="FTSpectrograph" sheetId="1" r:id="rId2"/>
    <sheet name="FTSMechanical" sheetId="7" r:id="rId3"/>
    <sheet name="Telescope" sheetId="3" r:id="rId4"/>
    <sheet name="Interferometer" sheetId="2" r:id="rId5"/>
    <sheet name="ColdOptics" sheetId="5" r:id="rId6"/>
    <sheet name="Background" sheetId="6" r:id="rId7"/>
    <sheet name="WarmOptics" sheetId="9" r:id="rId8"/>
    <sheet name="Detectors" sheetId="4" r:id="rId9"/>
    <sheet name="SimulatorControl" sheetId="10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D3" i="1"/>
  <c r="G3" i="1"/>
  <c r="H7" i="8"/>
  <c r="H6" i="8"/>
  <c r="F6" i="8"/>
  <c r="B28" i="8"/>
  <c r="E3" i="1"/>
  <c r="B13" i="8"/>
  <c r="B15" i="8"/>
  <c r="B20" i="8"/>
  <c r="B24" i="8"/>
  <c r="B23" i="8"/>
  <c r="B22" i="8"/>
  <c r="B14" i="8"/>
  <c r="F7" i="8"/>
  <c r="B7" i="8"/>
  <c r="B6" i="8"/>
  <c r="B16" i="2"/>
  <c r="B18" i="2"/>
  <c r="B15" i="2"/>
  <c r="C15" i="2"/>
  <c r="B5" i="8"/>
  <c r="B39" i="8"/>
  <c r="B12" i="8"/>
  <c r="B16" i="8"/>
  <c r="B33" i="8"/>
  <c r="H15" i="8"/>
  <c r="B29" i="8"/>
  <c r="F12" i="8"/>
  <c r="F15" i="8"/>
  <c r="F20" i="8"/>
  <c r="D16" i="8"/>
  <c r="I7" i="8"/>
  <c r="I6" i="8"/>
  <c r="B17" i="2"/>
  <c r="D15" i="8"/>
  <c r="B8" i="8"/>
  <c r="D8" i="8"/>
  <c r="B9" i="8"/>
  <c r="D9" i="8"/>
  <c r="B18" i="8"/>
  <c r="D18" i="8"/>
  <c r="F18" i="8"/>
  <c r="H18" i="8"/>
  <c r="B7" i="4"/>
  <c r="B19" i="2"/>
  <c r="G7" i="8"/>
  <c r="G6" i="8"/>
  <c r="D7" i="8"/>
  <c r="D6" i="8"/>
  <c r="D5" i="8"/>
</calcChain>
</file>

<file path=xl/sharedStrings.xml><?xml version="1.0" encoding="utf-8"?>
<sst xmlns="http://schemas.openxmlformats.org/spreadsheetml/2006/main" count="152" uniqueCount="129">
  <si>
    <t>Band</t>
  </si>
  <si>
    <t>Lambda min [um]</t>
  </si>
  <si>
    <t>Lambda max [um]</t>
  </si>
  <si>
    <t>Lambda cent [um]</t>
  </si>
  <si>
    <t>wn max [cm-1]</t>
  </si>
  <si>
    <t>wn min [cm-1]</t>
  </si>
  <si>
    <t>wn central [cm-1]</t>
  </si>
  <si>
    <t>Spectral Res</t>
  </si>
  <si>
    <t>Points per Nyq</t>
  </si>
  <si>
    <t>Interferometer parameters</t>
  </si>
  <si>
    <t>Colors indicate which parameters need to be filled for each configuration.</t>
  </si>
  <si>
    <t>Select configuration by typing '1' in the Select box.</t>
  </si>
  <si>
    <t>Select:</t>
  </si>
  <si>
    <t>bminAngle[deg]</t>
  </si>
  <si>
    <t>AngMax [deg]</t>
  </si>
  <si>
    <t>NumBslAngles</t>
  </si>
  <si>
    <t>Num Baselines</t>
  </si>
  <si>
    <t>Fixed Arc Length</t>
  </si>
  <si>
    <t>Fixed Angle</t>
  </si>
  <si>
    <t>Random</t>
  </si>
  <si>
    <t>Spiral</t>
  </si>
  <si>
    <t>Single</t>
  </si>
  <si>
    <t>Telescope parameters</t>
  </si>
  <si>
    <t>Units</t>
  </si>
  <si>
    <t>Primary mirror diameter</t>
  </si>
  <si>
    <t>m</t>
  </si>
  <si>
    <t>Detectors</t>
  </si>
  <si>
    <t>Detector time constant</t>
  </si>
  <si>
    <t>Detector optical absorption efficiency</t>
  </si>
  <si>
    <t>Number of detector modes</t>
  </si>
  <si>
    <t>microns</t>
  </si>
  <si>
    <t>Hz</t>
  </si>
  <si>
    <t>Spectral</t>
  </si>
  <si>
    <t>Mirror temp</t>
  </si>
  <si>
    <t>K</t>
  </si>
  <si>
    <t>Number of mirrors in telescope design</t>
  </si>
  <si>
    <t>Cold optics</t>
  </si>
  <si>
    <t>Sky Background</t>
  </si>
  <si>
    <t>CMB temp</t>
  </si>
  <si>
    <t>CIB temp</t>
  </si>
  <si>
    <t>CIB emissivity @ 200um</t>
  </si>
  <si>
    <t>Zodi dust temp</t>
  </si>
  <si>
    <t>Zodi emissivity @ 30um</t>
  </si>
  <si>
    <t>Solar temp</t>
  </si>
  <si>
    <t>Zodi scattering coeff</t>
  </si>
  <si>
    <t>V drive [cm/s]</t>
  </si>
  <si>
    <t>FTS mechanical parameters</t>
  </si>
  <si>
    <t>Derived parameters</t>
  </si>
  <si>
    <t>(required for Sky map definition)</t>
  </si>
  <si>
    <t>Pixel resolution</t>
  </si>
  <si>
    <t>FOVx</t>
  </si>
  <si>
    <t>FOVy</t>
  </si>
  <si>
    <t>Spatial params</t>
  </si>
  <si>
    <t>Spectral params</t>
  </si>
  <si>
    <t>Nx</t>
  </si>
  <si>
    <t>Ny</t>
  </si>
  <si>
    <t>rad</t>
  </si>
  <si>
    <t>points</t>
  </si>
  <si>
    <t>OPDmax</t>
  </si>
  <si>
    <t>cm</t>
  </si>
  <si>
    <t>Nyq</t>
  </si>
  <si>
    <t>cm-1</t>
  </si>
  <si>
    <t>delta_opd</t>
  </si>
  <si>
    <t>DataCubeSize</t>
  </si>
  <si>
    <t>Bytes</t>
  </si>
  <si>
    <t>Mbyte</t>
  </si>
  <si>
    <t>bmax (for Sky Params). Automatic value</t>
  </si>
  <si>
    <t>Cold optics box temp (Tbox)</t>
  </si>
  <si>
    <t>Tstray</t>
  </si>
  <si>
    <t>Optical efficiency (Oeff)</t>
  </si>
  <si>
    <t>Instrument emissivity (InstEmi)</t>
  </si>
  <si>
    <t>Cold optics mirror emissivity (COEmis)</t>
  </si>
  <si>
    <t>Dichroic transmission (DicT)</t>
  </si>
  <si>
    <t>Dichroic reflectivity (DicR)</t>
  </si>
  <si>
    <t>Combiner T (CoT)</t>
  </si>
  <si>
    <t>Combiner R (CoR)</t>
  </si>
  <si>
    <t>Window efficiency (Weff)</t>
  </si>
  <si>
    <t>Telescope emissivity (Etel)</t>
  </si>
  <si>
    <t>NIRFIR dichroic Tx (NFdicT)</t>
  </si>
  <si>
    <t>Filter Tx (FilT)</t>
  </si>
  <si>
    <t>Number of mirrors (NmirrorsR)</t>
  </si>
  <si>
    <t>Number of mirrors (NmirrorsL)</t>
  </si>
  <si>
    <t>Warm Optics</t>
  </si>
  <si>
    <t>BSM temperature</t>
  </si>
  <si>
    <t>k</t>
  </si>
  <si>
    <t>BSM emissivity</t>
  </si>
  <si>
    <t>K-mirror temperature</t>
  </si>
  <si>
    <t>K-mirror emissivity</t>
  </si>
  <si>
    <t>Number of mirrors in k-mirror</t>
  </si>
  <si>
    <t>arcsec</t>
  </si>
  <si>
    <t>Nscans</t>
  </si>
  <si>
    <t>num time constants acquisition n</t>
  </si>
  <si>
    <t>Acquisiton frequency (n tau)</t>
  </si>
  <si>
    <t>knee freq</t>
  </si>
  <si>
    <t>Gbyte</t>
  </si>
  <si>
    <t>Min beam</t>
  </si>
  <si>
    <t>Max beam</t>
  </si>
  <si>
    <t>N SPECTRUM</t>
  </si>
  <si>
    <t>N POSVEC</t>
  </si>
  <si>
    <t>POINTS</t>
  </si>
  <si>
    <t>delta-wn</t>
  </si>
  <si>
    <t>Rmin</t>
  </si>
  <si>
    <t>Rcenter</t>
  </si>
  <si>
    <t>Rmax</t>
  </si>
  <si>
    <t>valid for ppNyq=1</t>
  </si>
  <si>
    <t>Nspectrum (0 to nyq)</t>
  </si>
  <si>
    <t>Nspectrum o to numax</t>
  </si>
  <si>
    <t>1 side</t>
  </si>
  <si>
    <t>delta_nu=1/2/opd</t>
  </si>
  <si>
    <t>2 sides</t>
  </si>
  <si>
    <t>my simulation</t>
  </si>
  <si>
    <t>size pos_vec</t>
  </si>
  <si>
    <t>samples</t>
  </si>
  <si>
    <t>opdMax</t>
  </si>
  <si>
    <t>Selection</t>
  </si>
  <si>
    <t>Pattern</t>
  </si>
  <si>
    <t>bmax [m]</t>
  </si>
  <si>
    <t>bmin [m]</t>
  </si>
  <si>
    <t>bstep [m]</t>
  </si>
  <si>
    <t>PointingErrors</t>
  </si>
  <si>
    <t>FormationFlying</t>
  </si>
  <si>
    <t>DetectorEffects</t>
  </si>
  <si>
    <t>AddNoise</t>
  </si>
  <si>
    <t>SamplingErrors</t>
  </si>
  <si>
    <t>Simulator Control</t>
  </si>
  <si>
    <t>V error type</t>
  </si>
  <si>
    <t>Interscan delay [s]</t>
  </si>
  <si>
    <t>Herschel</t>
  </si>
  <si>
    <t>Pointing error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</si>
</sst>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11" fontId="0" fillId="2" borderId="0" xfId="0" applyNumberFormat="1" applyFill="1"/>
    <xf numFmtId="0" fontId="3" fillId="8" borderId="0" xfId="0" applyFont="1" applyFill="1"/>
    <xf numFmtId="0" fontId="3" fillId="0" borderId="0" xfId="0" applyFont="1"/>
    <xf numFmtId="0" fontId="2" fillId="0" borderId="0" xfId="0" applyFont="1"/>
    <xf numFmtId="0" fontId="1" fillId="9" borderId="0" xfId="0" applyFont="1" applyFill="1"/>
    <xf numFmtId="0" fontId="4" fillId="9" borderId="0" xfId="0" applyFont="1" applyFill="1"/>
    <xf numFmtId="0" fontId="0" fillId="10" borderId="0" xfId="0" applyFill="1"/>
    <xf numFmtId="0" fontId="0" fillId="11" borderId="0" xfId="0" applyFill="1"/>
    <xf numFmtId="0" fontId="1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Ruler="0" topLeftCell="A11" workbookViewId="0">
      <selection activeCell="K31" sqref="K31"/>
    </sheetView>
  </sheetViews>
  <sheetFormatPr baseColWidth="10" defaultRowHeight="15" x14ac:dyDescent="0"/>
  <cols>
    <col min="1" max="1" width="27.83203125" bestFit="1" customWidth="1"/>
    <col min="2" max="2" width="12.1640625" bestFit="1" customWidth="1"/>
    <col min="4" max="4" width="18.1640625" customWidth="1"/>
    <col min="6" max="6" width="15.33203125" customWidth="1"/>
    <col min="7" max="7" width="12.1640625" bestFit="1" customWidth="1"/>
  </cols>
  <sheetData>
    <row r="1" spans="1:9">
      <c r="A1" s="2" t="s">
        <v>47</v>
      </c>
    </row>
    <row r="2" spans="1:9">
      <c r="A2" s="2" t="s">
        <v>48</v>
      </c>
    </row>
    <row r="4" spans="1:9">
      <c r="A4" s="4" t="s">
        <v>52</v>
      </c>
      <c r="B4" s="4"/>
      <c r="C4" s="4" t="s">
        <v>23</v>
      </c>
      <c r="D4" s="4"/>
      <c r="E4" s="4" t="s">
        <v>23</v>
      </c>
    </row>
    <row r="5" spans="1:9">
      <c r="A5" t="s">
        <v>49</v>
      </c>
      <c r="B5" t="e">
        <f>FTSpectrograph!#REF!*0.000001/(Interferometer!$C$15*0.01)/2</f>
        <v>#REF!</v>
      </c>
      <c r="C5" t="s">
        <v>56</v>
      </c>
      <c r="D5" t="e">
        <f>B5*180/PI()*60*60</f>
        <v>#REF!</v>
      </c>
      <c r="E5" t="s">
        <v>89</v>
      </c>
      <c r="G5" t="s">
        <v>95</v>
      </c>
      <c r="I5" t="s">
        <v>96</v>
      </c>
    </row>
    <row r="6" spans="1:9">
      <c r="A6" t="s">
        <v>50</v>
      </c>
      <c r="B6" t="e">
        <f>FTSpectrograph!#REF!*0.000001/Telescope!$B$3*2.44</f>
        <v>#REF!</v>
      </c>
      <c r="C6" t="s">
        <v>56</v>
      </c>
      <c r="D6" t="e">
        <f>B6*180/PI()*60*60</f>
        <v>#REF!</v>
      </c>
      <c r="E6" t="s">
        <v>89</v>
      </c>
      <c r="F6" t="e">
        <f>FTSpectrograph!#REF!*0.000001/Telescope!$B$3*2.44</f>
        <v>#REF!</v>
      </c>
      <c r="G6" t="e">
        <f>F6*180/PI()*60*60</f>
        <v>#REF!</v>
      </c>
      <c r="H6" t="e">
        <f>FTSpectrograph!#REF!*0.000001/Telescope!$B$3*2.44</f>
        <v>#REF!</v>
      </c>
      <c r="I6" t="e">
        <f>H6*180/PI()*60*60</f>
        <v>#REF!</v>
      </c>
    </row>
    <row r="7" spans="1:9">
      <c r="A7" t="s">
        <v>51</v>
      </c>
      <c r="B7" t="e">
        <f>FTSpectrograph!#REF!*0.000001/Telescope!$B$3*2.44</f>
        <v>#REF!</v>
      </c>
      <c r="C7" t="s">
        <v>56</v>
      </c>
      <c r="D7" t="e">
        <f>B7*180/PI()*60*60</f>
        <v>#REF!</v>
      </c>
      <c r="E7" t="s">
        <v>89</v>
      </c>
      <c r="F7" t="e">
        <f>FTSpectrograph!#REF!*0.000001/Telescope!$B$3*2.44</f>
        <v>#REF!</v>
      </c>
      <c r="G7" t="e">
        <f>F7*180/PI()*60*60</f>
        <v>#REF!</v>
      </c>
      <c r="H7" t="e">
        <f>FTSpectrograph!#REF!*0.000001/Telescope!$B$3*2.44</f>
        <v>#REF!</v>
      </c>
      <c r="I7" t="e">
        <f>H7*180/PI()*60*60</f>
        <v>#REF!</v>
      </c>
    </row>
    <row r="8" spans="1:9">
      <c r="A8" t="s">
        <v>54</v>
      </c>
      <c r="B8" t="e">
        <f>B6/B5</f>
        <v>#REF!</v>
      </c>
      <c r="C8" t="s">
        <v>57</v>
      </c>
      <c r="D8" t="e">
        <f>ROUND(B8,0)</f>
        <v>#REF!</v>
      </c>
    </row>
    <row r="9" spans="1:9">
      <c r="A9" t="s">
        <v>55</v>
      </c>
      <c r="B9" t="e">
        <f>B7/B5</f>
        <v>#REF!</v>
      </c>
      <c r="C9" t="s">
        <v>57</v>
      </c>
      <c r="D9" t="e">
        <f>ROUND(B9,0)</f>
        <v>#REF!</v>
      </c>
    </row>
    <row r="11" spans="1:9">
      <c r="A11" s="4" t="s">
        <v>53</v>
      </c>
      <c r="B11" s="4"/>
      <c r="C11" s="4"/>
      <c r="D11" s="4"/>
      <c r="E11" s="4"/>
    </row>
    <row r="12" spans="1:9">
      <c r="A12" t="s">
        <v>58</v>
      </c>
      <c r="B12" s="15" t="e">
        <f>B14*B15*100</f>
        <v>#REF!</v>
      </c>
      <c r="C12" t="s">
        <v>59</v>
      </c>
      <c r="D12" t="s">
        <v>107</v>
      </c>
      <c r="F12" s="14" t="e">
        <f>1/2/B20</f>
        <v>#REF!</v>
      </c>
      <c r="G12" t="s">
        <v>59</v>
      </c>
    </row>
    <row r="13" spans="1:9">
      <c r="A13" t="s">
        <v>60</v>
      </c>
      <c r="B13" s="15" t="e">
        <f>FTSpectrograph!#REF!*2</f>
        <v>#REF!</v>
      </c>
      <c r="C13" t="s">
        <v>61</v>
      </c>
    </row>
    <row r="14" spans="1:9">
      <c r="A14" t="s">
        <v>62</v>
      </c>
      <c r="B14" s="15" t="e">
        <f>1/B13/100/FTSpectrograph!#REF!</f>
        <v>#REF!</v>
      </c>
      <c r="C14" t="s">
        <v>25</v>
      </c>
    </row>
    <row r="15" spans="1:9">
      <c r="A15" t="s">
        <v>97</v>
      </c>
      <c r="B15" s="15" t="e">
        <f>B13/2/B28</f>
        <v>#REF!</v>
      </c>
      <c r="C15" t="s">
        <v>57</v>
      </c>
      <c r="D15" t="e">
        <f>ROUND(B15,0)</f>
        <v>#REF!</v>
      </c>
      <c r="E15" t="s">
        <v>57</v>
      </c>
      <c r="F15" t="e">
        <f>F12/B14*0.01</f>
        <v>#REF!</v>
      </c>
      <c r="H15" s="15" t="e">
        <f>B13/B28</f>
        <v>#REF!</v>
      </c>
    </row>
    <row r="16" spans="1:9">
      <c r="A16" t="s">
        <v>98</v>
      </c>
      <c r="B16" s="15" t="e">
        <f>2*B12/B14*0.01</f>
        <v>#REF!</v>
      </c>
      <c r="C16" t="s">
        <v>109</v>
      </c>
      <c r="D16" t="e">
        <f>ROUND(B16,0)</f>
        <v>#REF!</v>
      </c>
      <c r="E16" t="s">
        <v>99</v>
      </c>
    </row>
    <row r="18" spans="1:9">
      <c r="A18" t="s">
        <v>63</v>
      </c>
      <c r="B18" t="e">
        <f>D15*D8*D9</f>
        <v>#REF!</v>
      </c>
      <c r="C18" t="s">
        <v>57</v>
      </c>
      <c r="D18" t="e">
        <f>B18*8</f>
        <v>#REF!</v>
      </c>
      <c r="E18" t="s">
        <v>64</v>
      </c>
      <c r="F18" t="e">
        <f>D18/1024/1024</f>
        <v>#REF!</v>
      </c>
      <c r="G18" t="s">
        <v>65</v>
      </c>
      <c r="H18" t="e">
        <f>F18/1024</f>
        <v>#REF!</v>
      </c>
      <c r="I18" t="s">
        <v>94</v>
      </c>
    </row>
    <row r="20" spans="1:9">
      <c r="A20" s="14" t="s">
        <v>100</v>
      </c>
      <c r="B20" s="14" t="e">
        <f>(FTSpectrograph!#REF!)/ForSkyParams!B15</f>
        <v>#REF!</v>
      </c>
      <c r="C20" s="14" t="s">
        <v>61</v>
      </c>
      <c r="D20" s="14"/>
      <c r="F20" t="e">
        <f>1/B20</f>
        <v>#REF!</v>
      </c>
    </row>
    <row r="21" spans="1:9">
      <c r="A21" s="14"/>
      <c r="B21" s="14"/>
      <c r="C21" s="14"/>
      <c r="D21" s="14"/>
    </row>
    <row r="22" spans="1:9">
      <c r="A22" s="14" t="s">
        <v>101</v>
      </c>
      <c r="B22" s="14" t="e">
        <f>FTSpectrograph!#REF!/ForSkyParams!B20</f>
        <v>#REF!</v>
      </c>
      <c r="C22" s="14"/>
      <c r="D22" s="14" t="s">
        <v>104</v>
      </c>
    </row>
    <row r="23" spans="1:9">
      <c r="A23" s="14" t="s">
        <v>102</v>
      </c>
      <c r="B23" s="14" t="e">
        <f>FTSpectrograph!#REF!/ForSkyParams!B20</f>
        <v>#REF!</v>
      </c>
      <c r="C23" s="14"/>
      <c r="D23" s="14" t="s">
        <v>104</v>
      </c>
    </row>
    <row r="24" spans="1:9">
      <c r="A24" s="14" t="s">
        <v>103</v>
      </c>
      <c r="B24" s="14" t="e">
        <f>FTSpectrograph!#REF!/ForSkyParams!B20</f>
        <v>#REF!</v>
      </c>
      <c r="C24" s="14"/>
      <c r="D24" s="14" t="s">
        <v>104</v>
      </c>
    </row>
    <row r="28" spans="1:9">
      <c r="A28" s="14" t="s">
        <v>100</v>
      </c>
      <c r="B28" s="15" t="e">
        <f>FTSpectrograph!#REF!/FTSpectrograph!#REF!</f>
        <v>#REF!</v>
      </c>
      <c r="F28" t="s">
        <v>106</v>
      </c>
    </row>
    <row r="29" spans="1:9">
      <c r="A29" t="s">
        <v>105</v>
      </c>
      <c r="B29" s="15" t="e">
        <f>B13/B28</f>
        <v>#REF!</v>
      </c>
    </row>
    <row r="33" spans="1:3">
      <c r="A33" t="s">
        <v>108</v>
      </c>
      <c r="B33" t="e">
        <f>1/2/B12</f>
        <v>#REF!</v>
      </c>
    </row>
    <row r="36" spans="1:3">
      <c r="A36" s="16" t="s">
        <v>110</v>
      </c>
    </row>
    <row r="37" spans="1:3">
      <c r="A37" t="s">
        <v>111</v>
      </c>
      <c r="B37">
        <v>1202</v>
      </c>
      <c r="C37" t="s">
        <v>112</v>
      </c>
    </row>
    <row r="38" spans="1:3">
      <c r="A38" t="s">
        <v>62</v>
      </c>
      <c r="B38">
        <v>1.25E-3</v>
      </c>
      <c r="C38" t="s">
        <v>59</v>
      </c>
    </row>
    <row r="39" spans="1:3">
      <c r="A39" t="s">
        <v>113</v>
      </c>
      <c r="B39">
        <f>B37*B38/2</f>
        <v>0.75124999999999997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Ruler="0" workbookViewId="0">
      <selection activeCell="M29" sqref="M29"/>
    </sheetView>
  </sheetViews>
  <sheetFormatPr baseColWidth="10" defaultRowHeight="15" x14ac:dyDescent="0"/>
  <cols>
    <col min="1" max="1" width="18.33203125" customWidth="1"/>
  </cols>
  <sheetData>
    <row r="1" spans="1:2">
      <c r="A1" t="s">
        <v>124</v>
      </c>
    </row>
    <row r="2" spans="1:2">
      <c r="A2" t="s">
        <v>119</v>
      </c>
      <c r="B2">
        <v>0</v>
      </c>
    </row>
    <row r="3" spans="1:2">
      <c r="A3" t="s">
        <v>120</v>
      </c>
      <c r="B3">
        <v>0</v>
      </c>
    </row>
    <row r="4" spans="1:2">
      <c r="A4" t="s">
        <v>121</v>
      </c>
      <c r="B4">
        <v>0</v>
      </c>
    </row>
    <row r="5" spans="1:2">
      <c r="A5" t="s">
        <v>122</v>
      </c>
      <c r="B5">
        <v>0</v>
      </c>
    </row>
    <row r="6" spans="1:2">
      <c r="A6" t="s">
        <v>123</v>
      </c>
      <c r="B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Ruler="0" workbookViewId="0">
      <selection activeCell="I11" sqref="I11"/>
    </sheetView>
  </sheetViews>
  <sheetFormatPr baseColWidth="10" defaultRowHeight="15" x14ac:dyDescent="0"/>
  <cols>
    <col min="1" max="1" width="16.1640625" bestFit="1" customWidth="1"/>
    <col min="2" max="2" width="15.5" bestFit="1" customWidth="1"/>
    <col min="3" max="3" width="15.83203125" bestFit="1" customWidth="1"/>
    <col min="4" max="4" width="16" bestFit="1" customWidth="1"/>
    <col min="5" max="5" width="13.33203125" bestFit="1" customWidth="1"/>
    <col min="6" max="6" width="13" bestFit="1" customWidth="1"/>
    <col min="7" max="7" width="15.6640625" bestFit="1" customWidth="1"/>
    <col min="8" max="8" width="11.1640625" bestFit="1" customWidth="1"/>
    <col min="9" max="9" width="13.1640625" bestFit="1" customWidth="1"/>
  </cols>
  <sheetData>
    <row r="1" spans="1:10">
      <c r="A1" s="2" t="s">
        <v>32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114</v>
      </c>
    </row>
    <row r="3" spans="1:10">
      <c r="A3">
        <v>1</v>
      </c>
      <c r="B3" s="1">
        <v>25</v>
      </c>
      <c r="C3" s="1">
        <v>50</v>
      </c>
      <c r="D3">
        <f>(B3+C3)/2</f>
        <v>37.5</v>
      </c>
      <c r="E3">
        <f>1/(B3*0.0001)</f>
        <v>400</v>
      </c>
      <c r="F3">
        <f>1/(C3*0.0001)</f>
        <v>200</v>
      </c>
      <c r="G3">
        <f>1/(D3*0.0001)</f>
        <v>266.66666666666663</v>
      </c>
      <c r="H3" s="1">
        <v>300</v>
      </c>
      <c r="I3" s="1">
        <v>1</v>
      </c>
      <c r="J3">
        <v>0</v>
      </c>
    </row>
    <row r="4" spans="1:10">
      <c r="A4">
        <v>2</v>
      </c>
      <c r="B4">
        <v>50</v>
      </c>
      <c r="C4">
        <v>100</v>
      </c>
      <c r="E4">
        <v>200</v>
      </c>
      <c r="F4">
        <v>100</v>
      </c>
      <c r="H4">
        <v>100</v>
      </c>
      <c r="I4">
        <v>1</v>
      </c>
      <c r="J4">
        <v>0</v>
      </c>
    </row>
    <row r="5" spans="1:10">
      <c r="A5">
        <v>3</v>
      </c>
      <c r="E5">
        <v>100</v>
      </c>
      <c r="F5">
        <v>50</v>
      </c>
      <c r="H5">
        <v>100</v>
      </c>
      <c r="I5">
        <v>1</v>
      </c>
      <c r="J5">
        <v>0</v>
      </c>
    </row>
    <row r="6" spans="1:10">
      <c r="A6">
        <v>4</v>
      </c>
      <c r="E6">
        <v>50</v>
      </c>
      <c r="F6">
        <v>25</v>
      </c>
      <c r="H6">
        <v>50</v>
      </c>
      <c r="I6">
        <v>1</v>
      </c>
      <c r="J6">
        <v>1</v>
      </c>
    </row>
  </sheetData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AFD786C7-1D2C-A046-8091-D9B94A160715}">
            <xm:f>ColdOptics!#REF!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Ruler="0" workbookViewId="0">
      <selection activeCell="B4" sqref="B4"/>
    </sheetView>
  </sheetViews>
  <sheetFormatPr baseColWidth="10" defaultRowHeight="15" x14ac:dyDescent="0"/>
  <cols>
    <col min="1" max="1" width="23.6640625" bestFit="1" customWidth="1"/>
  </cols>
  <sheetData>
    <row r="1" spans="1:2">
      <c r="A1" s="9" t="s">
        <v>46</v>
      </c>
      <c r="B1" s="10"/>
    </row>
    <row r="2" spans="1:2">
      <c r="A2" s="10" t="s">
        <v>45</v>
      </c>
      <c r="B2" s="10">
        <v>1.5</v>
      </c>
    </row>
    <row r="3" spans="1:2">
      <c r="A3" s="10" t="s">
        <v>90</v>
      </c>
      <c r="B3" s="10">
        <v>4</v>
      </c>
    </row>
    <row r="4" spans="1:2">
      <c r="A4" s="10" t="s">
        <v>125</v>
      </c>
      <c r="B4" s="10" t="s">
        <v>127</v>
      </c>
    </row>
    <row r="5" spans="1:2">
      <c r="A5" s="10" t="s">
        <v>126</v>
      </c>
      <c r="B5">
        <v>0.1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showRuler="0" workbookViewId="0">
      <selection activeCell="B7" sqref="B7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22</v>
      </c>
    </row>
    <row r="2" spans="1:3">
      <c r="C2" t="s">
        <v>23</v>
      </c>
    </row>
    <row r="3" spans="1:3">
      <c r="A3" t="s">
        <v>24</v>
      </c>
      <c r="B3" s="1">
        <v>2</v>
      </c>
      <c r="C3" t="s">
        <v>25</v>
      </c>
    </row>
    <row r="4" spans="1:3">
      <c r="A4" t="s">
        <v>33</v>
      </c>
      <c r="B4" s="1">
        <v>4</v>
      </c>
      <c r="C4" t="s">
        <v>34</v>
      </c>
    </row>
    <row r="5" spans="1:3">
      <c r="A5" t="s">
        <v>77</v>
      </c>
      <c r="B5" s="1">
        <v>0.05</v>
      </c>
    </row>
    <row r="6" spans="1:3">
      <c r="A6" t="s">
        <v>35</v>
      </c>
      <c r="B6" s="1">
        <v>3</v>
      </c>
    </row>
    <row r="7" spans="1:3">
      <c r="A7" t="s">
        <v>128</v>
      </c>
      <c r="B7" t="s">
        <v>127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Ruler="0" workbookViewId="0">
      <selection activeCell="D9" sqref="D9"/>
    </sheetView>
  </sheetViews>
  <sheetFormatPr baseColWidth="10" defaultRowHeight="15" x14ac:dyDescent="0"/>
  <cols>
    <col min="1" max="1" width="61.1640625" bestFit="1" customWidth="1"/>
    <col min="3" max="3" width="9.83203125" bestFit="1" customWidth="1"/>
    <col min="7" max="7" width="12.5" bestFit="1" customWidth="1"/>
    <col min="8" max="8" width="13" bestFit="1" customWidth="1"/>
    <col min="9" max="9" width="13.1640625" bestFit="1" customWidth="1"/>
  </cols>
  <sheetData>
    <row r="1" spans="1:9">
      <c r="A1" s="2" t="s">
        <v>9</v>
      </c>
    </row>
    <row r="2" spans="1:9">
      <c r="A2" t="s">
        <v>10</v>
      </c>
    </row>
    <row r="3" spans="1:9">
      <c r="A3" t="s">
        <v>11</v>
      </c>
    </row>
    <row r="5" spans="1:9">
      <c r="A5" t="s">
        <v>115</v>
      </c>
      <c r="B5" s="2" t="s">
        <v>12</v>
      </c>
      <c r="C5" t="s">
        <v>116</v>
      </c>
      <c r="D5" t="s">
        <v>117</v>
      </c>
      <c r="E5" t="s">
        <v>118</v>
      </c>
      <c r="F5" t="s">
        <v>13</v>
      </c>
      <c r="G5" t="s">
        <v>14</v>
      </c>
      <c r="H5" t="s">
        <v>15</v>
      </c>
      <c r="I5" t="s">
        <v>16</v>
      </c>
    </row>
    <row r="6" spans="1:9">
      <c r="A6" s="1" t="s">
        <v>17</v>
      </c>
      <c r="C6" s="1">
        <v>80</v>
      </c>
      <c r="D6" s="1">
        <v>10</v>
      </c>
      <c r="E6" s="1">
        <v>10</v>
      </c>
      <c r="F6" s="1">
        <v>45</v>
      </c>
    </row>
    <row r="7" spans="1:9">
      <c r="A7" s="3" t="s">
        <v>18</v>
      </c>
      <c r="C7" s="3">
        <v>39.200000000000003</v>
      </c>
      <c r="D7" s="3">
        <v>14.2</v>
      </c>
      <c r="E7" s="3">
        <v>1</v>
      </c>
      <c r="G7" s="3">
        <v>0</v>
      </c>
      <c r="H7" s="3">
        <v>1</v>
      </c>
    </row>
    <row r="8" spans="1:9">
      <c r="A8" s="4" t="s">
        <v>19</v>
      </c>
      <c r="C8" s="4">
        <v>3000</v>
      </c>
      <c r="D8" s="4">
        <v>200</v>
      </c>
      <c r="I8" s="4">
        <v>100</v>
      </c>
    </row>
    <row r="9" spans="1:9">
      <c r="A9" s="5" t="s">
        <v>20</v>
      </c>
      <c r="B9">
        <v>1</v>
      </c>
      <c r="C9" s="5">
        <v>80</v>
      </c>
      <c r="D9" s="5">
        <v>4</v>
      </c>
      <c r="E9" s="5">
        <v>5</v>
      </c>
      <c r="I9" s="5">
        <v>208</v>
      </c>
    </row>
    <row r="10" spans="1:9">
      <c r="A10" s="6" t="s">
        <v>21</v>
      </c>
      <c r="C10" s="6">
        <v>300</v>
      </c>
      <c r="G10" s="6">
        <v>0</v>
      </c>
    </row>
    <row r="15" spans="1:9">
      <c r="A15" s="12" t="s">
        <v>66</v>
      </c>
      <c r="B15" s="13">
        <f>B6*C6</f>
        <v>0</v>
      </c>
      <c r="C15" s="12">
        <f>SUM(B15:B19)</f>
        <v>80</v>
      </c>
    </row>
    <row r="16" spans="1:9">
      <c r="B16" s="11">
        <f t="shared" ref="B16:B19" si="0">B7*C7</f>
        <v>0</v>
      </c>
    </row>
    <row r="17" spans="2:2">
      <c r="B17" s="11">
        <f t="shared" si="0"/>
        <v>0</v>
      </c>
    </row>
    <row r="18" spans="2:2">
      <c r="B18" s="11">
        <f t="shared" si="0"/>
        <v>80</v>
      </c>
    </row>
    <row r="19" spans="2:2">
      <c r="B19" s="11">
        <f t="shared" si="0"/>
        <v>0</v>
      </c>
    </row>
  </sheetData>
  <pageMargins left="0.75" right="0.75" top="1" bottom="1" header="0.5" footer="0.5"/>
  <pageSetup paperSize="9" orientation="portrait" horizontalDpi="4294967292" verticalDpi="4294967292"/>
  <ignoredErrors>
    <ignoredError sqref="B16:B1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Ruler="0" workbookViewId="0">
      <selection activeCell="A16" sqref="A16"/>
    </sheetView>
  </sheetViews>
  <sheetFormatPr baseColWidth="10" defaultRowHeight="15" x14ac:dyDescent="0"/>
  <cols>
    <col min="1" max="1" width="32.1640625" bestFit="1" customWidth="1"/>
    <col min="3" max="3" width="17.83203125" customWidth="1"/>
  </cols>
  <sheetData>
    <row r="1" spans="1:2">
      <c r="A1" s="2" t="s">
        <v>36</v>
      </c>
    </row>
    <row r="3" spans="1:2">
      <c r="A3" t="s">
        <v>69</v>
      </c>
      <c r="B3" s="1">
        <v>0.3</v>
      </c>
    </row>
    <row r="4" spans="1:2">
      <c r="A4" t="s">
        <v>81</v>
      </c>
      <c r="B4" s="1">
        <v>4</v>
      </c>
    </row>
    <row r="5" spans="1:2">
      <c r="A5" t="s">
        <v>67</v>
      </c>
      <c r="B5" s="1">
        <v>2</v>
      </c>
    </row>
    <row r="6" spans="1:2">
      <c r="A6" t="s">
        <v>70</v>
      </c>
      <c r="B6" s="1">
        <v>0.7</v>
      </c>
    </row>
    <row r="7" spans="1:2">
      <c r="A7" t="s">
        <v>71</v>
      </c>
      <c r="B7" s="1">
        <v>0.05</v>
      </c>
    </row>
    <row r="8" spans="1:2">
      <c r="A8" t="s">
        <v>72</v>
      </c>
      <c r="B8" s="1">
        <v>0.98</v>
      </c>
    </row>
    <row r="9" spans="1:2">
      <c r="A9" t="s">
        <v>73</v>
      </c>
      <c r="B9" s="1">
        <v>0.98</v>
      </c>
    </row>
    <row r="10" spans="1:2">
      <c r="A10" t="s">
        <v>74</v>
      </c>
      <c r="B10" s="1">
        <v>0.48699999999999999</v>
      </c>
    </row>
    <row r="11" spans="1:2">
      <c r="A11" t="s">
        <v>75</v>
      </c>
      <c r="B11" s="1">
        <v>0.48699999999999999</v>
      </c>
    </row>
    <row r="12" spans="1:2">
      <c r="A12" t="s">
        <v>76</v>
      </c>
      <c r="B12" s="1">
        <v>0.98</v>
      </c>
    </row>
    <row r="13" spans="1:2">
      <c r="A13" t="s">
        <v>78</v>
      </c>
      <c r="B13" s="1">
        <v>0.98</v>
      </c>
    </row>
    <row r="14" spans="1:2">
      <c r="A14" t="s">
        <v>79</v>
      </c>
      <c r="B14" s="1">
        <v>0.98</v>
      </c>
    </row>
    <row r="15" spans="1:2">
      <c r="A15" t="s">
        <v>80</v>
      </c>
      <c r="B15" s="1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25" sqref="B25"/>
    </sheetView>
  </sheetViews>
  <sheetFormatPr baseColWidth="10" defaultRowHeight="15" x14ac:dyDescent="0"/>
  <cols>
    <col min="1" max="1" width="25.1640625" customWidth="1"/>
  </cols>
  <sheetData>
    <row r="1" spans="1:2">
      <c r="A1" s="2" t="s">
        <v>37</v>
      </c>
    </row>
    <row r="3" spans="1:2">
      <c r="A3" t="s">
        <v>38</v>
      </c>
      <c r="B3" s="1">
        <v>2.726</v>
      </c>
    </row>
    <row r="4" spans="1:2">
      <c r="A4" t="s">
        <v>39</v>
      </c>
      <c r="B4" s="1">
        <v>20</v>
      </c>
    </row>
    <row r="5" spans="1:2">
      <c r="A5" t="s">
        <v>40</v>
      </c>
      <c r="B5" s="8">
        <v>1.2999999999999999E-5</v>
      </c>
    </row>
    <row r="6" spans="1:2">
      <c r="A6" t="s">
        <v>41</v>
      </c>
      <c r="B6" s="1">
        <v>220</v>
      </c>
    </row>
    <row r="7" spans="1:2">
      <c r="A7" t="s">
        <v>42</v>
      </c>
      <c r="B7" s="8">
        <v>7.0000000000000005E-8</v>
      </c>
    </row>
    <row r="8" spans="1:2">
      <c r="A8" t="s">
        <v>43</v>
      </c>
      <c r="B8" s="1">
        <v>5800</v>
      </c>
    </row>
    <row r="9" spans="1:2">
      <c r="A9" t="s">
        <v>44</v>
      </c>
      <c r="B9" s="8">
        <v>5.0000000000000002E-14</v>
      </c>
    </row>
    <row r="10" spans="1:2">
      <c r="A10" t="s">
        <v>68</v>
      </c>
      <c r="B10" s="1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Ruler="0" workbookViewId="0">
      <selection activeCell="B19" sqref="B19"/>
    </sheetView>
  </sheetViews>
  <sheetFormatPr baseColWidth="10" defaultRowHeight="15" x14ac:dyDescent="0"/>
  <cols>
    <col min="1" max="1" width="32.5" bestFit="1" customWidth="1"/>
  </cols>
  <sheetData>
    <row r="1" spans="1:3">
      <c r="A1" s="2" t="s">
        <v>82</v>
      </c>
    </row>
    <row r="2" spans="1:3">
      <c r="C2" t="s">
        <v>23</v>
      </c>
    </row>
    <row r="3" spans="1:3">
      <c r="A3" t="s">
        <v>83</v>
      </c>
      <c r="B3" s="1">
        <v>4</v>
      </c>
      <c r="C3" t="s">
        <v>84</v>
      </c>
    </row>
    <row r="4" spans="1:3">
      <c r="A4" t="s">
        <v>85</v>
      </c>
      <c r="B4" s="1">
        <v>0.05</v>
      </c>
    </row>
    <row r="5" spans="1:3">
      <c r="A5" t="s">
        <v>86</v>
      </c>
      <c r="B5" s="1">
        <v>4</v>
      </c>
      <c r="C5" t="s">
        <v>34</v>
      </c>
    </row>
    <row r="6" spans="1:3">
      <c r="A6" t="s">
        <v>87</v>
      </c>
      <c r="B6" s="1">
        <v>0.05</v>
      </c>
    </row>
    <row r="7" spans="1:3">
      <c r="A7" t="s">
        <v>88</v>
      </c>
      <c r="B7" s="1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Ruler="0" workbookViewId="0">
      <selection activeCell="A17" sqref="A17"/>
    </sheetView>
  </sheetViews>
  <sheetFormatPr baseColWidth="10" defaultRowHeight="15" x14ac:dyDescent="0"/>
  <cols>
    <col min="1" max="1" width="31.83203125" bestFit="1" customWidth="1"/>
  </cols>
  <sheetData>
    <row r="1" spans="1:3">
      <c r="A1" s="2" t="s">
        <v>26</v>
      </c>
    </row>
    <row r="2" spans="1:3">
      <c r="A2" s="7"/>
      <c r="C2" t="s">
        <v>23</v>
      </c>
    </row>
    <row r="3" spans="1:3">
      <c r="A3" t="s">
        <v>27</v>
      </c>
      <c r="B3" s="1">
        <v>200</v>
      </c>
      <c r="C3" t="s">
        <v>30</v>
      </c>
    </row>
    <row r="4" spans="1:3">
      <c r="A4" t="s">
        <v>28</v>
      </c>
      <c r="B4" s="1">
        <v>0.56999999999999995</v>
      </c>
    </row>
    <row r="5" spans="1:3">
      <c r="A5" t="s">
        <v>29</v>
      </c>
      <c r="B5" s="1">
        <v>1</v>
      </c>
    </row>
    <row r="6" spans="1:3">
      <c r="A6" t="s">
        <v>91</v>
      </c>
      <c r="B6" s="1">
        <v>1</v>
      </c>
    </row>
    <row r="7" spans="1:3">
      <c r="A7" t="s">
        <v>92</v>
      </c>
      <c r="B7">
        <f>1/(B6*B3*0.000001)</f>
        <v>5000</v>
      </c>
      <c r="C7" t="s">
        <v>31</v>
      </c>
    </row>
    <row r="8" spans="1:3">
      <c r="A8" t="s">
        <v>93</v>
      </c>
      <c r="B8" s="1">
        <v>10</v>
      </c>
      <c r="C8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ForSkyParams</vt:lpstr>
      <vt:lpstr>FTSpectrograph</vt:lpstr>
      <vt:lpstr>FTSMechanical</vt:lpstr>
      <vt:lpstr>Telescope</vt:lpstr>
      <vt:lpstr>Interferometer</vt:lpstr>
      <vt:lpstr>ColdOptics</vt:lpstr>
      <vt:lpstr>Background</vt:lpstr>
      <vt:lpstr>WarmOptics</vt:lpstr>
      <vt:lpstr>Detectors</vt:lpstr>
      <vt:lpstr>SimulatorControl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 Juanola-Parramon</dc:creator>
  <cp:lastModifiedBy>John Lightfoot</cp:lastModifiedBy>
  <dcterms:created xsi:type="dcterms:W3CDTF">2013-07-29T10:57:13Z</dcterms:created>
  <dcterms:modified xsi:type="dcterms:W3CDTF">2015-01-13T13:44:46Z</dcterms:modified>
</cp:coreProperties>
</file>