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gem" sheetId="1" r:id="rId4"/>
    <sheet state="visible" name="Funções" sheetId="2" r:id="rId5"/>
    <sheet state="visible" name="Sumário" sheetId="3" r:id="rId6"/>
    <sheet state="visible" name="Sprint" sheetId="4" r:id="rId7"/>
  </sheets>
  <definedNames>
    <definedName name="CF">'Funções'!$K$8:$K$93</definedName>
    <definedName name="Data">Contagem!$X$7</definedName>
    <definedName name="Projeto">Contagem!$F$6</definedName>
    <definedName name="Responsável">Contagem!$F$7</definedName>
    <definedName name="Revisão">Contagem!$X$8</definedName>
    <definedName name="Revisor">Contagem!$F$8</definedName>
    <definedName name="UFPB">Contagem!$Y$12</definedName>
  </definedNames>
  <calcPr/>
  <extLst>
    <ext uri="GoogleSheetsCustomDataVersion1">
      <go:sheetsCustomData xmlns:go="http://customooxmlschemas.google.com/" r:id="rId8" roundtripDataSignature="AMtx7miUj6k27ljKEF020bfA9Ac36aQwF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6">
      <text>
        <t xml:space="preserve">======
ID#AAAADyFgPO8
    (2019-11-26 00:07:41)
O propósito de uma contagem de pontos de função, é fornecer uma resposta a um problema de negócios.
Este propósito :  
- Determina o tipo de contagem de pontos de função e o escopo da contagem necessária à obtenção da resposta da questão em análise;
- Influencia o posicionamento da fronteira entre o sistema em análise e seu ambiente.</t>
      </text>
    </comment>
  </commentList>
  <extLst>
    <ext uri="GoogleSheetsCustomDataVersion1">
      <go:sheetsCustomData xmlns:go="http://customooxmlschemas.google.com/" r:id="rId1" roundtripDataSignature="AMtx7miRdc86Yn0HrigDzcVt4veOPXD2f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7">
      <text>
        <t xml:space="preserve">======
ID#AAAADyFgPPo
Tipo de Função    (2019-11-26 00:07:41)
ALI, AIE, EE, SE, CE</t>
      </text>
    </comment>
    <comment authorId="0" ref="J7">
      <text>
        <t xml:space="preserve">======
ID#AAAADyFgPPY
    (2019-11-26 00:07:41)
Arquivos Referenciados/ Tipos de Registro</t>
      </text>
    </comment>
    <comment authorId="0" ref="I7">
      <text>
        <t xml:space="preserve">======
ID#AAAADyFgPPQ
    (2019-11-26 00:07:41)
Tipos de Dados (DETs)</t>
      </text>
    </comment>
    <comment authorId="0" ref="A7">
      <text>
        <t xml:space="preserve">======
ID#AAAADyFgPPI
    (2019-11-26 00:07:41)
O processo é a menor unidade de atividade significativa para o usuário?
É auto-contido e deixa o negócio da aplicação em um estado consistente?</t>
      </text>
    </comment>
    <comment authorId="0" ref="H7">
      <text>
        <t xml:space="preserve">======
ID#AAAADyFgPPA
Tipo de Manutenção na função    (2019-11-26 00:07:41)
I -Inclusão  A - Alteração  E - Exclusão</t>
      </text>
    </comment>
  </commentList>
  <extLst>
    <ext uri="GoogleSheetsCustomDataVersion1">
      <go:sheetsCustomData xmlns:go="http://customooxmlschemas.google.com/" r:id="rId1" roundtripDataSignature="AMtx7mgVwoPV7Z9uliai6HZbtI5BvWwUX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======
ID#AAAADyFgPPg
    (2019-11-26 00:07:41)
Consulta Externa</t>
      </text>
    </comment>
    <comment authorId="0" ref="B10">
      <text>
        <t xml:space="preserve">======
ID#AAAADyFgPPk
    (2019-11-26 00:07:41)
Entrada Externa</t>
      </text>
    </comment>
    <comment authorId="0" ref="B38">
      <text>
        <t xml:space="preserve">======
ID#AAAADyFgPPc
    (2019-11-26 00:07:41)
Arquivo de Interface Externa</t>
      </text>
    </comment>
    <comment authorId="0" ref="B46">
      <text>
        <t xml:space="preserve">======
ID#AAAADyFgPPU
    (2019-11-26 00:07:41)
Técnica de estimativa do tamanho desenvolvida pela NESMA. Assume que os arquivos lógicos são de complexidade baixa e as transações são de complexidade média.</t>
      </text>
    </comment>
    <comment authorId="0" ref="B17">
      <text>
        <t xml:space="preserve">======
ID#AAAADyFgPPM
    (2019-11-26 00:07:41)
Saída Externa</t>
      </text>
    </comment>
    <comment authorId="0" ref="B47">
      <text>
        <t xml:space="preserve">======
ID#AAAADyFgPPE
    (2019-11-26 00:07:41)
Técnica de estimativa do tamanho desenvolvida pela NESMA. Basie-se apenas nos arquivos lógicos. Assume que cada ALI tem um peso de 35 PF e cada AIE um peso de 15 PF</t>
      </text>
    </comment>
    <comment authorId="0" ref="B31">
      <text>
        <t xml:space="preserve">======
ID#AAAADyFgPO4
    (2019-11-26 00:07:41)
Arquivo Lógico Interno</t>
      </text>
    </comment>
  </commentList>
  <extLst>
    <ext uri="GoogleSheetsCustomDataVersion1">
      <go:sheetsCustomData xmlns:go="http://customooxmlschemas.google.com/" r:id="rId1" roundtripDataSignature="AMtx7mjwIcAINRPXitt1hsxrwH9Nx4Vylg=="/>
    </ext>
  </extLst>
</comments>
</file>

<file path=xl/sharedStrings.xml><?xml version="1.0" encoding="utf-8"?>
<sst xmlns="http://schemas.openxmlformats.org/spreadsheetml/2006/main" count="280" uniqueCount="149">
  <si>
    <t>Identificação da Contagem</t>
  </si>
  <si>
    <t>Sumário da Contagem</t>
  </si>
  <si>
    <t xml:space="preserve"> Planilha de contagem de ponto de função - Versão 2.0</t>
  </si>
  <si>
    <t>Empresa</t>
  </si>
  <si>
    <t>Desafio Hackathon</t>
  </si>
  <si>
    <t>R$/PF</t>
  </si>
  <si>
    <t>Custo</t>
  </si>
  <si>
    <t>Tipo de Função</t>
  </si>
  <si>
    <t>Complexidade Funcional</t>
  </si>
  <si>
    <t>Aplicação</t>
  </si>
  <si>
    <t>Gerenciamento</t>
  </si>
  <si>
    <t>Total por Complexidade</t>
  </si>
  <si>
    <t>PF</t>
  </si>
  <si>
    <t xml:space="preserve">% </t>
  </si>
  <si>
    <t>Projeto</t>
  </si>
  <si>
    <t>Academia</t>
  </si>
  <si>
    <t>Função</t>
  </si>
  <si>
    <t>Tipo</t>
  </si>
  <si>
    <t>Responsável</t>
  </si>
  <si>
    <t>(I/A/E)</t>
  </si>
  <si>
    <t>Handressa dos Santos</t>
  </si>
  <si>
    <t>TD</t>
  </si>
  <si>
    <t>Criação</t>
  </si>
  <si>
    <t>AR/TR</t>
  </si>
  <si>
    <t>ctl</t>
  </si>
  <si>
    <t>C</t>
  </si>
  <si>
    <t>Complex.</t>
  </si>
  <si>
    <t>PF Local</t>
  </si>
  <si>
    <t>Tempo de esforço</t>
  </si>
  <si>
    <t>Revisor</t>
  </si>
  <si>
    <t>Perfil de acesso</t>
  </si>
  <si>
    <t>Observações</t>
  </si>
  <si>
    <t>EE</t>
  </si>
  <si>
    <t>Revisão</t>
  </si>
  <si>
    <t>Baixa</t>
  </si>
  <si>
    <t>Funcionario</t>
  </si>
  <si>
    <t>x 3</t>
  </si>
  <si>
    <t>Veja aqui orientações para preenchimento da planilha</t>
  </si>
  <si>
    <t>ALI</t>
  </si>
  <si>
    <t>Média</t>
  </si>
  <si>
    <t>x 4</t>
  </si>
  <si>
    <t>I</t>
  </si>
  <si>
    <t>Alta</t>
  </si>
  <si>
    <t>x 6</t>
  </si>
  <si>
    <t>Total</t>
  </si>
  <si>
    <t>Tipo de contagem</t>
  </si>
  <si>
    <t>Estimativa</t>
  </si>
  <si>
    <t>Sumário</t>
  </si>
  <si>
    <t>Tamanho Funcional (PF)</t>
  </si>
  <si>
    <t>Deflator</t>
  </si>
  <si>
    <t>SE</t>
  </si>
  <si>
    <t>Projeto de Desenvolvimento</t>
  </si>
  <si>
    <t>x 5</t>
  </si>
  <si>
    <t>ADD</t>
  </si>
  <si>
    <t>x 7</t>
  </si>
  <si>
    <t>Projeto de Melhoria</t>
  </si>
  <si>
    <t>CHG</t>
  </si>
  <si>
    <t>Aluno</t>
  </si>
  <si>
    <t>CE</t>
  </si>
  <si>
    <t>Aplicação ( Baseline )</t>
  </si>
  <si>
    <t>DEL</t>
  </si>
  <si>
    <t>Agenda de treinos</t>
  </si>
  <si>
    <t>AIE</t>
  </si>
  <si>
    <t>x 10</t>
  </si>
  <si>
    <t>x 15</t>
  </si>
  <si>
    <t>Agenda de exames</t>
  </si>
  <si>
    <t>Propósito da Contagem</t>
  </si>
  <si>
    <t xml:space="preserve">Como o projeto demanda acessibilidade, desenvolvimento de novas funcionalidades, integracao com outros sistemas o escopo se tornou relativamente grande.
Dado isto o um metódo de estimativa foi necessario, como o metódo por pontos fornece uma avaliação precisa e rápida ele foi escolido para ser utilizado neste projeto.
</t>
  </si>
  <si>
    <t>Atividade</t>
  </si>
  <si>
    <t>atividades extras</t>
  </si>
  <si>
    <t>Total PF (contagem detalhada)</t>
  </si>
  <si>
    <t>Total PF (contagem estimativa)</t>
  </si>
  <si>
    <t>chat</t>
  </si>
  <si>
    <t>Total PF (contagem indicativa)</t>
  </si>
  <si>
    <t>feedbacks</t>
  </si>
  <si>
    <t>Total de PF Local</t>
  </si>
  <si>
    <t>Riscos do projeto</t>
  </si>
  <si>
    <t>DFL</t>
  </si>
  <si>
    <t>PF LOCAL</t>
  </si>
  <si>
    <t>exame</t>
  </si>
  <si>
    <t>INCLUSÃO (ADD)</t>
  </si>
  <si>
    <t>Foi levandado para este projeto como risco de moires niveis a integracao com outro sistema, visto que exige um estudo sobre o sistema financeito, a acessibilidade que exige a utilização de ferramentas para ser impletentada e a seguranca de dados que exige um maior nivel de validações seguranca na impletação.</t>
  </si>
  <si>
    <t>integracao sistema financeiro</t>
  </si>
  <si>
    <t>TOTAL</t>
  </si>
  <si>
    <t>ALTERAÇÃO (CHG)</t>
  </si>
  <si>
    <t>EXCLUSÃO (DEL)</t>
  </si>
  <si>
    <t>Listar funcionarios</t>
  </si>
  <si>
    <t>TESTE (TST)</t>
  </si>
  <si>
    <t>As estimativas de horas já contabiliza o tempo estimado para a acessibilidade.
Levando em consideração somente 1 funcionario e sprint com duas semanas de duração.</t>
  </si>
  <si>
    <t>Administrador</t>
  </si>
  <si>
    <t>Cadastrar funcionário</t>
  </si>
  <si>
    <t>Os funcionarios devem ser niveis de acesso de acordo com cada papel na empresa (Professor/Medico/Administrador)</t>
  </si>
  <si>
    <t>Alterar funcionario</t>
  </si>
  <si>
    <t>Desativar funcionario</t>
  </si>
  <si>
    <t>Reativar funcionario</t>
  </si>
  <si>
    <t>Importar alunos</t>
  </si>
  <si>
    <t>Cadastrar aluno</t>
  </si>
  <si>
    <t>Secretario/Professor</t>
  </si>
  <si>
    <t>Pesquisar aluno</t>
  </si>
  <si>
    <t>Alterar dados do aluno</t>
  </si>
  <si>
    <t>Desativar aluno</t>
  </si>
  <si>
    <t>Reativar aluno</t>
  </si>
  <si>
    <t>Cadastar atividade</t>
  </si>
  <si>
    <t>Funcionalidade</t>
  </si>
  <si>
    <t>Professor</t>
  </si>
  <si>
    <t>Atividade pode ser individual/grupo</t>
  </si>
  <si>
    <t>Sprint</t>
  </si>
  <si>
    <t>Gerar extrato de atividades diaria</t>
  </si>
  <si>
    <t>Ao gerar o extrato deve ser gravado a presença do aluno e deve ser feito somente no terminal fixo com autenticacao (login)</t>
  </si>
  <si>
    <t>Consultar agenda de atividades</t>
  </si>
  <si>
    <t xml:space="preserve">Modulo de registro de funcionarios </t>
  </si>
  <si>
    <t>Sprint 1</t>
  </si>
  <si>
    <t>Importacao de Alunos</t>
  </si>
  <si>
    <t>Professor/Aluno</t>
  </si>
  <si>
    <t>Modulo de alunos</t>
  </si>
  <si>
    <t>Sprint 2</t>
  </si>
  <si>
    <t>Cadastro de atividades</t>
  </si>
  <si>
    <t>Relatório e gráficos de evolução</t>
  </si>
  <si>
    <t>Sprint 3</t>
  </si>
  <si>
    <t>Modulo de feedbacks</t>
  </si>
  <si>
    <t>Sprint 4</t>
  </si>
  <si>
    <t>Consulta de agenda de exames</t>
  </si>
  <si>
    <t>Sprint 5</t>
  </si>
  <si>
    <t>Gerar relatorio e gráficos de evolucao do treino</t>
  </si>
  <si>
    <t>Agendamento de exames</t>
  </si>
  <si>
    <t>Exame</t>
  </si>
  <si>
    <t>Sprint 6</t>
  </si>
  <si>
    <t>Historico de exames</t>
  </si>
  <si>
    <t>Consulta de pagamento</t>
  </si>
  <si>
    <t>Compra de atividade extra</t>
  </si>
  <si>
    <t>Sprint 7</t>
  </si>
  <si>
    <t>Relatórios administrativos</t>
  </si>
  <si>
    <t>Chat</t>
  </si>
  <si>
    <t>Sprint 8</t>
  </si>
  <si>
    <t>Cadastrar feedback de treinamento</t>
  </si>
  <si>
    <t>consultar feedback</t>
  </si>
  <si>
    <t>Consultar agenda de exames</t>
  </si>
  <si>
    <t>Aluno/Médico</t>
  </si>
  <si>
    <t>Agendar exame medico</t>
  </si>
  <si>
    <t>Cadastrar dados do exame</t>
  </si>
  <si>
    <t>Médico</t>
  </si>
  <si>
    <t>Consultar historico de exames</t>
  </si>
  <si>
    <t>Consultar pagamentos</t>
  </si>
  <si>
    <t>Integrar com sistema financeiro para consulta de pagamentos</t>
  </si>
  <si>
    <t>Cadastar compra de atividade extra</t>
  </si>
  <si>
    <t>Integrar com sistema finaceiro para cadastar compra de atividade extra</t>
  </si>
  <si>
    <t>Gerar relatorios de atividades extras cadastradas</t>
  </si>
  <si>
    <t>Gerar e exportar graficos de evolucao por professor</t>
  </si>
  <si>
    <t>Gerar relatorios de matriculas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</si>
</sst>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R$&quot;* #,##0.00_);_(&quot;R$&quot;* \(#,##0.00\);_(&quot;R$&quot;* \-??_);_(@_)"/>
    <numFmt numFmtId="165" formatCode="_(* #,##0.00_);_(* \(#,##0.00\);_(* \-??_);_(@_)"/>
    <numFmt numFmtId="166" formatCode="0.0%"/>
  </numFmts>
  <fonts count="19">
    <font>
      <sz val="10.0"/>
      <color rgb="FF000000"/>
      <name val="Arial"/>
    </font>
    <font>
      <b/>
      <sz val="10.0"/>
      <color theme="1"/>
      <name val="Source Sans Pro"/>
    </font>
    <font/>
    <font>
      <sz val="10.0"/>
      <color theme="1"/>
      <name val="Source Sans Pro"/>
    </font>
    <font>
      <sz val="9.0"/>
      <color theme="1"/>
      <name val="Source Sans Pro"/>
    </font>
    <font>
      <sz val="9.0"/>
      <color rgb="FF0000D4"/>
      <name val="Source Sans Pro"/>
    </font>
    <font>
      <sz val="9.0"/>
      <color rgb="FFFFFFFF"/>
      <name val="Source Sans Pro"/>
    </font>
    <font>
      <sz val="10.0"/>
      <color rgb="FFFFFFFF"/>
      <name val="Source Sans Pro"/>
    </font>
    <font>
      <sz val="8.0"/>
      <color theme="1"/>
      <name val="Source Sans Pro"/>
    </font>
    <font>
      <u/>
      <sz val="10.0"/>
      <color rgb="FF0000FF"/>
      <name val="Arial"/>
    </font>
    <font>
      <sz val="8.0"/>
      <name val="Source Sans Pro"/>
    </font>
    <font>
      <b/>
      <sz val="9.0"/>
      <color theme="1"/>
      <name val="Source Sans Pro"/>
    </font>
    <font>
      <b/>
      <sz val="9.0"/>
      <color rgb="FF0000D4"/>
      <name val="Source Sans Pro"/>
    </font>
    <font>
      <sz val="10.0"/>
      <color rgb="FF0000D4"/>
      <name val="Source Sans Pro"/>
    </font>
    <font>
      <b/>
      <sz val="12.0"/>
      <color theme="1"/>
      <name val="Source Sans Pro"/>
    </font>
    <font>
      <sz val="10.0"/>
      <name val="Source Sans Pro"/>
    </font>
    <font>
      <sz val="9.0"/>
      <name val="Source Sans Pro"/>
    </font>
    <font>
      <color theme="1"/>
      <name val="Calibri"/>
    </font>
    <font>
      <sz val="10.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CF305"/>
        <bgColor rgb="FFFCF305"/>
      </patternFill>
    </fill>
    <fill>
      <patternFill patternType="solid">
        <fgColor rgb="FF808080"/>
        <bgColor rgb="FF80808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99"/>
        <bgColor rgb="FFFFFF99"/>
      </patternFill>
    </fill>
    <fill>
      <patternFill patternType="solid">
        <fgColor rgb="FF00ABEA"/>
        <bgColor rgb="FF00ABEA"/>
      </patternFill>
    </fill>
    <fill>
      <patternFill patternType="solid">
        <fgColor rgb="FF993366"/>
        <bgColor rgb="FF993366"/>
      </patternFill>
    </fill>
  </fills>
  <borders count="49">
    <border/>
    <border>
      <left style="thin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/>
      <top style="thin">
        <color rgb="FF000000"/>
      </top>
    </border>
    <border>
      <left/>
      <right/>
      <top style="thin">
        <color rgb="FF000000"/>
      </top>
    </border>
    <border>
      <right style="hair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4" fillId="0" fontId="2" numFmtId="0" xfId="0" applyBorder="1" applyFont="1"/>
    <xf borderId="0" fillId="0" fontId="3" numFmtId="0" xfId="0" applyAlignment="1" applyFont="1">
      <alignment shrinkToFit="0" vertical="bottom" wrapText="0"/>
    </xf>
    <xf borderId="5" fillId="0" fontId="2" numFmtId="0" xfId="0" applyBorder="1" applyFont="1"/>
    <xf borderId="6" fillId="0" fontId="2" numFmtId="0" xfId="0" applyBorder="1" applyFont="1"/>
    <xf borderId="2" fillId="0" fontId="2" numFmtId="0" xfId="0" applyBorder="1" applyFont="1"/>
    <xf borderId="0" fillId="0" fontId="4" numFmtId="0" xfId="0" applyAlignment="1" applyFont="1">
      <alignment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3" numFmtId="0" xfId="0" applyAlignment="1" applyBorder="1" applyFill="1" applyFont="1">
      <alignment horizontal="left" shrinkToFit="0" vertical="center" wrapText="0"/>
    </xf>
    <xf borderId="13" fillId="0" fontId="2" numFmtId="0" xfId="0" applyBorder="1" applyFont="1"/>
    <xf borderId="14" fillId="0" fontId="2" numFmtId="0" xfId="0" applyBorder="1" applyFont="1"/>
    <xf borderId="12" fillId="2" fontId="4" numFmtId="0" xfId="0" applyAlignment="1" applyBorder="1" applyFont="1">
      <alignment horizontal="left" shrinkToFit="0" vertical="center" wrapText="0"/>
    </xf>
    <xf borderId="15" fillId="0" fontId="2" numFmtId="0" xfId="0" applyBorder="1" applyFont="1"/>
    <xf borderId="16" fillId="2" fontId="3" numFmtId="0" xfId="0" applyAlignment="1" applyBorder="1" applyFont="1">
      <alignment horizontal="left" shrinkToFit="0" vertical="center" wrapText="0"/>
    </xf>
    <xf borderId="16" fillId="2" fontId="4" numFmtId="0" xfId="0" applyAlignment="1" applyBorder="1" applyFont="1">
      <alignment horizontal="left" shrinkToFit="0" vertical="center" wrapText="0"/>
    </xf>
    <xf borderId="17" fillId="0" fontId="2" numFmtId="0" xfId="0" applyBorder="1" applyFont="1"/>
    <xf borderId="18" fillId="0" fontId="2" numFmtId="0" xfId="0" applyBorder="1" applyFont="1"/>
    <xf borderId="12" fillId="2" fontId="3" numFmtId="0" xfId="0" applyAlignment="1" applyBorder="1" applyFont="1">
      <alignment shrinkToFit="0" vertical="center" wrapText="0"/>
    </xf>
    <xf borderId="19" fillId="0" fontId="2" numFmtId="0" xfId="0" applyBorder="1" applyFont="1"/>
    <xf borderId="0" fillId="0" fontId="3" numFmtId="0" xfId="0" applyAlignment="1" applyFont="1">
      <alignment shrinkToFit="0" vertical="center" wrapText="0"/>
    </xf>
    <xf borderId="20" fillId="0" fontId="2" numFmtId="0" xfId="0" applyBorder="1" applyFont="1"/>
    <xf borderId="21" fillId="2" fontId="4" numFmtId="0" xfId="0" applyAlignment="1" applyBorder="1" applyFont="1">
      <alignment shrinkToFit="0" vertical="center" wrapText="0"/>
    </xf>
    <xf borderId="16" fillId="0" fontId="5" numFmtId="0" xfId="0" applyAlignment="1" applyBorder="1" applyFont="1">
      <alignment horizontal="left" shrinkToFit="0" vertical="center" wrapText="0"/>
    </xf>
    <xf borderId="22" fillId="2" fontId="4" numFmtId="0" xfId="0" applyAlignment="1" applyBorder="1" applyFont="1">
      <alignment shrinkToFit="0" vertical="center" wrapText="0"/>
    </xf>
    <xf borderId="16" fillId="0" fontId="4" numFmtId="0" xfId="0" applyAlignment="1" applyBorder="1" applyFont="1">
      <alignment horizontal="left" readingOrder="0" shrinkToFit="0" vertical="bottom" wrapText="0"/>
    </xf>
    <xf borderId="23" fillId="2" fontId="4" numFmtId="0" xfId="0" applyAlignment="1" applyBorder="1" applyFont="1">
      <alignment shrinkToFit="0" vertical="bottom" wrapText="0"/>
    </xf>
    <xf borderId="24" fillId="2" fontId="3" numFmtId="0" xfId="0" applyAlignment="1" applyBorder="1" applyFont="1">
      <alignment horizontal="center" shrinkToFit="0" vertical="center" wrapText="0"/>
    </xf>
    <xf borderId="16" fillId="0" fontId="5" numFmtId="0" xfId="0" applyAlignment="1" applyBorder="1" applyFont="1">
      <alignment horizontal="center" shrinkToFit="0" vertical="bottom" wrapText="0"/>
    </xf>
    <xf borderId="16" fillId="2" fontId="4" numFmtId="0" xfId="0" applyAlignment="1" applyBorder="1" applyFont="1">
      <alignment horizontal="center" shrinkToFit="0" vertical="center" wrapText="0"/>
    </xf>
    <xf borderId="25" fillId="0" fontId="4" numFmtId="2" xfId="0" applyAlignment="1" applyBorder="1" applyFont="1" applyNumberFormat="1">
      <alignment horizontal="right" shrinkToFit="0" vertical="bottom" wrapText="0"/>
    </xf>
    <xf borderId="26" fillId="0" fontId="2" numFmtId="0" xfId="0" applyBorder="1" applyFont="1"/>
    <xf borderId="16" fillId="3" fontId="4" numFmtId="0" xfId="0" applyAlignment="1" applyBorder="1" applyFill="1" applyFont="1">
      <alignment horizontal="center" shrinkToFit="0" vertical="center" wrapText="0"/>
    </xf>
    <xf borderId="27" fillId="0" fontId="2" numFmtId="0" xfId="0" applyBorder="1" applyFont="1"/>
    <xf borderId="28" fillId="4" fontId="6" numFmtId="0" xfId="0" applyAlignment="1" applyBorder="1" applyFill="1" applyFont="1">
      <alignment horizontal="center" shrinkToFit="0" vertical="center" wrapText="1"/>
    </xf>
    <xf borderId="16" fillId="2" fontId="4" numFmtId="164" xfId="0" applyAlignment="1" applyBorder="1" applyFont="1" applyNumberFormat="1">
      <alignment horizontal="right" shrinkToFit="0" vertical="bottom" wrapText="0"/>
    </xf>
    <xf borderId="29" fillId="4" fontId="6" numFmtId="0" xfId="0" applyAlignment="1" applyBorder="1" applyFont="1">
      <alignment horizontal="center" shrinkToFit="0" vertical="center" wrapText="0"/>
    </xf>
    <xf borderId="16" fillId="0" fontId="4" numFmtId="0" xfId="0" applyAlignment="1" applyBorder="1" applyFont="1">
      <alignment shrinkToFit="0" vertical="bottom" wrapText="0"/>
    </xf>
    <xf borderId="30" fillId="4" fontId="6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29" fillId="4" fontId="6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16" fillId="2" fontId="4" numFmtId="165" xfId="0" applyAlignment="1" applyBorder="1" applyFont="1" applyNumberFormat="1">
      <alignment shrinkToFit="0" vertical="bottom" wrapText="0"/>
    </xf>
    <xf borderId="33" fillId="0" fontId="2" numFmtId="0" xfId="0" applyBorder="1" applyFont="1"/>
    <xf borderId="0" fillId="0" fontId="3" numFmtId="0" xfId="0" applyAlignment="1" applyFont="1">
      <alignment horizontal="center" shrinkToFit="0" vertical="center" wrapText="0"/>
    </xf>
    <xf borderId="34" fillId="0" fontId="2" numFmtId="0" xfId="0" applyBorder="1" applyFont="1"/>
    <xf borderId="0" fillId="0" fontId="3" numFmtId="0" xfId="0" applyAlignment="1" applyFont="1">
      <alignment horizontal="left" shrinkToFit="0" vertical="center" wrapText="0"/>
    </xf>
    <xf borderId="16" fillId="0" fontId="4" numFmtId="0" xfId="0" applyAlignment="1" applyBorder="1" applyFont="1">
      <alignment readingOrder="0" shrinkToFit="0" vertical="bottom" wrapText="0"/>
    </xf>
    <xf borderId="12" fillId="4" fontId="7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shrinkToFit="0" vertical="bottom" wrapText="0"/>
    </xf>
    <xf borderId="25" fillId="4" fontId="7" numFmtId="0" xfId="0" applyAlignment="1" applyBorder="1" applyFont="1">
      <alignment horizontal="center" shrinkToFit="0" vertical="center" wrapText="0"/>
    </xf>
    <xf borderId="6" fillId="0" fontId="4" numFmtId="0" xfId="0" applyAlignment="1" applyBorder="1" applyFont="1">
      <alignment shrinkToFit="0" vertical="bottom" wrapText="0"/>
    </xf>
    <xf borderId="35" fillId="4" fontId="7" numFmtId="0" xfId="0" applyAlignment="1" applyBorder="1" applyFont="1">
      <alignment horizontal="center" shrinkToFit="0" vertical="center" wrapText="0"/>
    </xf>
    <xf borderId="32" fillId="0" fontId="4" numFmtId="0" xfId="0" applyAlignment="1" applyBorder="1" applyFont="1">
      <alignment shrinkToFit="0" vertical="bottom" wrapText="0"/>
    </xf>
    <xf borderId="25" fillId="4" fontId="7" numFmtId="0" xfId="0" applyAlignment="1" applyBorder="1" applyFont="1">
      <alignment horizontal="center" shrinkToFit="0" vertical="bottom" wrapText="0"/>
    </xf>
    <xf borderId="16" fillId="0" fontId="5" numFmtId="0" xfId="0" applyAlignment="1" applyBorder="1" applyFont="1">
      <alignment horizontal="right" shrinkToFit="0" vertical="bottom" wrapText="0"/>
    </xf>
    <xf borderId="36" fillId="4" fontId="7" numFmtId="0" xfId="0" applyAlignment="1" applyBorder="1" applyFont="1">
      <alignment horizontal="center" shrinkToFit="0" vertical="bottom" wrapText="0"/>
    </xf>
    <xf borderId="16" fillId="0" fontId="4" numFmtId="14" xfId="0" applyAlignment="1" applyBorder="1" applyFont="1" applyNumberFormat="1">
      <alignment horizontal="right" shrinkToFit="0" vertical="bottom" wrapText="0"/>
    </xf>
    <xf borderId="13" fillId="4" fontId="7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7" fillId="4" fontId="7" numFmtId="0" xfId="0" applyAlignment="1" applyBorder="1" applyFont="1">
      <alignment horizontal="center" shrinkToFit="0" vertical="bottom" wrapText="0"/>
    </xf>
    <xf borderId="38" fillId="0" fontId="2" numFmtId="0" xfId="0" applyBorder="1" applyFont="1"/>
    <xf borderId="10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center" wrapText="0"/>
    </xf>
    <xf borderId="39" fillId="0" fontId="8" numFmtId="0" xfId="0" applyAlignment="1" applyBorder="1" applyFont="1">
      <alignment horizontal="left" shrinkToFit="0" vertical="center" wrapText="0"/>
    </xf>
    <xf borderId="0" fillId="0" fontId="4" numFmtId="166" xfId="0" applyAlignment="1" applyFont="1" applyNumberFormat="1">
      <alignment shrinkToFit="0" vertical="bottom" wrapText="0"/>
    </xf>
    <xf borderId="40" fillId="0" fontId="8" numFmtId="0" xfId="0" applyAlignment="1" applyBorder="1" applyFont="1">
      <alignment horizontal="left" shrinkToFit="0" vertical="center" wrapText="0"/>
    </xf>
    <xf borderId="7" fillId="0" fontId="4" numFmtId="0" xfId="0" applyAlignment="1" applyBorder="1" applyFont="1">
      <alignment shrinkToFit="0" vertical="bottom" wrapText="0"/>
    </xf>
    <xf borderId="41" fillId="0" fontId="8" numFmtId="0" xfId="0" applyAlignment="1" applyBorder="1" applyFont="1">
      <alignment horizontal="left" shrinkToFit="0" vertical="center" wrapText="0"/>
    </xf>
    <xf borderId="42" fillId="0" fontId="8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42" fillId="0" fontId="10" numFmtId="0" xfId="0" applyAlignment="1" applyBorder="1" applyFont="1">
      <alignment horizontal="center" readingOrder="0" shrinkToFit="0" vertical="bottom" wrapText="0"/>
    </xf>
    <xf borderId="7" fillId="0" fontId="4" numFmtId="10" xfId="0" applyAlignment="1" applyBorder="1" applyFont="1" applyNumberFormat="1">
      <alignment shrinkToFit="0" vertical="bottom" wrapText="0"/>
    </xf>
    <xf borderId="0" fillId="0" fontId="11" numFmtId="0" xfId="0" applyAlignment="1" applyFont="1">
      <alignment shrinkToFit="0" vertical="bottom" wrapText="0"/>
    </xf>
    <xf borderId="1" fillId="0" fontId="12" numFmtId="0" xfId="0" applyAlignment="1" applyBorder="1" applyFont="1">
      <alignment horizontal="center" shrinkToFit="0" textRotation="90" vertical="center" wrapText="1"/>
    </xf>
    <xf borderId="23" fillId="5" fontId="4" numFmtId="166" xfId="0" applyAlignment="1" applyBorder="1" applyFill="1" applyFont="1" applyNumberForma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0" fillId="0" fontId="4" numFmtId="9" xfId="0" applyAlignment="1" applyFont="1" applyNumberForma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25" fillId="0" fontId="11" numFmtId="0" xfId="0" applyAlignment="1" applyBorder="1" applyFont="1">
      <alignment horizontal="center" shrinkToFit="0" vertical="bottom" wrapText="0"/>
    </xf>
    <xf borderId="43" fillId="0" fontId="8" numFmtId="0" xfId="0" applyAlignment="1" applyBorder="1" applyFont="1">
      <alignment horizontal="center" shrinkToFit="0" vertical="bottom" wrapText="1"/>
    </xf>
    <xf borderId="11" fillId="0" fontId="4" numFmtId="0" xfId="0" applyAlignment="1" applyBorder="1" applyFont="1">
      <alignment shrinkToFit="0" vertical="bottom" wrapText="0"/>
    </xf>
    <xf borderId="42" fillId="2" fontId="8" numFmtId="0" xfId="0" applyAlignment="1" applyBorder="1" applyFont="1">
      <alignment horizontal="center" shrinkToFit="0" vertical="bottom" wrapText="1"/>
    </xf>
    <xf borderId="0" fillId="0" fontId="13" numFmtId="0" xfId="0" applyAlignment="1" applyFont="1">
      <alignment horizontal="center" shrinkToFit="0" vertical="bottom" wrapText="0"/>
    </xf>
    <xf borderId="42" fillId="2" fontId="8" numFmtId="0" xfId="0" applyAlignment="1" applyBorder="1" applyFont="1">
      <alignment horizontal="center" shrinkToFit="0" vertical="bottom" wrapText="0"/>
    </xf>
    <xf borderId="16" fillId="0" fontId="4" numFmtId="2" xfId="0" applyAlignment="1" applyBorder="1" applyFont="1" applyNumberFormat="1">
      <alignment horizontal="center" shrinkToFit="0" vertical="bottom" wrapText="0"/>
    </xf>
    <xf borderId="42" fillId="2" fontId="8" numFmtId="4" xfId="0" applyAlignment="1" applyBorder="1" applyFont="1" applyNumberFormat="1">
      <alignment horizontal="center" shrinkToFit="0" vertical="bottom" wrapText="0"/>
    </xf>
    <xf borderId="23" fillId="6" fontId="4" numFmtId="166" xfId="0" applyAlignment="1" applyBorder="1" applyFill="1" applyFont="1" applyNumberFormat="1">
      <alignment shrinkToFit="0" vertical="bottom" wrapText="0"/>
    </xf>
    <xf borderId="0" fillId="0" fontId="8" numFmtId="0" xfId="0" applyAlignment="1" applyFont="1">
      <alignment shrinkToFit="0" vertical="bottom" wrapText="0"/>
    </xf>
    <xf borderId="39" fillId="0" fontId="10" numFmtId="0" xfId="0" applyAlignment="1" applyBorder="1" applyFont="1">
      <alignment horizontal="left" readingOrder="0" shrinkToFit="0" vertical="center" wrapText="0"/>
    </xf>
    <xf borderId="23" fillId="7" fontId="4" numFmtId="166" xfId="0" applyAlignment="1" applyBorder="1" applyFill="1" applyFont="1" applyNumberFormat="1">
      <alignment shrinkToFit="0" vertical="bottom" wrapText="0"/>
    </xf>
    <xf borderId="42" fillId="0" fontId="10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horizontal="right" shrinkToFit="0" vertical="bottom" wrapText="0"/>
    </xf>
    <xf borderId="0" fillId="0" fontId="14" numFmtId="0" xfId="0" applyAlignment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center" wrapText="0"/>
    </xf>
    <xf borderId="23" fillId="8" fontId="4" numFmtId="166" xfId="0" applyAlignment="1" applyBorder="1" applyFill="1" applyFont="1" applyNumberFormat="1">
      <alignment shrinkToFit="0" vertical="bottom" wrapText="0"/>
    </xf>
    <xf borderId="1" fillId="0" fontId="3" numFmtId="0" xfId="0" applyAlignment="1" applyBorder="1" applyFont="1">
      <alignment horizontal="left" readingOrder="0" shrinkToFit="0" vertical="top" wrapText="1"/>
    </xf>
    <xf borderId="42" fillId="0" fontId="8" numFmtId="0" xfId="0" applyAlignment="1" applyBorder="1" applyFont="1">
      <alignment horizontal="center" readingOrder="0" shrinkToFit="0" vertical="bottom" wrapText="0"/>
    </xf>
    <xf borderId="42" fillId="2" fontId="10" numFmtId="0" xfId="0" applyAlignment="1" applyBorder="1" applyFont="1">
      <alignment horizontal="center" readingOrder="0" shrinkToFit="0" vertical="bottom" wrapText="1"/>
    </xf>
    <xf borderId="42" fillId="2" fontId="10" numFmtId="0" xfId="0" applyAlignment="1" applyBorder="1" applyFont="1">
      <alignment horizontal="center" readingOrder="0" shrinkToFit="0" vertical="bottom" wrapText="0"/>
    </xf>
    <xf borderId="23" fillId="9" fontId="4" numFmtId="166" xfId="0" applyAlignment="1" applyBorder="1" applyFill="1" applyFont="1" applyNumberFormat="1">
      <alignment shrinkToFit="0" vertical="bottom" wrapText="0"/>
    </xf>
    <xf borderId="10" fillId="0" fontId="1" numFmtId="0" xfId="0" applyAlignment="1" applyBorder="1" applyFont="1">
      <alignment horizontal="center" readingOrder="0" shrinkToFit="0" vertical="center" wrapText="0"/>
    </xf>
    <xf borderId="25" fillId="0" fontId="4" numFmtId="0" xfId="0" applyAlignment="1" applyBorder="1" applyFont="1">
      <alignment horizontal="center" shrinkToFit="0" vertical="bottom" wrapText="0"/>
    </xf>
    <xf borderId="16" fillId="0" fontId="4" numFmtId="0" xfId="0" applyAlignment="1" applyBorder="1" applyFont="1">
      <alignment horizontal="left" shrinkToFit="0" vertical="bottom" wrapText="0"/>
    </xf>
    <xf borderId="25" fillId="2" fontId="4" numFmtId="2" xfId="0" applyAlignment="1" applyBorder="1" applyFont="1" applyNumberFormat="1">
      <alignment horizontal="center" shrinkToFit="0" vertical="bottom" wrapText="0"/>
    </xf>
    <xf borderId="0" fillId="0" fontId="4" numFmtId="2" xfId="0" applyAlignment="1" applyFont="1" applyNumberFormat="1">
      <alignment shrinkToFit="0" vertical="bottom" wrapText="0"/>
    </xf>
    <xf borderId="25" fillId="0" fontId="4" numFmtId="2" xfId="0" applyAlignment="1" applyBorder="1" applyFont="1" applyNumberFormat="1">
      <alignment horizontal="center" shrinkToFit="0" vertical="bottom" wrapText="0"/>
    </xf>
    <xf borderId="39" fillId="0" fontId="10" numFmtId="0" xfId="0" applyAlignment="1" applyBorder="1" applyFont="1">
      <alignment horizontal="left" shrinkToFit="0" vertical="center" wrapText="0"/>
    </xf>
    <xf borderId="43" fillId="0" fontId="10" numFmtId="0" xfId="0" applyAlignment="1" applyBorder="1" applyFont="1">
      <alignment horizontal="center" shrinkToFit="0" vertical="bottom" wrapText="1"/>
    </xf>
    <xf borderId="42" fillId="2" fontId="10" numFmtId="0" xfId="0" applyAlignment="1" applyBorder="1" applyFont="1">
      <alignment horizontal="center" shrinkToFit="0" vertical="bottom" wrapText="1"/>
    </xf>
    <xf borderId="25" fillId="3" fontId="11" numFmtId="2" xfId="0" applyAlignment="1" applyBorder="1" applyFont="1" applyNumberFormat="1">
      <alignment shrinkToFit="0" vertical="bottom" wrapText="0"/>
    </xf>
    <xf borderId="42" fillId="2" fontId="10" numFmtId="0" xfId="0" applyAlignment="1" applyBorder="1" applyFont="1">
      <alignment horizontal="center" shrinkToFit="0" vertical="bottom" wrapText="0"/>
    </xf>
    <xf borderId="42" fillId="2" fontId="10" numFmtId="4" xfId="0" applyAlignment="1" applyBorder="1" applyFont="1" applyNumberFormat="1">
      <alignment horizontal="center" shrinkToFit="0" vertical="bottom" wrapText="0"/>
    </xf>
    <xf borderId="44" fillId="0" fontId="4" numFmtId="0" xfId="0" applyAlignment="1" applyBorder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45" fillId="0" fontId="11" numFmtId="0" xfId="0" applyAlignment="1" applyBorder="1" applyFont="1">
      <alignment horizontal="center" shrinkToFit="0" vertical="bottom" wrapText="0"/>
    </xf>
    <xf borderId="45" fillId="0" fontId="4" numFmtId="0" xfId="0" applyAlignment="1" applyBorder="1" applyFont="1">
      <alignment horizontal="center" shrinkToFit="0" vertical="bottom" wrapText="0"/>
    </xf>
    <xf borderId="45" fillId="0" fontId="4" numFmtId="0" xfId="0" applyAlignment="1" applyBorder="1" applyFont="1">
      <alignment shrinkToFit="0" vertical="bottom" wrapText="0"/>
    </xf>
    <xf borderId="45" fillId="0" fontId="4" numFmtId="2" xfId="0" applyAlignment="1" applyBorder="1" applyFont="1" applyNumberFormat="1">
      <alignment horizontal="center" shrinkToFit="0" vertical="bottom" wrapText="0"/>
    </xf>
    <xf borderId="45" fillId="0" fontId="4" numFmtId="2" xfId="0" applyAlignment="1" applyBorder="1" applyFont="1" applyNumberFormat="1">
      <alignment shrinkToFit="0" vertical="bottom" wrapText="0"/>
    </xf>
    <xf borderId="45" fillId="0" fontId="11" numFmtId="2" xfId="0" applyAlignment="1" applyBorder="1" applyFont="1" applyNumberFormat="1">
      <alignment shrinkToFit="0" vertical="bottom" wrapText="0"/>
    </xf>
    <xf borderId="46" fillId="0" fontId="4" numFmtId="0" xfId="0" applyAlignment="1" applyBorder="1" applyFont="1">
      <alignment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2" xfId="0" applyAlignment="1" applyFont="1" applyNumberFormat="1">
      <alignment horizontal="center" shrinkToFit="0" vertical="bottom" wrapText="0"/>
    </xf>
    <xf borderId="0" fillId="0" fontId="11" numFmtId="2" xfId="0" applyAlignment="1" applyFont="1" applyNumberFormat="1">
      <alignment shrinkToFit="0" vertical="bottom" wrapText="0"/>
    </xf>
    <xf borderId="40" fillId="0" fontId="10" numFmtId="0" xfId="0" applyAlignment="1" applyBorder="1" applyFont="1">
      <alignment horizontal="left" readingOrder="0" shrinkToFit="0" vertical="center" wrapText="0"/>
    </xf>
    <xf borderId="22" fillId="2" fontId="16" numFmtId="0" xfId="0" applyAlignment="1" applyBorder="1" applyFont="1">
      <alignment shrinkToFit="0" vertical="center" wrapText="0"/>
    </xf>
    <xf borderId="47" fillId="2" fontId="16" numFmtId="0" xfId="0" applyAlignment="1" applyBorder="1" applyFont="1">
      <alignment shrinkToFit="0" vertical="bottom" wrapText="0"/>
    </xf>
    <xf borderId="14" fillId="2" fontId="4" numFmtId="0" xfId="0" applyAlignment="1" applyBorder="1" applyFont="1">
      <alignment horizontal="center" shrinkToFit="0" vertical="center" wrapText="0"/>
    </xf>
    <xf borderId="28" fillId="4" fontId="6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readingOrder="0" shrinkToFit="0" vertical="center" wrapText="0"/>
    </xf>
    <xf borderId="6" fillId="4" fontId="6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center" readingOrder="0" vertical="center"/>
    </xf>
    <xf borderId="40" fillId="0" fontId="8" numFmtId="0" xfId="0" applyAlignment="1" applyBorder="1" applyFont="1">
      <alignment horizontal="left" readingOrder="0" shrinkToFit="0" vertical="center" wrapText="0"/>
    </xf>
    <xf borderId="0" fillId="0" fontId="10" numFmtId="0" xfId="0" applyAlignment="1" applyFont="1">
      <alignment readingOrder="0" shrinkToFit="0" vertical="bottom" wrapText="0"/>
    </xf>
    <xf borderId="40" fillId="0" fontId="10" numFmtId="0" xfId="0" applyAlignment="1" applyBorder="1" applyFont="1">
      <alignment horizontal="left" shrinkToFit="0" vertical="center" wrapText="0"/>
    </xf>
    <xf borderId="40" fillId="0" fontId="10" numFmtId="0" xfId="0" applyAlignment="1" applyBorder="1" applyFont="1">
      <alignment readingOrder="0" shrinkToFit="0" vertical="bottom" wrapText="0"/>
    </xf>
    <xf borderId="48" fillId="0" fontId="10" numFmtId="0" xfId="0" applyAlignment="1" applyBorder="1" applyFont="1">
      <alignment horizontal="left" shrinkToFit="0" vertical="center" wrapText="0"/>
    </xf>
    <xf borderId="0" fillId="0" fontId="10" numFmtId="0" xfId="0" applyAlignment="1" applyFont="1">
      <alignment readingOrder="0"/>
    </xf>
    <xf borderId="0" fillId="0" fontId="18" numFmtId="0" xfId="0" applyAlignment="1" applyFont="1">
      <alignment shrinkToFit="0" vertical="bottom" wrapText="0"/>
    </xf>
    <xf borderId="40" fillId="0" fontId="18" numFmtId="0" xfId="0" applyAlignment="1" applyBorder="1" applyFont="1">
      <alignment shrinkToFit="0" vertical="bottom" wrapText="0"/>
    </xf>
    <xf borderId="48" fillId="0" fontId="8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3">
    <dxf>
      <font>
        <color rgb="FF006411"/>
      </font>
      <fill>
        <patternFill patternType="solid">
          <fgColor rgb="FFCCFFFF"/>
          <bgColor rgb="FFCCFFFF"/>
        </patternFill>
      </fill>
      <border/>
    </dxf>
    <dxf>
      <font>
        <color rgb="FFFF6600"/>
      </font>
      <fill>
        <patternFill patternType="solid">
          <fgColor rgb="FFFFFF99"/>
          <bgColor rgb="FFFFFF99"/>
        </patternFill>
      </fill>
      <border/>
    </dxf>
    <dxf>
      <font>
        <color rgb="FFDD0806"/>
      </font>
      <fill>
        <patternFill patternType="solid">
          <fgColor rgb="FFFFCC99"/>
          <bgColor rgb="FFFFCC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fattocs.com.br/download/GuiaPlanilhaIFPUG.pdf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5" width="2.71"/>
    <col customWidth="1" min="16" max="16" width="0.86"/>
    <col customWidth="1" min="17" max="17" width="2.71"/>
    <col customWidth="1" min="18" max="18" width="4.29"/>
    <col customWidth="1" min="19" max="19" width="3.43"/>
    <col customWidth="1" min="20" max="20" width="7.29"/>
    <col customWidth="1" min="21" max="35" width="2.71"/>
  </cols>
  <sheetData>
    <row r="1" ht="12.0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13"/>
      <c r="AC1" s="6"/>
      <c r="AD1" s="6"/>
      <c r="AE1" s="6"/>
      <c r="AF1" s="6"/>
      <c r="AG1" s="6"/>
      <c r="AH1" s="6"/>
      <c r="AI1" s="6"/>
    </row>
    <row r="2" ht="12.0" customHeight="1">
      <c r="A2" s="17"/>
      <c r="AB2" s="23"/>
      <c r="AC2" s="6"/>
      <c r="AD2" s="6"/>
      <c r="AE2" s="6"/>
      <c r="AF2" s="6"/>
      <c r="AG2" s="6"/>
      <c r="AH2" s="6"/>
      <c r="AI2" s="6"/>
    </row>
    <row r="3" ht="12.0" customHeight="1">
      <c r="A3" s="2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28"/>
      <c r="AC3" s="6"/>
      <c r="AD3" s="6"/>
      <c r="AE3" s="6"/>
      <c r="AF3" s="6"/>
      <c r="AG3" s="6"/>
      <c r="AH3" s="6"/>
      <c r="AI3" s="6"/>
    </row>
    <row r="4" ht="13.5" customHeight="1">
      <c r="A4" s="30" t="s">
        <v>3</v>
      </c>
      <c r="B4" s="18"/>
      <c r="C4" s="18"/>
      <c r="D4" s="18"/>
      <c r="E4" s="18"/>
      <c r="F4" s="32" t="s">
        <v>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20"/>
      <c r="R4" s="35" t="s">
        <v>5</v>
      </c>
      <c r="S4" s="20"/>
      <c r="T4" s="37">
        <v>0.0</v>
      </c>
      <c r="U4" s="35" t="s">
        <v>6</v>
      </c>
      <c r="V4" s="20"/>
      <c r="W4" s="42">
        <f>W5*T4</f>
        <v>0</v>
      </c>
      <c r="X4" s="18"/>
      <c r="Y4" s="18"/>
      <c r="Z4" s="18"/>
      <c r="AA4" s="18"/>
      <c r="AB4" s="20"/>
      <c r="AC4" s="6"/>
      <c r="AD4" s="6"/>
      <c r="AE4" s="6"/>
      <c r="AF4" s="6"/>
      <c r="AG4" s="6"/>
      <c r="AH4" s="6"/>
      <c r="AI4" s="6"/>
    </row>
    <row r="5" ht="13.5" customHeight="1">
      <c r="A5" s="30" t="s">
        <v>9</v>
      </c>
      <c r="B5" s="18"/>
      <c r="C5" s="18"/>
      <c r="D5" s="18"/>
      <c r="E5" s="18"/>
      <c r="F5" s="44" t="s">
        <v>10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0"/>
      <c r="U5" s="35" t="s">
        <v>12</v>
      </c>
      <c r="V5" s="20"/>
      <c r="W5" s="49">
        <f>SUM(Y11:Y14)</f>
        <v>186</v>
      </c>
      <c r="X5" s="18"/>
      <c r="Y5" s="18"/>
      <c r="Z5" s="18"/>
      <c r="AA5" s="18"/>
      <c r="AB5" s="20"/>
      <c r="AC5" s="6"/>
      <c r="AD5" s="6"/>
      <c r="AE5" s="6"/>
      <c r="AF5" s="6"/>
      <c r="AG5" s="6"/>
      <c r="AH5" s="6"/>
      <c r="AI5" s="6"/>
    </row>
    <row r="6" ht="13.5" customHeight="1">
      <c r="A6" s="30" t="s">
        <v>14</v>
      </c>
      <c r="B6" s="18"/>
      <c r="C6" s="18"/>
      <c r="D6" s="18"/>
      <c r="E6" s="18"/>
      <c r="F6" s="54" t="s">
        <v>15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20"/>
      <c r="AC6" s="6"/>
      <c r="AD6" s="6"/>
      <c r="AE6" s="6"/>
      <c r="AF6" s="6"/>
      <c r="AG6" s="6"/>
      <c r="AH6" s="6"/>
      <c r="AI6" s="6"/>
    </row>
    <row r="7" ht="13.5" customHeight="1">
      <c r="A7" s="30" t="s">
        <v>18</v>
      </c>
      <c r="B7" s="18"/>
      <c r="C7" s="18"/>
      <c r="D7" s="18"/>
      <c r="E7" s="18"/>
      <c r="F7" s="54" t="s">
        <v>20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20"/>
      <c r="U7" s="62" t="s">
        <v>22</v>
      </c>
      <c r="V7" s="18"/>
      <c r="W7" s="20"/>
      <c r="X7" s="64"/>
      <c r="Y7" s="18"/>
      <c r="Z7" s="18"/>
      <c r="AA7" s="18"/>
      <c r="AB7" s="20"/>
      <c r="AC7" s="6"/>
      <c r="AD7" s="6"/>
      <c r="AE7" s="6"/>
      <c r="AF7" s="6"/>
      <c r="AG7" s="6"/>
      <c r="AH7" s="6"/>
      <c r="AI7" s="6"/>
    </row>
    <row r="8" ht="13.5" customHeight="1">
      <c r="A8" s="30" t="s">
        <v>29</v>
      </c>
      <c r="B8" s="18"/>
      <c r="C8" s="18"/>
      <c r="D8" s="18"/>
      <c r="E8" s="18"/>
      <c r="F8" s="54" t="s">
        <v>20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20"/>
      <c r="U8" s="62" t="s">
        <v>33</v>
      </c>
      <c r="V8" s="18"/>
      <c r="W8" s="20"/>
      <c r="X8" s="64"/>
      <c r="Y8" s="18"/>
      <c r="Z8" s="18"/>
      <c r="AA8" s="18"/>
      <c r="AB8" s="20"/>
      <c r="AC8" s="6"/>
      <c r="AD8" s="6"/>
      <c r="AE8" s="6"/>
      <c r="AF8" s="6"/>
      <c r="AG8" s="6"/>
      <c r="AH8" s="6"/>
      <c r="AI8" s="6"/>
    </row>
    <row r="9" ht="13.5" customHeight="1">
      <c r="A9" s="77" t="s">
        <v>37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ht="13.5" customHeight="1">
      <c r="A10" s="81" t="s">
        <v>45</v>
      </c>
      <c r="B10" s="13"/>
      <c r="C10" s="83" t="s">
        <v>46</v>
      </c>
      <c r="D10" s="18"/>
      <c r="E10" s="18"/>
      <c r="F10" s="18"/>
      <c r="G10" s="18"/>
      <c r="H10" s="18"/>
      <c r="I10" s="18"/>
      <c r="J10" s="18"/>
      <c r="K10" s="20"/>
      <c r="L10" s="86"/>
      <c r="M10" s="10"/>
      <c r="N10" s="10"/>
      <c r="O10" s="81" t="s">
        <v>47</v>
      </c>
      <c r="P10" s="8"/>
      <c r="Q10" s="35" t="s">
        <v>48</v>
      </c>
      <c r="R10" s="18"/>
      <c r="S10" s="18"/>
      <c r="T10" s="20"/>
      <c r="U10" s="35" t="s">
        <v>49</v>
      </c>
      <c r="V10" s="18"/>
      <c r="W10" s="18"/>
      <c r="X10" s="20"/>
      <c r="Y10" s="35" t="s">
        <v>27</v>
      </c>
      <c r="Z10" s="18"/>
      <c r="AA10" s="18"/>
      <c r="AB10" s="20"/>
      <c r="AC10" s="90"/>
      <c r="AD10" s="90"/>
      <c r="AE10" s="6"/>
      <c r="AF10" s="6"/>
      <c r="AG10" s="6"/>
      <c r="AH10" s="6"/>
      <c r="AI10" s="6"/>
    </row>
    <row r="11" ht="13.5" customHeight="1">
      <c r="A11" s="17"/>
      <c r="B11" s="23"/>
      <c r="C11" s="83" t="s">
        <v>51</v>
      </c>
      <c r="D11" s="18"/>
      <c r="E11" s="18"/>
      <c r="F11" s="18"/>
      <c r="G11" s="18"/>
      <c r="H11" s="18"/>
      <c r="I11" s="18"/>
      <c r="J11" s="18"/>
      <c r="K11" s="20"/>
      <c r="L11" s="86"/>
      <c r="M11" s="10"/>
      <c r="N11" s="10"/>
      <c r="O11" s="17"/>
      <c r="Q11" s="62" t="s">
        <v>53</v>
      </c>
      <c r="R11" s="20"/>
      <c r="S11" s="49">
        <f>'Sumário'!E55</f>
        <v>186</v>
      </c>
      <c r="T11" s="20"/>
      <c r="U11" s="92">
        <v>1.0</v>
      </c>
      <c r="V11" s="18"/>
      <c r="W11" s="18"/>
      <c r="X11" s="20"/>
      <c r="Y11" s="49">
        <f t="shared" ref="Y11:Y14" si="1">S11*U11</f>
        <v>186</v>
      </c>
      <c r="Z11" s="18"/>
      <c r="AA11" s="18"/>
      <c r="AB11" s="20"/>
      <c r="AC11" s="6"/>
      <c r="AD11" s="6"/>
      <c r="AE11" s="6"/>
      <c r="AF11" s="6"/>
      <c r="AG11" s="6"/>
      <c r="AH11" s="6"/>
      <c r="AI11" s="6"/>
    </row>
    <row r="12" ht="13.5" customHeight="1">
      <c r="A12" s="17"/>
      <c r="B12" s="23"/>
      <c r="C12" s="83" t="s">
        <v>55</v>
      </c>
      <c r="D12" s="18"/>
      <c r="E12" s="18"/>
      <c r="F12" s="18"/>
      <c r="G12" s="18"/>
      <c r="H12" s="18"/>
      <c r="I12" s="18"/>
      <c r="J12" s="18"/>
      <c r="K12" s="20"/>
      <c r="L12" s="86"/>
      <c r="M12" s="10"/>
      <c r="N12" s="10"/>
      <c r="O12" s="17"/>
      <c r="Q12" s="62" t="s">
        <v>56</v>
      </c>
      <c r="R12" s="18"/>
      <c r="S12" s="49">
        <f>'Sumário'!E56</f>
        <v>0</v>
      </c>
      <c r="T12" s="20"/>
      <c r="U12" s="92">
        <v>1.0</v>
      </c>
      <c r="V12" s="18"/>
      <c r="W12" s="18"/>
      <c r="X12" s="20"/>
      <c r="Y12" s="49">
        <f t="shared" si="1"/>
        <v>0</v>
      </c>
      <c r="Z12" s="18"/>
      <c r="AA12" s="18"/>
      <c r="AB12" s="20"/>
      <c r="AC12" s="6"/>
      <c r="AD12" s="6"/>
      <c r="AE12" s="6"/>
      <c r="AF12" s="6"/>
      <c r="AG12" s="6"/>
      <c r="AH12" s="6"/>
      <c r="AI12" s="6"/>
    </row>
    <row r="13" ht="13.5" customHeight="1">
      <c r="A13" s="17"/>
      <c r="B13" s="23"/>
      <c r="C13" s="83" t="s">
        <v>59</v>
      </c>
      <c r="D13" s="18"/>
      <c r="E13" s="18"/>
      <c r="F13" s="18"/>
      <c r="G13" s="18"/>
      <c r="H13" s="18"/>
      <c r="I13" s="18"/>
      <c r="J13" s="18"/>
      <c r="K13" s="20"/>
      <c r="L13" s="86"/>
      <c r="M13" s="10"/>
      <c r="N13" s="10"/>
      <c r="O13" s="17"/>
      <c r="Q13" s="62" t="s">
        <v>60</v>
      </c>
      <c r="R13" s="18"/>
      <c r="S13" s="49">
        <f>'Sumário'!E57</f>
        <v>0</v>
      </c>
      <c r="T13" s="20"/>
      <c r="U13" s="92">
        <v>1.0</v>
      </c>
      <c r="V13" s="18"/>
      <c r="W13" s="18"/>
      <c r="X13" s="20"/>
      <c r="Y13" s="49">
        <f t="shared" si="1"/>
        <v>0</v>
      </c>
      <c r="Z13" s="18"/>
      <c r="AA13" s="18"/>
      <c r="AB13" s="20"/>
      <c r="AC13" s="6"/>
      <c r="AD13" s="6"/>
      <c r="AE13" s="6"/>
      <c r="AF13" s="6"/>
      <c r="AG13" s="6"/>
      <c r="AH13" s="6"/>
      <c r="AI13" s="6"/>
    </row>
    <row r="14" ht="13.5" customHeight="1">
      <c r="A14" s="26"/>
      <c r="B14" s="28"/>
      <c r="C14" s="6"/>
      <c r="D14" s="6"/>
      <c r="E14" s="6"/>
      <c r="F14" s="6"/>
      <c r="G14" s="6"/>
      <c r="H14" s="6"/>
      <c r="I14" s="6"/>
      <c r="J14" s="6"/>
      <c r="K14" s="6"/>
      <c r="L14" s="6"/>
      <c r="M14" s="10"/>
      <c r="N14" s="10"/>
      <c r="O14" s="26"/>
      <c r="P14" s="14"/>
      <c r="Q14" s="62"/>
      <c r="R14" s="18"/>
      <c r="S14" s="49">
        <f>'Sumário'!E58</f>
        <v>0</v>
      </c>
      <c r="T14" s="20"/>
      <c r="U14" s="92"/>
      <c r="V14" s="18"/>
      <c r="W14" s="18"/>
      <c r="X14" s="20"/>
      <c r="Y14" s="49">
        <f t="shared" si="1"/>
        <v>0</v>
      </c>
      <c r="Z14" s="18"/>
      <c r="AA14" s="18"/>
      <c r="AB14" s="20"/>
      <c r="AC14" s="6"/>
      <c r="AD14" s="6"/>
      <c r="AE14" s="6"/>
      <c r="AF14" s="6"/>
      <c r="AG14" s="6"/>
      <c r="AH14" s="6"/>
      <c r="AI14" s="6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99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ht="12.0" customHeight="1">
      <c r="A16" s="6"/>
      <c r="B16" s="100"/>
      <c r="C16" s="100"/>
      <c r="D16" s="6"/>
      <c r="E16" s="6"/>
      <c r="F16" s="100"/>
      <c r="G16" s="100"/>
      <c r="H16" s="100"/>
      <c r="I16" s="100"/>
      <c r="J16" s="6"/>
      <c r="K16" s="101" t="s">
        <v>66</v>
      </c>
      <c r="L16" s="14"/>
      <c r="M16" s="14"/>
      <c r="N16" s="14"/>
      <c r="O16" s="14"/>
      <c r="P16" s="14"/>
      <c r="Q16" s="14"/>
      <c r="R16" s="14"/>
      <c r="S16" s="14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ht="12.0" customHeight="1">
      <c r="A17" s="103" t="s">
        <v>67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3"/>
      <c r="AC17" s="6"/>
      <c r="AD17" s="6"/>
      <c r="AE17" s="6"/>
      <c r="AF17" s="6"/>
      <c r="AG17" s="6"/>
      <c r="AH17" s="6"/>
      <c r="AI17" s="6"/>
    </row>
    <row r="18" ht="12.0" customHeight="1">
      <c r="A18" s="17"/>
      <c r="AB18" s="23"/>
      <c r="AC18" s="6"/>
      <c r="AD18" s="6"/>
      <c r="AE18" s="6"/>
      <c r="AF18" s="6"/>
      <c r="AG18" s="6"/>
      <c r="AH18" s="6"/>
      <c r="AI18" s="6"/>
    </row>
    <row r="19" ht="12.0" customHeight="1">
      <c r="A19" s="17"/>
      <c r="AB19" s="23"/>
      <c r="AC19" s="6"/>
      <c r="AD19" s="6"/>
      <c r="AE19" s="6"/>
      <c r="AF19" s="6"/>
      <c r="AG19" s="6"/>
      <c r="AH19" s="6"/>
      <c r="AI19" s="6"/>
    </row>
    <row r="20" ht="12.0" customHeight="1">
      <c r="A20" s="17"/>
      <c r="AB20" s="23"/>
      <c r="AC20" s="6"/>
      <c r="AD20" s="6"/>
      <c r="AE20" s="6"/>
      <c r="AF20" s="6"/>
      <c r="AG20" s="6"/>
      <c r="AH20" s="6"/>
      <c r="AI20" s="6"/>
    </row>
    <row r="21" ht="12.0" customHeight="1">
      <c r="A21" s="17"/>
      <c r="AB21" s="23"/>
      <c r="AC21" s="6"/>
      <c r="AD21" s="6"/>
      <c r="AE21" s="6"/>
      <c r="AF21" s="6"/>
      <c r="AG21" s="6"/>
      <c r="AH21" s="6"/>
      <c r="AI21" s="6"/>
    </row>
    <row r="22" ht="12.0" customHeight="1">
      <c r="A22" s="17"/>
      <c r="AB22" s="23"/>
      <c r="AC22" s="6"/>
      <c r="AD22" s="6"/>
      <c r="AE22" s="6"/>
      <c r="AF22" s="6"/>
      <c r="AG22" s="6"/>
      <c r="AH22" s="6"/>
      <c r="AI22" s="6"/>
    </row>
    <row r="23" ht="12.0" customHeight="1">
      <c r="A23" s="17"/>
      <c r="AB23" s="23"/>
      <c r="AC23" s="6"/>
      <c r="AD23" s="6"/>
      <c r="AE23" s="6"/>
      <c r="AF23" s="6"/>
      <c r="AG23" s="6"/>
      <c r="AH23" s="6"/>
      <c r="AI23" s="6"/>
    </row>
    <row r="24" ht="12.0" customHeight="1">
      <c r="A24" s="17"/>
      <c r="AB24" s="23"/>
      <c r="AC24" s="6"/>
      <c r="AD24" s="6"/>
      <c r="AE24" s="6"/>
      <c r="AF24" s="6"/>
      <c r="AG24" s="6"/>
      <c r="AH24" s="6"/>
      <c r="AI24" s="6"/>
    </row>
    <row r="25" ht="12.0" customHeight="1">
      <c r="A25" s="17"/>
      <c r="AB25" s="23"/>
      <c r="AC25" s="6"/>
      <c r="AD25" s="6"/>
      <c r="AE25" s="6"/>
      <c r="AF25" s="6"/>
      <c r="AG25" s="6"/>
      <c r="AH25" s="6"/>
      <c r="AI25" s="6"/>
    </row>
    <row r="26" ht="12.0" customHeight="1">
      <c r="A26" s="17"/>
      <c r="AB26" s="23"/>
      <c r="AC26" s="6"/>
      <c r="AD26" s="6"/>
      <c r="AE26" s="6"/>
      <c r="AF26" s="6"/>
      <c r="AG26" s="6"/>
      <c r="AH26" s="6"/>
      <c r="AI26" s="6"/>
    </row>
    <row r="27" ht="12.0" customHeight="1">
      <c r="A27" s="17"/>
      <c r="AB27" s="23"/>
      <c r="AC27" s="6"/>
      <c r="AD27" s="6"/>
      <c r="AE27" s="6"/>
      <c r="AF27" s="6"/>
      <c r="AG27" s="6"/>
      <c r="AH27" s="6"/>
      <c r="AI27" s="6"/>
    </row>
    <row r="28" ht="12.0" customHeight="1">
      <c r="A28" s="17"/>
      <c r="AB28" s="23"/>
      <c r="AC28" s="6"/>
      <c r="AD28" s="6"/>
      <c r="AE28" s="6"/>
      <c r="AF28" s="6"/>
      <c r="AG28" s="6"/>
      <c r="AH28" s="6"/>
      <c r="AI28" s="6"/>
    </row>
    <row r="29" ht="12.0" customHeight="1">
      <c r="A29" s="17"/>
      <c r="AB29" s="23"/>
      <c r="AC29" s="6"/>
      <c r="AD29" s="6"/>
      <c r="AE29" s="6"/>
      <c r="AF29" s="6"/>
      <c r="AG29" s="6"/>
      <c r="AH29" s="6"/>
      <c r="AI29" s="6"/>
    </row>
    <row r="30" ht="12.0" customHeight="1">
      <c r="A30" s="17"/>
      <c r="AB30" s="23"/>
      <c r="AC30" s="6"/>
      <c r="AD30" s="6"/>
      <c r="AE30" s="6"/>
      <c r="AF30" s="6"/>
      <c r="AG30" s="6"/>
      <c r="AH30" s="6"/>
      <c r="AI30" s="6"/>
    </row>
    <row r="31" ht="12.0" customHeight="1">
      <c r="A31" s="17"/>
      <c r="AB31" s="23"/>
      <c r="AC31" s="6"/>
      <c r="AD31" s="6"/>
      <c r="AE31" s="6"/>
      <c r="AF31" s="6"/>
      <c r="AG31" s="6"/>
      <c r="AH31" s="6"/>
      <c r="AI31" s="6"/>
    </row>
    <row r="32" ht="12.0" customHeight="1">
      <c r="A32" s="17"/>
      <c r="AB32" s="23"/>
      <c r="AC32" s="6"/>
      <c r="AD32" s="6"/>
      <c r="AE32" s="6"/>
      <c r="AF32" s="6"/>
      <c r="AG32" s="6"/>
      <c r="AH32" s="6"/>
      <c r="AI32" s="6"/>
    </row>
    <row r="33" ht="12.0" customHeight="1">
      <c r="A33" s="17"/>
      <c r="AB33" s="23"/>
      <c r="AC33" s="6"/>
      <c r="AD33" s="6"/>
      <c r="AE33" s="6"/>
      <c r="AF33" s="6"/>
      <c r="AG33" s="6"/>
      <c r="AH33" s="6"/>
      <c r="AI33" s="6"/>
    </row>
    <row r="34" ht="12.0" customHeight="1">
      <c r="A34" s="17"/>
      <c r="AB34" s="23"/>
      <c r="AC34" s="6"/>
      <c r="AD34" s="6"/>
      <c r="AE34" s="6"/>
      <c r="AF34" s="6"/>
      <c r="AG34" s="6"/>
      <c r="AH34" s="6"/>
      <c r="AI34" s="6"/>
    </row>
    <row r="35" ht="12.0" customHeight="1">
      <c r="A35" s="17"/>
      <c r="AB35" s="23"/>
      <c r="AC35" s="6"/>
      <c r="AD35" s="6"/>
      <c r="AE35" s="6"/>
      <c r="AF35" s="6"/>
      <c r="AG35" s="6"/>
      <c r="AH35" s="6"/>
      <c r="AI35" s="6"/>
    </row>
    <row r="36" ht="12.0" customHeight="1">
      <c r="A36" s="17"/>
      <c r="AB36" s="23"/>
      <c r="AC36" s="6"/>
      <c r="AD36" s="6"/>
      <c r="AE36" s="6"/>
      <c r="AF36" s="6"/>
      <c r="AG36" s="6"/>
      <c r="AH36" s="6"/>
      <c r="AI36" s="6"/>
    </row>
    <row r="37" ht="12.0" customHeight="1">
      <c r="A37" s="17"/>
      <c r="AB37" s="23"/>
      <c r="AC37" s="6"/>
      <c r="AD37" s="6"/>
      <c r="AE37" s="6"/>
      <c r="AF37" s="6"/>
      <c r="AG37" s="6"/>
      <c r="AH37" s="6"/>
      <c r="AI37" s="6"/>
    </row>
    <row r="38" ht="12.0" customHeight="1">
      <c r="A38" s="26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28"/>
      <c r="AC38" s="6"/>
      <c r="AD38" s="6"/>
      <c r="AE38" s="6"/>
      <c r="AF38" s="6"/>
      <c r="AG38" s="6"/>
      <c r="AH38" s="6"/>
      <c r="AI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108" t="s">
        <v>76</v>
      </c>
      <c r="L40" s="14"/>
      <c r="M40" s="14"/>
      <c r="N40" s="14"/>
      <c r="O40" s="14"/>
      <c r="P40" s="14"/>
      <c r="Q40" s="14"/>
      <c r="R40" s="14"/>
      <c r="S40" s="14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ht="12.0" customHeight="1">
      <c r="A41" s="103" t="s">
        <v>81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13"/>
      <c r="AC41" s="6"/>
      <c r="AD41" s="6"/>
      <c r="AE41" s="6"/>
      <c r="AF41" s="6"/>
      <c r="AG41" s="6"/>
      <c r="AH41" s="6"/>
      <c r="AI41" s="6"/>
    </row>
    <row r="42" ht="12.0" customHeight="1">
      <c r="A42" s="17"/>
      <c r="AB42" s="23"/>
      <c r="AC42" s="6"/>
      <c r="AD42" s="6"/>
      <c r="AE42" s="6"/>
      <c r="AF42" s="6"/>
      <c r="AG42" s="6"/>
      <c r="AH42" s="6"/>
      <c r="AI42" s="6"/>
    </row>
    <row r="43" ht="12.0" customHeight="1">
      <c r="A43" s="17"/>
      <c r="AB43" s="23"/>
      <c r="AC43" s="6"/>
      <c r="AD43" s="6"/>
      <c r="AE43" s="6"/>
      <c r="AF43" s="6"/>
      <c r="AG43" s="6"/>
      <c r="AH43" s="6"/>
      <c r="AI43" s="6"/>
    </row>
    <row r="44" ht="12.0" customHeight="1">
      <c r="A44" s="17"/>
      <c r="AB44" s="23"/>
      <c r="AC44" s="6"/>
      <c r="AD44" s="6"/>
      <c r="AE44" s="6"/>
      <c r="AF44" s="6"/>
      <c r="AG44" s="6"/>
      <c r="AH44" s="6"/>
      <c r="AI44" s="6"/>
    </row>
    <row r="45" ht="12.0" customHeight="1">
      <c r="A45" s="17"/>
      <c r="AB45" s="23"/>
      <c r="AC45" s="6"/>
      <c r="AD45" s="6"/>
      <c r="AE45" s="6"/>
      <c r="AF45" s="6"/>
      <c r="AG45" s="6"/>
      <c r="AH45" s="6"/>
      <c r="AI45" s="6"/>
    </row>
    <row r="46" ht="12.0" customHeight="1">
      <c r="A46" s="17"/>
      <c r="AB46" s="23"/>
      <c r="AC46" s="6"/>
      <c r="AD46" s="6"/>
      <c r="AE46" s="6"/>
      <c r="AF46" s="6"/>
      <c r="AG46" s="6"/>
      <c r="AH46" s="6"/>
      <c r="AI46" s="6"/>
    </row>
    <row r="47" ht="12.0" customHeight="1">
      <c r="A47" s="17"/>
      <c r="AB47" s="23"/>
      <c r="AC47" s="6"/>
      <c r="AD47" s="6"/>
      <c r="AE47" s="6"/>
      <c r="AF47" s="6"/>
      <c r="AG47" s="6"/>
      <c r="AH47" s="6"/>
      <c r="AI47" s="6"/>
    </row>
    <row r="48" ht="12.0" customHeight="1">
      <c r="A48" s="17"/>
      <c r="AB48" s="23"/>
      <c r="AC48" s="6"/>
      <c r="AD48" s="6"/>
      <c r="AE48" s="6"/>
      <c r="AF48" s="6"/>
      <c r="AG48" s="6"/>
      <c r="AH48" s="6"/>
      <c r="AI48" s="6"/>
    </row>
    <row r="49" ht="12.0" customHeight="1">
      <c r="A49" s="17"/>
      <c r="AB49" s="23"/>
      <c r="AC49" s="6"/>
      <c r="AD49" s="6"/>
      <c r="AE49" s="6"/>
      <c r="AF49" s="6"/>
      <c r="AG49" s="6"/>
      <c r="AH49" s="6"/>
      <c r="AI49" s="6"/>
    </row>
    <row r="50" ht="12.0" customHeight="1">
      <c r="A50" s="17"/>
      <c r="AB50" s="23"/>
      <c r="AC50" s="6"/>
      <c r="AD50" s="6"/>
      <c r="AE50" s="6"/>
      <c r="AF50" s="6"/>
      <c r="AG50" s="6"/>
      <c r="AH50" s="6"/>
      <c r="AI50" s="6"/>
    </row>
    <row r="51" ht="12.0" customHeight="1">
      <c r="A51" s="17"/>
      <c r="AB51" s="23"/>
      <c r="AC51" s="6"/>
      <c r="AD51" s="6"/>
      <c r="AE51" s="6"/>
      <c r="AF51" s="6"/>
      <c r="AG51" s="6"/>
      <c r="AH51" s="6"/>
      <c r="AI51" s="6"/>
    </row>
    <row r="52" ht="12.0" customHeight="1">
      <c r="A52" s="17"/>
      <c r="AB52" s="23"/>
      <c r="AC52" s="6"/>
      <c r="AD52" s="6"/>
      <c r="AE52" s="6"/>
      <c r="AF52" s="6"/>
      <c r="AG52" s="6"/>
      <c r="AH52" s="6"/>
      <c r="AI52" s="6"/>
    </row>
    <row r="53" ht="12.0" customHeight="1">
      <c r="A53" s="17"/>
      <c r="AB53" s="23"/>
      <c r="AC53" s="6"/>
      <c r="AD53" s="6"/>
      <c r="AE53" s="6"/>
      <c r="AF53" s="6"/>
      <c r="AG53" s="6"/>
      <c r="AH53" s="6"/>
      <c r="AI53" s="6"/>
    </row>
    <row r="54" ht="12.0" customHeight="1">
      <c r="A54" s="17"/>
      <c r="AB54" s="23"/>
      <c r="AC54" s="6"/>
      <c r="AD54" s="6"/>
      <c r="AE54" s="6"/>
      <c r="AF54" s="6"/>
      <c r="AG54" s="6"/>
      <c r="AH54" s="6"/>
      <c r="AI54" s="6"/>
    </row>
    <row r="55" ht="12.0" customHeight="1">
      <c r="A55" s="17"/>
      <c r="AB55" s="23"/>
      <c r="AC55" s="6"/>
      <c r="AD55" s="6"/>
      <c r="AE55" s="6"/>
      <c r="AF55" s="6"/>
      <c r="AG55" s="6"/>
      <c r="AH55" s="6"/>
      <c r="AI55" s="6"/>
    </row>
    <row r="56" ht="12.0" customHeight="1">
      <c r="A56" s="17"/>
      <c r="AB56" s="23"/>
      <c r="AC56" s="6"/>
      <c r="AD56" s="6"/>
      <c r="AE56" s="6"/>
      <c r="AF56" s="6"/>
      <c r="AG56" s="6"/>
      <c r="AH56" s="6"/>
      <c r="AI56" s="6"/>
    </row>
    <row r="57" ht="12.0" customHeight="1">
      <c r="A57" s="17"/>
      <c r="AB57" s="23"/>
      <c r="AC57" s="6"/>
      <c r="AD57" s="6"/>
      <c r="AE57" s="6"/>
      <c r="AF57" s="6"/>
      <c r="AG57" s="6"/>
      <c r="AH57" s="6"/>
      <c r="AI57" s="6"/>
    </row>
    <row r="58" ht="12.0" customHeight="1">
      <c r="A58" s="17"/>
      <c r="AB58" s="23"/>
      <c r="AC58" s="6"/>
      <c r="AD58" s="6"/>
      <c r="AE58" s="6"/>
      <c r="AF58" s="6"/>
      <c r="AG58" s="6"/>
      <c r="AH58" s="6"/>
      <c r="AI58" s="6"/>
    </row>
    <row r="59" ht="12.0" customHeight="1">
      <c r="A59" s="17"/>
      <c r="AB59" s="23"/>
      <c r="AC59" s="6"/>
      <c r="AD59" s="6"/>
      <c r="AE59" s="6"/>
      <c r="AF59" s="6"/>
      <c r="AG59" s="6"/>
      <c r="AH59" s="6"/>
      <c r="AI59" s="6"/>
    </row>
    <row r="60" ht="12.0" customHeight="1">
      <c r="A60" s="2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28"/>
      <c r="AC60" s="6"/>
      <c r="AD60" s="6"/>
      <c r="AE60" s="6"/>
      <c r="AF60" s="6"/>
      <c r="AG60" s="6"/>
      <c r="AH60" s="6"/>
      <c r="AI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ht="12.0" customHeight="1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  <c r="AC62" s="6"/>
      <c r="AD62" s="6"/>
      <c r="AE62" s="6"/>
      <c r="AF62" s="6"/>
      <c r="AG62" s="6"/>
      <c r="AH62" s="6"/>
      <c r="AI62" s="6"/>
    </row>
    <row r="63" ht="12.0" customHeight="1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08" t="s">
        <v>31</v>
      </c>
      <c r="L63" s="14"/>
      <c r="M63" s="14"/>
      <c r="N63" s="14"/>
      <c r="O63" s="14"/>
      <c r="P63" s="14"/>
      <c r="Q63" s="14"/>
      <c r="R63" s="14"/>
      <c r="S63" s="14"/>
      <c r="T63" s="121"/>
      <c r="U63" s="121"/>
      <c r="V63" s="121"/>
      <c r="W63" s="121"/>
      <c r="X63" s="121"/>
      <c r="Y63" s="121"/>
      <c r="Z63" s="121"/>
      <c r="AA63" s="121"/>
      <c r="AB63" s="121"/>
      <c r="AC63" s="6"/>
      <c r="AD63" s="6"/>
      <c r="AE63" s="6"/>
      <c r="AF63" s="6"/>
      <c r="AG63" s="6"/>
      <c r="AH63" s="6"/>
      <c r="AI63" s="6"/>
    </row>
    <row r="64" ht="12.0" customHeight="1">
      <c r="A64" s="103" t="s">
        <v>88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13"/>
      <c r="AC64" s="6"/>
      <c r="AD64" s="6"/>
      <c r="AE64" s="6"/>
      <c r="AF64" s="6"/>
      <c r="AG64" s="6"/>
      <c r="AH64" s="6"/>
      <c r="AI64" s="6"/>
    </row>
    <row r="65" ht="12.0" customHeight="1">
      <c r="A65" s="17"/>
      <c r="AB65" s="23"/>
      <c r="AC65" s="6"/>
      <c r="AD65" s="6"/>
      <c r="AE65" s="6"/>
      <c r="AF65" s="6"/>
      <c r="AG65" s="6"/>
      <c r="AH65" s="6"/>
      <c r="AI65" s="6"/>
    </row>
    <row r="66" ht="12.0" customHeight="1">
      <c r="A66" s="17"/>
      <c r="AB66" s="23"/>
      <c r="AC66" s="6"/>
      <c r="AD66" s="6"/>
      <c r="AE66" s="6"/>
      <c r="AF66" s="6"/>
      <c r="AG66" s="6"/>
      <c r="AH66" s="6"/>
      <c r="AI66" s="6"/>
    </row>
    <row r="67" ht="12.0" customHeight="1">
      <c r="A67" s="17"/>
      <c r="AB67" s="23"/>
      <c r="AC67" s="6"/>
      <c r="AD67" s="6"/>
      <c r="AE67" s="6"/>
      <c r="AF67" s="6"/>
      <c r="AG67" s="6"/>
      <c r="AH67" s="6"/>
      <c r="AI67" s="6"/>
    </row>
    <row r="68" ht="12.0" customHeight="1">
      <c r="A68" s="17"/>
      <c r="AB68" s="23"/>
      <c r="AC68" s="6"/>
      <c r="AD68" s="6"/>
      <c r="AE68" s="6"/>
      <c r="AF68" s="6"/>
      <c r="AG68" s="6"/>
      <c r="AH68" s="6"/>
      <c r="AI68" s="6"/>
    </row>
    <row r="69" ht="12.0" customHeight="1">
      <c r="A69" s="17"/>
      <c r="AB69" s="23"/>
      <c r="AC69" s="6"/>
      <c r="AD69" s="6"/>
      <c r="AE69" s="6"/>
      <c r="AF69" s="6"/>
      <c r="AG69" s="6"/>
      <c r="AH69" s="6"/>
      <c r="AI69" s="6"/>
    </row>
    <row r="70" ht="12.0" customHeight="1">
      <c r="A70" s="17"/>
      <c r="AB70" s="23"/>
      <c r="AC70" s="6"/>
      <c r="AD70" s="6"/>
      <c r="AE70" s="6"/>
      <c r="AF70" s="6"/>
      <c r="AG70" s="6"/>
      <c r="AH70" s="6"/>
      <c r="AI70" s="6"/>
    </row>
    <row r="71" ht="12.0" customHeight="1">
      <c r="A71" s="17"/>
      <c r="AB71" s="23"/>
      <c r="AC71" s="6"/>
      <c r="AD71" s="6"/>
      <c r="AE71" s="6"/>
      <c r="AF71" s="6"/>
      <c r="AG71" s="6"/>
      <c r="AH71" s="6"/>
      <c r="AI71" s="6"/>
    </row>
    <row r="72" ht="12.0" customHeight="1">
      <c r="A72" s="17"/>
      <c r="AB72" s="23"/>
      <c r="AC72" s="6"/>
      <c r="AD72" s="6"/>
      <c r="AE72" s="6"/>
      <c r="AF72" s="6"/>
      <c r="AG72" s="6"/>
      <c r="AH72" s="6"/>
      <c r="AI72" s="6"/>
    </row>
    <row r="73" ht="12.0" customHeight="1">
      <c r="A73" s="17"/>
      <c r="AB73" s="23"/>
      <c r="AC73" s="6"/>
      <c r="AD73" s="6"/>
      <c r="AE73" s="6"/>
      <c r="AF73" s="6"/>
      <c r="AG73" s="6"/>
      <c r="AH73" s="6"/>
      <c r="AI73" s="6"/>
    </row>
    <row r="74" ht="12.0" customHeight="1">
      <c r="A74" s="17"/>
      <c r="AB74" s="23"/>
      <c r="AC74" s="6"/>
      <c r="AD74" s="6"/>
      <c r="AE74" s="6"/>
      <c r="AF74" s="6"/>
      <c r="AG74" s="6"/>
      <c r="AH74" s="6"/>
      <c r="AI74" s="6"/>
    </row>
    <row r="75" ht="12.0" customHeight="1">
      <c r="A75" s="17"/>
      <c r="AB75" s="23"/>
      <c r="AC75" s="6"/>
      <c r="AD75" s="6"/>
      <c r="AE75" s="6"/>
      <c r="AF75" s="6"/>
      <c r="AG75" s="6"/>
      <c r="AH75" s="6"/>
      <c r="AI75" s="6"/>
    </row>
    <row r="76" ht="12.0" customHeight="1">
      <c r="A76" s="17"/>
      <c r="AB76" s="23"/>
      <c r="AC76" s="6"/>
      <c r="AD76" s="6"/>
      <c r="AE76" s="6"/>
      <c r="AF76" s="6"/>
      <c r="AG76" s="6"/>
      <c r="AH76" s="6"/>
      <c r="AI76" s="6"/>
    </row>
    <row r="77" ht="12.0" customHeight="1">
      <c r="A77" s="17"/>
      <c r="AB77" s="23"/>
      <c r="AC77" s="6"/>
      <c r="AD77" s="6"/>
      <c r="AE77" s="6"/>
      <c r="AF77" s="6"/>
      <c r="AG77" s="6"/>
      <c r="AH77" s="6"/>
      <c r="AI77" s="6"/>
    </row>
    <row r="78" ht="12.0" customHeight="1">
      <c r="A78" s="17"/>
      <c r="AB78" s="23"/>
      <c r="AC78" s="6"/>
      <c r="AD78" s="6"/>
      <c r="AE78" s="6"/>
      <c r="AF78" s="6"/>
      <c r="AG78" s="6"/>
      <c r="AH78" s="6"/>
      <c r="AI78" s="6"/>
    </row>
    <row r="79" ht="12.0" customHeight="1">
      <c r="A79" s="17"/>
      <c r="AB79" s="23"/>
      <c r="AC79" s="6"/>
      <c r="AD79" s="6"/>
      <c r="AE79" s="6"/>
      <c r="AF79" s="6"/>
      <c r="AG79" s="6"/>
      <c r="AH79" s="6"/>
      <c r="AI79" s="6"/>
    </row>
    <row r="80" ht="12.0" customHeight="1">
      <c r="A80" s="17"/>
      <c r="AB80" s="23"/>
      <c r="AC80" s="6"/>
      <c r="AD80" s="6"/>
      <c r="AE80" s="6"/>
      <c r="AF80" s="6"/>
      <c r="AG80" s="6"/>
      <c r="AH80" s="6"/>
      <c r="AI80" s="6"/>
    </row>
    <row r="81" ht="12.0" customHeight="1">
      <c r="A81" s="17"/>
      <c r="AB81" s="23"/>
      <c r="AC81" s="6"/>
      <c r="AD81" s="6"/>
      <c r="AE81" s="6"/>
      <c r="AF81" s="6"/>
      <c r="AG81" s="6"/>
      <c r="AH81" s="6"/>
      <c r="AI81" s="6"/>
    </row>
    <row r="82" ht="12.0" customHeight="1">
      <c r="A82" s="17"/>
      <c r="AB82" s="23"/>
      <c r="AC82" s="6"/>
      <c r="AD82" s="6"/>
      <c r="AE82" s="6"/>
      <c r="AF82" s="6"/>
      <c r="AG82" s="6"/>
      <c r="AH82" s="6"/>
      <c r="AI82" s="6"/>
    </row>
    <row r="83" ht="12.0" customHeight="1">
      <c r="A83" s="26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28"/>
      <c r="AC83" s="6"/>
      <c r="AD83" s="6"/>
      <c r="AE83" s="6"/>
      <c r="AF83" s="6"/>
      <c r="AG83" s="6"/>
      <c r="AH83" s="6"/>
      <c r="AI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</sheetData>
  <mergeCells count="51">
    <mergeCell ref="Q11:R11"/>
    <mergeCell ref="Q10:T10"/>
    <mergeCell ref="S14:T14"/>
    <mergeCell ref="U14:X14"/>
    <mergeCell ref="S13:T13"/>
    <mergeCell ref="Q13:R13"/>
    <mergeCell ref="U12:X12"/>
    <mergeCell ref="Y12:AB12"/>
    <mergeCell ref="Y13:AB13"/>
    <mergeCell ref="U13:X13"/>
    <mergeCell ref="S12:T12"/>
    <mergeCell ref="Y10:AB10"/>
    <mergeCell ref="Y11:AB11"/>
    <mergeCell ref="O10:P14"/>
    <mergeCell ref="Y14:AB14"/>
    <mergeCell ref="S11:T11"/>
    <mergeCell ref="U8:W8"/>
    <mergeCell ref="F8:T8"/>
    <mergeCell ref="F7:T7"/>
    <mergeCell ref="X7:AB7"/>
    <mergeCell ref="X8:AB8"/>
    <mergeCell ref="F6:AB6"/>
    <mergeCell ref="A17:AB38"/>
    <mergeCell ref="A41:AB60"/>
    <mergeCell ref="K40:S40"/>
    <mergeCell ref="K16:S16"/>
    <mergeCell ref="K63:S63"/>
    <mergeCell ref="A64:AB83"/>
    <mergeCell ref="A7:E7"/>
    <mergeCell ref="A10:B14"/>
    <mergeCell ref="A8:E8"/>
    <mergeCell ref="U11:X11"/>
    <mergeCell ref="U10:X10"/>
    <mergeCell ref="C11:K11"/>
    <mergeCell ref="C12:K12"/>
    <mergeCell ref="A6:E6"/>
    <mergeCell ref="C10:K10"/>
    <mergeCell ref="U7:W7"/>
    <mergeCell ref="C13:K13"/>
    <mergeCell ref="Q12:R12"/>
    <mergeCell ref="Q14:R14"/>
    <mergeCell ref="U4:V4"/>
    <mergeCell ref="W4:AB4"/>
    <mergeCell ref="A5:E5"/>
    <mergeCell ref="F4:Q4"/>
    <mergeCell ref="R4:S4"/>
    <mergeCell ref="W5:AB5"/>
    <mergeCell ref="A1:AB3"/>
    <mergeCell ref="F5:T5"/>
    <mergeCell ref="U5:V5"/>
    <mergeCell ref="A4:E4"/>
  </mergeCells>
  <hyperlinks>
    <hyperlink r:id="rId2" ref="A9"/>
  </hyperlinks>
  <printOptions/>
  <pageMargins bottom="0.75" footer="0.0" header="0.0" left="0.7" right="0.7" top="0.75"/>
  <pageSetup paperSize="9" orientation="portrait"/>
  <headerFooter>
    <oddFooter>&amp;R&amp;F - &amp;A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5" width="7.71"/>
    <col customWidth="1" min="6" max="6" width="29.71"/>
    <col customWidth="1" min="7" max="7" width="5.43"/>
    <col customWidth="1" min="8" max="8" width="7.0"/>
    <col customWidth="1" min="9" max="9" width="3.71"/>
    <col customWidth="1" min="10" max="10" width="5.43"/>
    <col customWidth="1" min="11" max="11" width="4.0"/>
    <col customWidth="1" min="12" max="12" width="1.86"/>
    <col customWidth="1" min="13" max="13" width="9.71"/>
    <col customWidth="1" min="14" max="14" width="5.71"/>
    <col customWidth="1" min="15" max="15" width="9.43"/>
    <col customWidth="1" min="16" max="19" width="16.71"/>
    <col customWidth="1" min="20" max="20" width="1.86"/>
    <col customWidth="1" min="21" max="21" width="37.86"/>
    <col customWidth="1" hidden="1" min="22" max="22" width="16.71"/>
    <col customWidth="1" min="23" max="23" width="12.71"/>
    <col customWidth="1" min="24" max="28" width="9.14"/>
  </cols>
  <sheetData>
    <row r="1">
      <c r="A1" s="2" t="s">
        <v>2</v>
      </c>
      <c r="P1" s="4"/>
      <c r="Q1" s="4"/>
      <c r="R1" s="4"/>
      <c r="S1" s="4"/>
      <c r="T1" s="4"/>
      <c r="U1" s="4"/>
      <c r="V1" s="4"/>
      <c r="W1" s="6"/>
      <c r="X1" s="6"/>
      <c r="Y1" s="6"/>
      <c r="Z1" s="6"/>
      <c r="AA1" s="6"/>
      <c r="AB1" s="6"/>
    </row>
    <row r="2">
      <c r="A2" s="9"/>
      <c r="P2" s="4"/>
      <c r="Q2" s="4"/>
      <c r="R2" s="4"/>
      <c r="S2" s="4"/>
      <c r="T2" s="4"/>
      <c r="U2" s="4"/>
      <c r="V2" s="4"/>
      <c r="W2" s="6"/>
      <c r="X2" s="6"/>
      <c r="Y2" s="6"/>
      <c r="Z2" s="6"/>
      <c r="AA2" s="6"/>
      <c r="AB2" s="6"/>
    </row>
    <row r="3">
      <c r="A3" s="9"/>
      <c r="P3" s="4"/>
      <c r="Q3" s="4"/>
      <c r="R3" s="4"/>
      <c r="S3" s="4"/>
      <c r="T3" s="4"/>
      <c r="U3" s="4"/>
      <c r="V3" s="4"/>
      <c r="W3" s="6"/>
      <c r="X3" s="6"/>
      <c r="Y3" s="6"/>
      <c r="Z3" s="6"/>
      <c r="AA3" s="6"/>
      <c r="AB3" s="6"/>
    </row>
    <row r="4">
      <c r="A4" s="16" t="str">
        <f>Contagem!A5&amp;" : "&amp;Contagem!F5</f>
        <v>Aplicação : Gerenciamento</v>
      </c>
      <c r="B4" s="18"/>
      <c r="C4" s="18"/>
      <c r="D4" s="18"/>
      <c r="E4" s="18"/>
      <c r="F4" s="18"/>
      <c r="G4" s="21" t="str">
        <f>Contagem!A6&amp;" : "&amp;Contagem!F6</f>
        <v>Projeto : Academia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20"/>
      <c r="W4" s="6"/>
      <c r="X4" s="6"/>
      <c r="Y4" s="6"/>
      <c r="Z4" s="6"/>
      <c r="AA4" s="6"/>
      <c r="AB4" s="6"/>
    </row>
    <row r="5">
      <c r="A5" s="25" t="str">
        <f>Contagem!A7&amp;" : "&amp;Contagem!F7</f>
        <v>Responsável : Handressa dos Santos</v>
      </c>
      <c r="B5" s="18"/>
      <c r="C5" s="18"/>
      <c r="D5" s="18"/>
      <c r="E5" s="18"/>
      <c r="F5" s="18"/>
      <c r="G5" s="21" t="str">
        <f>Contagem!A8&amp;" : "&amp;Contagem!F8</f>
        <v>Revisor : Handressa dos Santos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0"/>
      <c r="W5" s="27"/>
      <c r="X5" s="27"/>
      <c r="Y5" s="27"/>
      <c r="Z5" s="27"/>
      <c r="AA5" s="27"/>
      <c r="AB5" s="27"/>
    </row>
    <row r="6">
      <c r="A6" s="25" t="str">
        <f>Contagem!A4&amp;" : "&amp;Contagem!F4</f>
        <v>Empresa : Desafio Hackathon</v>
      </c>
      <c r="B6" s="18"/>
      <c r="C6" s="18"/>
      <c r="D6" s="18"/>
      <c r="E6" s="20"/>
      <c r="F6" s="21" t="str">
        <f>Contagem!R4&amp;" = "&amp;VALUE(Contagem!T4)</f>
        <v>R$/PF = 0</v>
      </c>
      <c r="G6" s="20"/>
      <c r="H6" s="34" t="str">
        <f>" Custo= "&amp;DOLLAR(Contagem!W4)</f>
        <v> Custo= R$ 0,00</v>
      </c>
      <c r="I6" s="38"/>
      <c r="J6" s="38"/>
      <c r="K6" s="38"/>
      <c r="L6" s="38"/>
      <c r="M6" s="40"/>
      <c r="N6" s="34" t="str">
        <f>"PF  = "&amp;VALUE(Contagem!W5)</f>
        <v>PF  = 186</v>
      </c>
      <c r="O6" s="46"/>
      <c r="P6" s="34" t="str">
        <f>"Horas  = "&amp;VALUE(SUM(P20:P46))</f>
        <v>Horas  = 524</v>
      </c>
      <c r="Q6" s="46"/>
      <c r="R6" s="51"/>
      <c r="S6" s="51"/>
      <c r="T6" s="51"/>
      <c r="U6" s="51"/>
      <c r="V6" s="53"/>
      <c r="W6" s="27"/>
      <c r="X6" s="27"/>
      <c r="Y6" s="27"/>
      <c r="Z6" s="27"/>
      <c r="AA6" s="27"/>
      <c r="AB6" s="27"/>
    </row>
    <row r="7">
      <c r="A7" s="55" t="s">
        <v>16</v>
      </c>
      <c r="B7" s="18"/>
      <c r="C7" s="18"/>
      <c r="D7" s="18"/>
      <c r="E7" s="18"/>
      <c r="F7" s="20"/>
      <c r="G7" s="57" t="s">
        <v>17</v>
      </c>
      <c r="H7" s="59" t="s">
        <v>19</v>
      </c>
      <c r="I7" s="61" t="s">
        <v>21</v>
      </c>
      <c r="J7" s="61" t="s">
        <v>23</v>
      </c>
      <c r="K7" s="61" t="s">
        <v>24</v>
      </c>
      <c r="L7" s="61" t="s">
        <v>25</v>
      </c>
      <c r="M7" s="61" t="s">
        <v>26</v>
      </c>
      <c r="N7" s="61" t="s">
        <v>12</v>
      </c>
      <c r="O7" s="63" t="s">
        <v>27</v>
      </c>
      <c r="P7" s="65" t="s">
        <v>28</v>
      </c>
      <c r="Q7" s="65" t="s">
        <v>30</v>
      </c>
      <c r="R7" s="67" t="s">
        <v>31</v>
      </c>
      <c r="S7" s="68"/>
      <c r="T7" s="68"/>
      <c r="U7" s="68"/>
      <c r="V7" s="68"/>
      <c r="W7" s="27"/>
      <c r="X7" s="27"/>
      <c r="Y7" s="27"/>
      <c r="Z7" s="27"/>
      <c r="AA7" s="27"/>
      <c r="AB7" s="27"/>
    </row>
    <row r="8" ht="18.0" customHeight="1">
      <c r="A8" s="71" t="s">
        <v>35</v>
      </c>
      <c r="B8" s="73"/>
      <c r="C8" s="73"/>
      <c r="D8" s="73"/>
      <c r="E8" s="73"/>
      <c r="F8" s="75"/>
      <c r="G8" s="76" t="s">
        <v>38</v>
      </c>
      <c r="H8" s="76" t="s">
        <v>41</v>
      </c>
      <c r="I8" s="78">
        <v>18.0</v>
      </c>
      <c r="J8" s="78">
        <v>1.0</v>
      </c>
      <c r="K8" s="76" t="str">
        <f t="shared" ref="K8:K17" si="1">CONCATENATE(G8,L8)</f>
        <v>ALIL</v>
      </c>
      <c r="L8" s="87" t="str">
        <f t="shared" ref="L8:L17" si="2">IF(OR(ISBLANK(I8),ISBLANK(J8)),IF(OR(G8="ALI",G8="AIE"),"L",IF(ISBLANK(G8),"","A")),IF(G8="EE",IF(J8&gt;=3,IF(I8&gt;=5,"H","A"),IF(J8&gt;=2,IF(I8&gt;=16,"H",IF(I8&lt;=4,"L","A")),IF(I8&lt;=15,"L","A"))),IF(OR(G8="SE",G8="CE"),IF(J8&gt;=4,IF(I8&gt;=6,"H","A"),IF(J8&gt;=2,IF(I8&gt;=20,"H",IF(I8&lt;=5,"L","A")),IF(I8&lt;=19,"L","A"))),IF(OR(G8="ALI",G8="AIE"),IF(J8&gt;=6,IF(I8&gt;=20,"H","A"),IF(J8&gt;=2,IF(I8&gt;=51,"H",IF(I8&lt;=19,"L","A")),IF(I8&lt;=50,"L","A")))))))</f>
        <v>L</v>
      </c>
      <c r="M8" s="89" t="str">
        <f t="shared" ref="M8:M11" si="3">IF(L8="L","Baixa",IF(L8="A","Média",IF(L8="","","Alta")))</f>
        <v>Baixa</v>
      </c>
      <c r="N8" s="91">
        <f t="shared" ref="N8:N11" si="4">IF(ISBLANK(G8),"",IF(G8="ALI",IF(L8="L",7,IF(L8="A",10,15)),IF(G8="AIE",IF(L8="L",5,IF(L8="A",7,10)),IF(G8="SE",IF(L8="L",4,IF(L8="A",5,7)),IF(OR(G8="EE",G8="CE"),IF(L8="L",3,IF(L8="A",4,6)))))))</f>
        <v>7</v>
      </c>
      <c r="O8" s="93">
        <f>IF(H8="I",N8*Contagem!$U$11,IF(H8="E",N8*Contagem!$U$13,IF(H8="A",N8*Contagem!$U$12,IF(H8="T",N8*Contagem!$U$14,""))))</f>
        <v>7</v>
      </c>
      <c r="P8" s="73"/>
      <c r="Q8" s="73"/>
      <c r="R8" s="73"/>
      <c r="S8" s="73"/>
      <c r="T8" s="73"/>
      <c r="U8" s="73"/>
      <c r="V8" s="73"/>
      <c r="W8" s="95"/>
      <c r="X8" s="95"/>
      <c r="Y8" s="95"/>
      <c r="Z8" s="95"/>
      <c r="AA8" s="95"/>
      <c r="AB8" s="95"/>
    </row>
    <row r="9" ht="18.0" customHeight="1">
      <c r="A9" s="71" t="s">
        <v>57</v>
      </c>
      <c r="B9" s="73"/>
      <c r="C9" s="73"/>
      <c r="D9" s="73"/>
      <c r="E9" s="73"/>
      <c r="F9" s="75"/>
      <c r="G9" s="76" t="s">
        <v>38</v>
      </c>
      <c r="H9" s="76" t="s">
        <v>41</v>
      </c>
      <c r="I9" s="78">
        <v>18.0</v>
      </c>
      <c r="J9" s="78">
        <v>1.0</v>
      </c>
      <c r="K9" s="76" t="str">
        <f t="shared" si="1"/>
        <v>ALIL</v>
      </c>
      <c r="L9" s="87" t="str">
        <f t="shared" si="2"/>
        <v>L</v>
      </c>
      <c r="M9" s="89" t="str">
        <f t="shared" si="3"/>
        <v>Baixa</v>
      </c>
      <c r="N9" s="91">
        <f t="shared" si="4"/>
        <v>7</v>
      </c>
      <c r="O9" s="93">
        <f>IF(H9="I",N9*Contagem!$U$11,IF(H9="E",N9*Contagem!$U$13,IF(H9="A",N9*Contagem!$U$12,IF(H9="T",N9*Contagem!$U$14,""))))</f>
        <v>7</v>
      </c>
      <c r="P9" s="73"/>
      <c r="Q9" s="73"/>
      <c r="R9" s="73"/>
      <c r="S9" s="73"/>
      <c r="T9" s="73"/>
      <c r="U9" s="73"/>
      <c r="V9" s="73"/>
      <c r="W9" s="95"/>
      <c r="X9" s="95"/>
      <c r="Y9" s="95"/>
      <c r="Z9" s="95"/>
      <c r="AA9" s="95"/>
      <c r="AB9" s="95"/>
    </row>
    <row r="10" ht="18.0" customHeight="1">
      <c r="A10" s="96" t="s">
        <v>61</v>
      </c>
      <c r="B10" s="73"/>
      <c r="C10" s="73"/>
      <c r="D10" s="73"/>
      <c r="E10" s="73"/>
      <c r="F10" s="75"/>
      <c r="G10" s="98" t="s">
        <v>62</v>
      </c>
      <c r="H10" s="76" t="s">
        <v>41</v>
      </c>
      <c r="I10" s="78">
        <v>6.0</v>
      </c>
      <c r="J10" s="78">
        <v>3.0</v>
      </c>
      <c r="K10" s="76" t="str">
        <f t="shared" si="1"/>
        <v>AIEL</v>
      </c>
      <c r="L10" s="87" t="str">
        <f t="shared" si="2"/>
        <v>L</v>
      </c>
      <c r="M10" s="89" t="str">
        <f t="shared" si="3"/>
        <v>Baixa</v>
      </c>
      <c r="N10" s="91">
        <f t="shared" si="4"/>
        <v>5</v>
      </c>
      <c r="O10" s="93">
        <f>IF(H10="I",N10*Contagem!$U$11,IF(H10="E",N10*Contagem!$U$13,IF(H10="A",N10*Contagem!$U$12,IF(H10="T",N10*Contagem!$U$14,""))))</f>
        <v>5</v>
      </c>
      <c r="P10" s="73"/>
      <c r="Q10" s="73"/>
      <c r="R10" s="73"/>
      <c r="S10" s="73"/>
      <c r="T10" s="73"/>
      <c r="U10" s="73"/>
      <c r="V10" s="73"/>
      <c r="W10" s="95"/>
      <c r="X10" s="95"/>
      <c r="Y10" s="95"/>
      <c r="Z10" s="95"/>
      <c r="AA10" s="95"/>
      <c r="AB10" s="95"/>
    </row>
    <row r="11" ht="18.0" customHeight="1">
      <c r="A11" s="96" t="s">
        <v>65</v>
      </c>
      <c r="B11" s="73"/>
      <c r="C11" s="73"/>
      <c r="D11" s="73"/>
      <c r="E11" s="73"/>
      <c r="F11" s="75"/>
      <c r="G11" s="98" t="s">
        <v>62</v>
      </c>
      <c r="H11" s="76" t="s">
        <v>41</v>
      </c>
      <c r="I11" s="78">
        <v>10.0</v>
      </c>
      <c r="J11" s="78">
        <v>3.0</v>
      </c>
      <c r="K11" s="76" t="str">
        <f t="shared" si="1"/>
        <v>AIEL</v>
      </c>
      <c r="L11" s="87" t="str">
        <f t="shared" si="2"/>
        <v>L</v>
      </c>
      <c r="M11" s="89" t="str">
        <f t="shared" si="3"/>
        <v>Baixa</v>
      </c>
      <c r="N11" s="91">
        <f t="shared" si="4"/>
        <v>5</v>
      </c>
      <c r="O11" s="93">
        <f>IF(H11="I",N11*Contagem!$U$11,IF(H11="E",N11*Contagem!$U$13,IF(H11="A",N11*Contagem!$U$12,IF(H11="T",N11*Contagem!$U$14,""))))</f>
        <v>5</v>
      </c>
      <c r="P11" s="73"/>
      <c r="Q11" s="73"/>
      <c r="R11" s="73"/>
      <c r="S11" s="73"/>
      <c r="T11" s="73"/>
      <c r="U11" s="73"/>
      <c r="V11" s="73"/>
      <c r="W11" s="95"/>
      <c r="X11" s="95"/>
      <c r="Y11" s="95"/>
      <c r="Z11" s="95"/>
      <c r="AA11" s="95"/>
      <c r="AB11" s="95"/>
    </row>
    <row r="12" ht="18.0" customHeight="1">
      <c r="A12" s="96" t="s">
        <v>68</v>
      </c>
      <c r="B12" s="73"/>
      <c r="C12" s="73"/>
      <c r="D12" s="73"/>
      <c r="E12" s="73"/>
      <c r="F12" s="75"/>
      <c r="G12" s="78" t="s">
        <v>38</v>
      </c>
      <c r="H12" s="104" t="s">
        <v>41</v>
      </c>
      <c r="I12" s="78">
        <v>5.0</v>
      </c>
      <c r="J12" s="78">
        <v>3.0</v>
      </c>
      <c r="K12" s="76" t="str">
        <f t="shared" si="1"/>
        <v>ALIL</v>
      </c>
      <c r="L12" s="87" t="str">
        <f t="shared" si="2"/>
        <v>L</v>
      </c>
      <c r="M12" s="105" t="s">
        <v>34</v>
      </c>
      <c r="N12" s="106">
        <v>5.0</v>
      </c>
      <c r="O12" s="93">
        <f>IF(H12="I",N12*Contagem!$U$11,IF(H12="E",N12*Contagem!$U$13,IF(H12="A",N12*Contagem!$U$12,IF(H12="T",N12*Contagem!$U$14,""))))</f>
        <v>5</v>
      </c>
      <c r="P12" s="73"/>
      <c r="Q12" s="73"/>
      <c r="R12" s="73"/>
      <c r="S12" s="73"/>
      <c r="T12" s="73"/>
      <c r="U12" s="73"/>
      <c r="V12" s="73"/>
      <c r="W12" s="95"/>
      <c r="X12" s="95"/>
      <c r="Y12" s="95"/>
      <c r="Z12" s="95"/>
      <c r="AA12" s="95"/>
      <c r="AB12" s="95"/>
    </row>
    <row r="13" ht="18.0" customHeight="1">
      <c r="A13" s="96" t="s">
        <v>69</v>
      </c>
      <c r="B13" s="73"/>
      <c r="C13" s="73"/>
      <c r="D13" s="73"/>
      <c r="E13" s="73"/>
      <c r="F13" s="75"/>
      <c r="G13" s="76" t="s">
        <v>38</v>
      </c>
      <c r="H13" s="76" t="s">
        <v>41</v>
      </c>
      <c r="I13" s="78">
        <v>6.0</v>
      </c>
      <c r="J13" s="78">
        <v>2.0</v>
      </c>
      <c r="K13" s="76" t="str">
        <f t="shared" si="1"/>
        <v>ALIL</v>
      </c>
      <c r="L13" s="87" t="str">
        <f t="shared" si="2"/>
        <v>L</v>
      </c>
      <c r="M13" s="89" t="str">
        <f t="shared" ref="M13:M17" si="5">IF(L13="L","Baixa",IF(L13="A","Média",IF(L13="","","Alta")))</f>
        <v>Baixa</v>
      </c>
      <c r="N13" s="91">
        <f t="shared" ref="N13:N17" si="6">IF(ISBLANK(G13),"",IF(G13="ALI",IF(L13="L",7,IF(L13="A",10,15)),IF(G13="AIE",IF(L13="L",5,IF(L13="A",7,10)),IF(G13="SE",IF(L13="L",4,IF(L13="A",5,7)),IF(OR(G13="EE",G13="CE"),IF(L13="L",3,IF(L13="A",4,6)))))))</f>
        <v>7</v>
      </c>
      <c r="O13" s="93">
        <f>IF(H13="I",N13*Contagem!$U$11,IF(H13="E",N13*Contagem!$U$13,IF(H13="A",N13*Contagem!$U$12,IF(H13="T",N13*Contagem!$U$14,""))))</f>
        <v>7</v>
      </c>
      <c r="P13" s="73"/>
      <c r="Q13" s="73"/>
      <c r="R13" s="73"/>
      <c r="S13" s="73"/>
      <c r="T13" s="73"/>
      <c r="U13" s="73"/>
      <c r="V13" s="73"/>
      <c r="W13" s="95"/>
      <c r="X13" s="95"/>
      <c r="Y13" s="95"/>
      <c r="Z13" s="95"/>
      <c r="AA13" s="95"/>
      <c r="AB13" s="95"/>
    </row>
    <row r="14" ht="18.0" customHeight="1">
      <c r="A14" s="96" t="s">
        <v>72</v>
      </c>
      <c r="B14" s="73"/>
      <c r="C14" s="73"/>
      <c r="D14" s="73"/>
      <c r="E14" s="73"/>
      <c r="F14" s="75"/>
      <c r="G14" s="76" t="s">
        <v>62</v>
      </c>
      <c r="H14" s="76" t="s">
        <v>41</v>
      </c>
      <c r="I14" s="78">
        <v>10.0</v>
      </c>
      <c r="J14" s="78">
        <v>3.0</v>
      </c>
      <c r="K14" s="76" t="str">
        <f t="shared" si="1"/>
        <v>AIEL</v>
      </c>
      <c r="L14" s="87" t="str">
        <f t="shared" si="2"/>
        <v>L</v>
      </c>
      <c r="M14" s="89" t="str">
        <f t="shared" si="5"/>
        <v>Baixa</v>
      </c>
      <c r="N14" s="91">
        <f t="shared" si="6"/>
        <v>5</v>
      </c>
      <c r="O14" s="93">
        <f>IF(H14="I",N14*Contagem!$U$11,IF(H14="E",N14*Contagem!$U$13,IF(H14="A",N14*Contagem!$U$12,IF(H14="T",N14*Contagem!$U$14,""))))</f>
        <v>5</v>
      </c>
      <c r="P14" s="73"/>
      <c r="Q14" s="73"/>
      <c r="R14" s="73"/>
      <c r="S14" s="73"/>
      <c r="T14" s="73"/>
      <c r="U14" s="73"/>
      <c r="V14" s="73"/>
      <c r="W14" s="95"/>
      <c r="X14" s="95"/>
      <c r="Y14" s="95"/>
      <c r="Z14" s="95"/>
      <c r="AA14" s="95"/>
      <c r="AB14" s="95"/>
    </row>
    <row r="15" ht="18.0" customHeight="1">
      <c r="A15" s="96" t="s">
        <v>74</v>
      </c>
      <c r="B15" s="73"/>
      <c r="C15" s="73"/>
      <c r="D15" s="73"/>
      <c r="E15" s="73"/>
      <c r="F15" s="75"/>
      <c r="G15" s="98" t="s">
        <v>38</v>
      </c>
      <c r="H15" s="76" t="s">
        <v>41</v>
      </c>
      <c r="I15" s="78">
        <v>3.0</v>
      </c>
      <c r="J15" s="78">
        <v>3.0</v>
      </c>
      <c r="K15" s="76" t="str">
        <f t="shared" si="1"/>
        <v>ALIL</v>
      </c>
      <c r="L15" s="87" t="str">
        <f t="shared" si="2"/>
        <v>L</v>
      </c>
      <c r="M15" s="89" t="str">
        <f t="shared" si="5"/>
        <v>Baixa</v>
      </c>
      <c r="N15" s="91">
        <f t="shared" si="6"/>
        <v>7</v>
      </c>
      <c r="O15" s="93">
        <f>IF(H15="I",N15*Contagem!$U$11,IF(H15="E",N15*Contagem!$U$13,IF(H15="A",N15*Contagem!$U$12,IF(H15="T",N15*Contagem!$U$14,""))))</f>
        <v>7</v>
      </c>
      <c r="P15" s="73"/>
      <c r="Q15" s="73"/>
      <c r="R15" s="73"/>
      <c r="S15" s="73"/>
      <c r="T15" s="73"/>
      <c r="U15" s="73"/>
      <c r="V15" s="73"/>
      <c r="W15" s="95"/>
      <c r="X15" s="95"/>
      <c r="Y15" s="95"/>
      <c r="Z15" s="95"/>
      <c r="AA15" s="95"/>
      <c r="AB15" s="95"/>
    </row>
    <row r="16" ht="18.0" customHeight="1">
      <c r="A16" s="96" t="s">
        <v>79</v>
      </c>
      <c r="B16" s="73"/>
      <c r="C16" s="73"/>
      <c r="D16" s="73"/>
      <c r="E16" s="73"/>
      <c r="F16" s="75"/>
      <c r="G16" s="98" t="s">
        <v>38</v>
      </c>
      <c r="H16" s="76" t="s">
        <v>41</v>
      </c>
      <c r="I16" s="78">
        <v>6.0</v>
      </c>
      <c r="J16" s="78">
        <v>3.0</v>
      </c>
      <c r="K16" s="76" t="str">
        <f t="shared" si="1"/>
        <v>ALIL</v>
      </c>
      <c r="L16" s="87" t="str">
        <f t="shared" si="2"/>
        <v>L</v>
      </c>
      <c r="M16" s="89" t="str">
        <f t="shared" si="5"/>
        <v>Baixa</v>
      </c>
      <c r="N16" s="91">
        <f t="shared" si="6"/>
        <v>7</v>
      </c>
      <c r="O16" s="93">
        <f>IF(H16="I",N16*Contagem!$U$11,IF(H16="E",N16*Contagem!$U$13,IF(H16="A",N16*Contagem!$U$12,IF(H16="T",N16*Contagem!$U$14,""))))</f>
        <v>7</v>
      </c>
      <c r="P16" s="73"/>
      <c r="Q16" s="73"/>
      <c r="R16" s="73"/>
      <c r="S16" s="73"/>
      <c r="T16" s="73"/>
      <c r="U16" s="73"/>
      <c r="V16" s="73"/>
      <c r="W16" s="95"/>
      <c r="X16" s="95"/>
      <c r="Y16" s="95"/>
      <c r="Z16" s="95"/>
      <c r="AA16" s="95"/>
      <c r="AB16" s="95"/>
    </row>
    <row r="17" ht="18.0" customHeight="1">
      <c r="A17" s="96" t="s">
        <v>82</v>
      </c>
      <c r="B17" s="73"/>
      <c r="C17" s="73"/>
      <c r="D17" s="73"/>
      <c r="E17" s="73"/>
      <c r="F17" s="75"/>
      <c r="G17" s="98" t="s">
        <v>62</v>
      </c>
      <c r="H17" s="76" t="s">
        <v>41</v>
      </c>
      <c r="I17" s="78">
        <v>3.0</v>
      </c>
      <c r="J17" s="78">
        <v>4.0</v>
      </c>
      <c r="K17" s="76" t="str">
        <f t="shared" si="1"/>
        <v>AIEL</v>
      </c>
      <c r="L17" s="87" t="str">
        <f t="shared" si="2"/>
        <v>L</v>
      </c>
      <c r="M17" s="89" t="str">
        <f t="shared" si="5"/>
        <v>Baixa</v>
      </c>
      <c r="N17" s="91">
        <f t="shared" si="6"/>
        <v>5</v>
      </c>
      <c r="O17" s="93">
        <f>IF(H17="I",N17*Contagem!$U$11,IF(H17="E",N17*Contagem!$U$13,IF(H17="A",N17*Contagem!$U$12,IF(H17="T",N17*Contagem!$U$14,""))))</f>
        <v>5</v>
      </c>
      <c r="P17" s="73"/>
      <c r="Q17" s="73"/>
      <c r="R17" s="73"/>
      <c r="S17" s="73"/>
      <c r="T17" s="73"/>
      <c r="U17" s="73"/>
      <c r="V17" s="73"/>
      <c r="W17" s="95"/>
      <c r="X17" s="95"/>
      <c r="Y17" s="95"/>
      <c r="Z17" s="95"/>
      <c r="AA17" s="95"/>
      <c r="AB17" s="95"/>
    </row>
    <row r="18" ht="18.0" customHeight="1">
      <c r="A18" s="114"/>
      <c r="B18" s="73"/>
      <c r="C18" s="73"/>
      <c r="D18" s="73"/>
      <c r="E18" s="73"/>
      <c r="F18" s="75"/>
      <c r="G18" s="98"/>
      <c r="H18" s="98"/>
      <c r="I18" s="98"/>
      <c r="J18" s="98"/>
      <c r="K18" s="98"/>
      <c r="L18" s="115"/>
      <c r="M18" s="116"/>
      <c r="N18" s="118"/>
      <c r="O18" s="119"/>
      <c r="P18" s="73"/>
      <c r="Q18" s="73"/>
      <c r="R18" s="73"/>
      <c r="S18" s="73"/>
      <c r="T18" s="73"/>
      <c r="U18" s="73"/>
      <c r="V18" s="73"/>
      <c r="W18" s="95"/>
      <c r="X18" s="95"/>
      <c r="Y18" s="95"/>
      <c r="Z18" s="95"/>
      <c r="AA18" s="95"/>
      <c r="AB18" s="95"/>
    </row>
    <row r="19" ht="18.0" customHeight="1">
      <c r="A19" s="96"/>
      <c r="B19" s="73"/>
      <c r="C19" s="73"/>
      <c r="D19" s="73"/>
      <c r="E19" s="73"/>
      <c r="F19" s="75"/>
      <c r="G19" s="98"/>
      <c r="H19" s="98"/>
      <c r="I19" s="98"/>
      <c r="J19" s="98"/>
      <c r="K19" s="98"/>
      <c r="L19" s="115"/>
      <c r="M19" s="116"/>
      <c r="N19" s="118"/>
      <c r="O19" s="119"/>
      <c r="P19" s="73"/>
      <c r="Q19" s="73"/>
      <c r="R19" s="73"/>
      <c r="S19" s="73"/>
      <c r="T19" s="73"/>
      <c r="U19" s="73"/>
      <c r="V19" s="73"/>
      <c r="W19" s="95"/>
      <c r="X19" s="95"/>
      <c r="Y19" s="95"/>
      <c r="Z19" s="95"/>
      <c r="AA19" s="95"/>
      <c r="AB19" s="95"/>
    </row>
    <row r="20" ht="18.0" customHeight="1">
      <c r="A20" s="71" t="s">
        <v>86</v>
      </c>
      <c r="B20" s="73"/>
      <c r="C20" s="73"/>
      <c r="D20" s="73"/>
      <c r="E20" s="73"/>
      <c r="F20" s="75"/>
      <c r="G20" s="76" t="s">
        <v>58</v>
      </c>
      <c r="H20" s="76" t="s">
        <v>41</v>
      </c>
      <c r="I20" s="78">
        <v>3.0</v>
      </c>
      <c r="J20" s="78">
        <v>1.0</v>
      </c>
      <c r="K20" s="76" t="str">
        <f t="shared" ref="K20:K46" si="7">CONCATENATE(G20,L20)</f>
        <v>CEL</v>
      </c>
      <c r="L20" s="87" t="str">
        <f t="shared" ref="L20:L46" si="8">IF(OR(ISBLANK(I20),ISBLANK(J20)),IF(OR(G20="ALI",G20="AIE"),"L",IF(ISBLANK(G20),"","A")),IF(G20="EE",IF(J20&gt;=3,IF(I20&gt;=5,"H","A"),IF(J20&gt;=2,IF(I20&gt;=16,"H",IF(I20&lt;=4,"L","A")),IF(I20&lt;=15,"L","A"))),IF(OR(G20="SE",G20="CE"),IF(J20&gt;=4,IF(I20&gt;=6,"H","A"),IF(J20&gt;=2,IF(I20&gt;=20,"H",IF(I20&lt;=5,"L","A")),IF(I20&lt;=19,"L","A"))),IF(OR(G20="ALI",G20="AIE"),IF(J20&gt;=6,IF(I20&gt;=20,"H","A"),IF(J20&gt;=2,IF(I20&gt;=51,"H",IF(I20&lt;=19,"L","A")),IF(I20&lt;=50,"L","A")))))))</f>
        <v>L</v>
      </c>
      <c r="M20" s="89" t="str">
        <f t="shared" ref="M20:M46" si="9">IF(L20="L","Baixa",IF(L20="A","Média",IF(L20="","","Alta")))</f>
        <v>Baixa</v>
      </c>
      <c r="N20" s="91">
        <f t="shared" ref="N20:N46" si="10">IF(ISBLANK(G20),"",IF(G20="ALI",IF(L20="L",7,IF(L20="A",10,15)),IF(G20="AIE",IF(L20="L",5,IF(L20="A",7,10)),IF(G20="SE",IF(L20="L",4,IF(L20="A",5,7)),IF(OR(G20="EE",G20="CE"),IF(L20="L",3,IF(L20="A",4,6)))))))</f>
        <v>3</v>
      </c>
      <c r="O20" s="93">
        <f>IF(H20="I",N20*Contagem!$U$11,IF(H20="E",N20*Contagem!$U$13,IF(H20="A",N20*Contagem!$U$12,IF(H20="T",N20*Contagem!$U$14,""))))</f>
        <v>3</v>
      </c>
      <c r="P20" s="133">
        <v>8.0</v>
      </c>
      <c r="Q20" s="133" t="s">
        <v>89</v>
      </c>
      <c r="R20" s="73"/>
      <c r="S20" s="73"/>
      <c r="T20" s="73"/>
      <c r="U20" s="73"/>
      <c r="V20" s="73"/>
      <c r="W20" s="95"/>
      <c r="X20" s="95"/>
      <c r="Y20" s="95"/>
      <c r="Z20" s="95"/>
      <c r="AA20" s="95"/>
      <c r="AB20" s="95"/>
    </row>
    <row r="21" ht="18.0" customHeight="1">
      <c r="A21" s="71" t="s">
        <v>90</v>
      </c>
      <c r="B21" s="73"/>
      <c r="C21" s="73"/>
      <c r="D21" s="73"/>
      <c r="E21" s="73"/>
      <c r="F21" s="75"/>
      <c r="G21" s="76" t="s">
        <v>32</v>
      </c>
      <c r="H21" s="76" t="s">
        <v>41</v>
      </c>
      <c r="I21" s="78">
        <v>18.0</v>
      </c>
      <c r="J21" s="78">
        <v>1.0</v>
      </c>
      <c r="K21" s="76" t="str">
        <f t="shared" si="7"/>
        <v>EEA</v>
      </c>
      <c r="L21" s="87" t="str">
        <f t="shared" si="8"/>
        <v>A</v>
      </c>
      <c r="M21" s="89" t="str">
        <f t="shared" si="9"/>
        <v>Média</v>
      </c>
      <c r="N21" s="91">
        <f t="shared" si="10"/>
        <v>4</v>
      </c>
      <c r="O21" s="93">
        <f>IF(H21="I",N21*Contagem!$U$11,IF(H21="E",N21*Contagem!$U$13,IF(H21="A",N21*Contagem!$U$12,IF(H21="T",N21*Contagem!$U$14,""))))</f>
        <v>4</v>
      </c>
      <c r="P21" s="133">
        <v>16.0</v>
      </c>
      <c r="Q21" s="133" t="s">
        <v>89</v>
      </c>
      <c r="R21" s="133" t="s">
        <v>91</v>
      </c>
      <c r="S21" s="73"/>
      <c r="T21" s="73"/>
      <c r="U21" s="73"/>
      <c r="V21" s="73"/>
      <c r="W21" s="95"/>
      <c r="X21" s="95"/>
      <c r="Y21" s="95"/>
      <c r="Z21" s="95"/>
      <c r="AA21" s="95"/>
      <c r="AB21" s="95"/>
    </row>
    <row r="22" ht="18.0" customHeight="1">
      <c r="A22" s="71" t="s">
        <v>92</v>
      </c>
      <c r="B22" s="73"/>
      <c r="C22" s="73"/>
      <c r="D22" s="73"/>
      <c r="E22" s="73"/>
      <c r="F22" s="75"/>
      <c r="G22" s="76" t="s">
        <v>32</v>
      </c>
      <c r="H22" s="76" t="s">
        <v>41</v>
      </c>
      <c r="I22" s="78">
        <v>18.0</v>
      </c>
      <c r="J22" s="78">
        <v>1.0</v>
      </c>
      <c r="K22" s="76" t="str">
        <f t="shared" si="7"/>
        <v>EEA</v>
      </c>
      <c r="L22" s="87" t="str">
        <f t="shared" si="8"/>
        <v>A</v>
      </c>
      <c r="M22" s="89" t="str">
        <f t="shared" si="9"/>
        <v>Média</v>
      </c>
      <c r="N22" s="91">
        <f t="shared" si="10"/>
        <v>4</v>
      </c>
      <c r="O22" s="93">
        <f>IF(H22="I",N22*Contagem!$U$11,IF(H22="E",N22*Contagem!$U$13,IF(H22="A",N22*Contagem!$U$12,IF(H22="T",N22*Contagem!$U$14,""))))</f>
        <v>4</v>
      </c>
      <c r="P22" s="133">
        <v>8.0</v>
      </c>
      <c r="Q22" s="133" t="s">
        <v>89</v>
      </c>
      <c r="R22" s="73"/>
      <c r="S22" s="73"/>
      <c r="T22" s="73"/>
      <c r="U22" s="73"/>
      <c r="V22" s="73"/>
      <c r="W22" s="95"/>
      <c r="X22" s="95"/>
      <c r="Y22" s="95"/>
      <c r="Z22" s="95"/>
      <c r="AA22" s="95"/>
      <c r="AB22" s="95"/>
    </row>
    <row r="23" ht="18.0" customHeight="1">
      <c r="A23" s="71" t="s">
        <v>93</v>
      </c>
      <c r="B23" s="73"/>
      <c r="C23" s="73"/>
      <c r="D23" s="73"/>
      <c r="E23" s="73"/>
      <c r="F23" s="75"/>
      <c r="G23" s="76" t="s">
        <v>32</v>
      </c>
      <c r="H23" s="76" t="s">
        <v>41</v>
      </c>
      <c r="I23" s="78">
        <v>18.0</v>
      </c>
      <c r="J23" s="78">
        <v>1.0</v>
      </c>
      <c r="K23" s="76" t="str">
        <f t="shared" si="7"/>
        <v>EEA</v>
      </c>
      <c r="L23" s="87" t="str">
        <f t="shared" si="8"/>
        <v>A</v>
      </c>
      <c r="M23" s="89" t="str">
        <f t="shared" si="9"/>
        <v>Média</v>
      </c>
      <c r="N23" s="91">
        <f t="shared" si="10"/>
        <v>4</v>
      </c>
      <c r="O23" s="93">
        <f>IF(H23="I",N23*Contagem!$U$11,IF(H23="E",N23*Contagem!$U$13,IF(H23="A",N23*Contagem!$U$12,IF(H23="T",N23*Contagem!$U$14,""))))</f>
        <v>4</v>
      </c>
      <c r="P23" s="133">
        <v>6.0</v>
      </c>
      <c r="Q23" s="133" t="s">
        <v>89</v>
      </c>
      <c r="R23" s="73"/>
      <c r="S23" s="73"/>
      <c r="T23" s="73"/>
      <c r="U23" s="73"/>
      <c r="V23" s="73"/>
      <c r="W23" s="95"/>
      <c r="X23" s="95"/>
      <c r="Y23" s="95"/>
      <c r="Z23" s="95"/>
      <c r="AA23" s="95"/>
      <c r="AB23" s="95"/>
    </row>
    <row r="24" ht="18.0" customHeight="1">
      <c r="A24" s="71" t="s">
        <v>94</v>
      </c>
      <c r="B24" s="73"/>
      <c r="C24" s="73"/>
      <c r="D24" s="73"/>
      <c r="E24" s="73"/>
      <c r="F24" s="75"/>
      <c r="G24" s="76" t="s">
        <v>32</v>
      </c>
      <c r="H24" s="76" t="s">
        <v>41</v>
      </c>
      <c r="I24" s="78">
        <v>18.0</v>
      </c>
      <c r="J24" s="78">
        <v>1.0</v>
      </c>
      <c r="K24" s="76" t="str">
        <f t="shared" si="7"/>
        <v>EEA</v>
      </c>
      <c r="L24" s="87" t="str">
        <f t="shared" si="8"/>
        <v>A</v>
      </c>
      <c r="M24" s="89" t="str">
        <f t="shared" si="9"/>
        <v>Média</v>
      </c>
      <c r="N24" s="91">
        <f t="shared" si="10"/>
        <v>4</v>
      </c>
      <c r="O24" s="93">
        <f>IF(H24="I",N24*Contagem!$U$11,IF(H24="E",N24*Contagem!$U$13,IF(H24="A",N24*Contagem!$U$12,IF(H24="T",N24*Contagem!$U$14,""))))</f>
        <v>4</v>
      </c>
      <c r="P24" s="133">
        <v>6.0</v>
      </c>
      <c r="Q24" s="133" t="s">
        <v>89</v>
      </c>
      <c r="R24" s="73"/>
      <c r="S24" s="73"/>
      <c r="T24" s="73"/>
      <c r="U24" s="73"/>
      <c r="V24" s="73"/>
      <c r="W24" s="95"/>
      <c r="X24" s="95"/>
      <c r="Y24" s="95"/>
      <c r="Z24" s="95"/>
      <c r="AA24" s="95"/>
      <c r="AB24" s="95"/>
    </row>
    <row r="25" ht="18.0" customHeight="1">
      <c r="A25" s="96" t="s">
        <v>95</v>
      </c>
      <c r="B25" s="73"/>
      <c r="C25" s="73"/>
      <c r="D25" s="73"/>
      <c r="E25" s="73"/>
      <c r="F25" s="75"/>
      <c r="G25" s="76" t="s">
        <v>32</v>
      </c>
      <c r="H25" s="76" t="s">
        <v>41</v>
      </c>
      <c r="I25" s="78">
        <v>18.0</v>
      </c>
      <c r="J25" s="78">
        <v>1.0</v>
      </c>
      <c r="K25" s="76" t="str">
        <f t="shared" si="7"/>
        <v>EEA</v>
      </c>
      <c r="L25" s="87" t="str">
        <f t="shared" si="8"/>
        <v>A</v>
      </c>
      <c r="M25" s="89" t="str">
        <f t="shared" si="9"/>
        <v>Média</v>
      </c>
      <c r="N25" s="91">
        <f t="shared" si="10"/>
        <v>4</v>
      </c>
      <c r="O25" s="93">
        <f>IF(H25="I",N25*Contagem!$U$11,IF(H25="E",N25*Contagem!$U$13,IF(H25="A",N25*Contagem!$U$12,IF(H25="T",N25*Contagem!$U$14,""))))</f>
        <v>4</v>
      </c>
      <c r="P25" s="133">
        <v>16.0</v>
      </c>
      <c r="Q25" s="133" t="s">
        <v>89</v>
      </c>
      <c r="R25" s="73"/>
      <c r="S25" s="73"/>
      <c r="T25" s="73"/>
      <c r="U25" s="73"/>
      <c r="V25" s="73"/>
      <c r="W25" s="95"/>
      <c r="X25" s="95"/>
      <c r="Y25" s="95"/>
      <c r="Z25" s="95"/>
      <c r="AA25" s="95"/>
      <c r="AB25" s="95"/>
    </row>
    <row r="26" ht="18.0" customHeight="1">
      <c r="A26" s="114" t="s">
        <v>96</v>
      </c>
      <c r="B26" s="73"/>
      <c r="C26" s="73"/>
      <c r="D26" s="73"/>
      <c r="E26" s="73"/>
      <c r="F26" s="75"/>
      <c r="G26" s="76" t="s">
        <v>32</v>
      </c>
      <c r="H26" s="76" t="s">
        <v>41</v>
      </c>
      <c r="I26" s="78">
        <v>18.0</v>
      </c>
      <c r="J26" s="78">
        <v>1.0</v>
      </c>
      <c r="K26" s="76" t="str">
        <f t="shared" si="7"/>
        <v>EEA</v>
      </c>
      <c r="L26" s="87" t="str">
        <f t="shared" si="8"/>
        <v>A</v>
      </c>
      <c r="M26" s="89" t="str">
        <f t="shared" si="9"/>
        <v>Média</v>
      </c>
      <c r="N26" s="91">
        <f t="shared" si="10"/>
        <v>4</v>
      </c>
      <c r="O26" s="93">
        <f>IF(H26="I",N26*Contagem!$U$11,IF(H26="E",N26*Contagem!$U$13,IF(H26="A",N26*Contagem!$U$12,IF(H26="T",N26*Contagem!$U$14,""))))</f>
        <v>4</v>
      </c>
      <c r="P26" s="133">
        <v>16.0</v>
      </c>
      <c r="Q26" s="133" t="s">
        <v>97</v>
      </c>
      <c r="R26" s="73"/>
      <c r="S26" s="73"/>
      <c r="T26" s="73"/>
      <c r="U26" s="73"/>
      <c r="V26" s="73"/>
      <c r="W26" s="95"/>
      <c r="X26" s="95"/>
      <c r="Y26" s="95"/>
      <c r="Z26" s="95"/>
      <c r="AA26" s="95"/>
      <c r="AB26" s="95"/>
    </row>
    <row r="27" ht="18.0" customHeight="1">
      <c r="A27" s="114" t="s">
        <v>98</v>
      </c>
      <c r="B27" s="73"/>
      <c r="C27" s="73"/>
      <c r="D27" s="73"/>
      <c r="E27" s="73"/>
      <c r="F27" s="75"/>
      <c r="G27" s="76" t="s">
        <v>50</v>
      </c>
      <c r="H27" s="76" t="s">
        <v>41</v>
      </c>
      <c r="I27" s="78">
        <v>18.0</v>
      </c>
      <c r="J27" s="78">
        <v>1.0</v>
      </c>
      <c r="K27" s="76" t="str">
        <f t="shared" si="7"/>
        <v>SEL</v>
      </c>
      <c r="L27" s="87" t="str">
        <f t="shared" si="8"/>
        <v>L</v>
      </c>
      <c r="M27" s="89" t="str">
        <f t="shared" si="9"/>
        <v>Baixa</v>
      </c>
      <c r="N27" s="91">
        <f t="shared" si="10"/>
        <v>4</v>
      </c>
      <c r="O27" s="93">
        <f>IF(H27="I",N27*Contagem!$U$11,IF(H27="E",N27*Contagem!$U$13,IF(H27="A",N27*Contagem!$U$12,IF(H27="T",N27*Contagem!$U$14,""))))</f>
        <v>4</v>
      </c>
      <c r="P27" s="133">
        <v>8.0</v>
      </c>
      <c r="Q27" s="133" t="s">
        <v>97</v>
      </c>
      <c r="R27" s="73"/>
      <c r="S27" s="73"/>
      <c r="T27" s="73"/>
      <c r="U27" s="73"/>
      <c r="V27" s="73"/>
      <c r="W27" s="95"/>
      <c r="X27" s="95"/>
      <c r="Y27" s="95"/>
      <c r="Z27" s="95"/>
      <c r="AA27" s="95"/>
      <c r="AB27" s="95"/>
    </row>
    <row r="28" ht="18.0" customHeight="1">
      <c r="A28" s="114" t="s">
        <v>99</v>
      </c>
      <c r="B28" s="73"/>
      <c r="C28" s="73"/>
      <c r="D28" s="73"/>
      <c r="E28" s="73"/>
      <c r="F28" s="75"/>
      <c r="G28" s="76" t="s">
        <v>32</v>
      </c>
      <c r="H28" s="76" t="s">
        <v>41</v>
      </c>
      <c r="I28" s="78">
        <v>18.0</v>
      </c>
      <c r="J28" s="78">
        <v>1.0</v>
      </c>
      <c r="K28" s="76" t="str">
        <f t="shared" si="7"/>
        <v>EEA</v>
      </c>
      <c r="L28" s="87" t="str">
        <f t="shared" si="8"/>
        <v>A</v>
      </c>
      <c r="M28" s="89" t="str">
        <f t="shared" si="9"/>
        <v>Média</v>
      </c>
      <c r="N28" s="91">
        <f t="shared" si="10"/>
        <v>4</v>
      </c>
      <c r="O28" s="93">
        <f>IF(H28="I",N28*Contagem!$U$11,IF(H28="E",N28*Contagem!$U$13,IF(H28="A",N28*Contagem!$U$12,IF(H28="T",N28*Contagem!$U$14,""))))</f>
        <v>4</v>
      </c>
      <c r="P28" s="133">
        <v>8.0</v>
      </c>
      <c r="Q28" s="133" t="s">
        <v>97</v>
      </c>
      <c r="R28" s="73"/>
      <c r="S28" s="73"/>
      <c r="T28" s="73"/>
      <c r="U28" s="73"/>
      <c r="V28" s="73"/>
      <c r="W28" s="95"/>
      <c r="X28" s="95"/>
      <c r="Y28" s="95"/>
      <c r="Z28" s="95"/>
      <c r="AA28" s="95"/>
      <c r="AB28" s="95"/>
    </row>
    <row r="29" ht="18.0" customHeight="1">
      <c r="A29" s="114" t="s">
        <v>100</v>
      </c>
      <c r="B29" s="73"/>
      <c r="C29" s="73"/>
      <c r="D29" s="73"/>
      <c r="E29" s="73"/>
      <c r="F29" s="75"/>
      <c r="G29" s="76" t="s">
        <v>32</v>
      </c>
      <c r="H29" s="76" t="s">
        <v>41</v>
      </c>
      <c r="I29" s="78">
        <v>18.0</v>
      </c>
      <c r="J29" s="78">
        <v>1.0</v>
      </c>
      <c r="K29" s="76" t="str">
        <f t="shared" si="7"/>
        <v>EEA</v>
      </c>
      <c r="L29" s="87" t="str">
        <f t="shared" si="8"/>
        <v>A</v>
      </c>
      <c r="M29" s="89" t="str">
        <f t="shared" si="9"/>
        <v>Média</v>
      </c>
      <c r="N29" s="91">
        <f t="shared" si="10"/>
        <v>4</v>
      </c>
      <c r="O29" s="93">
        <f>IF(H29="I",N29*Contagem!$U$11,IF(H29="E",N29*Contagem!$U$13,IF(H29="A",N29*Contagem!$U$12,IF(H29="T",N29*Contagem!$U$14,""))))</f>
        <v>4</v>
      </c>
      <c r="P29" s="133">
        <v>6.0</v>
      </c>
      <c r="Q29" s="133" t="s">
        <v>97</v>
      </c>
      <c r="R29" s="73"/>
      <c r="S29" s="73"/>
      <c r="T29" s="73"/>
      <c r="U29" s="73"/>
      <c r="V29" s="73"/>
      <c r="W29" s="95"/>
      <c r="X29" s="95"/>
      <c r="Y29" s="95"/>
      <c r="Z29" s="95"/>
      <c r="AA29" s="95"/>
      <c r="AB29" s="95"/>
    </row>
    <row r="30" ht="18.0" customHeight="1">
      <c r="A30" s="114" t="s">
        <v>101</v>
      </c>
      <c r="B30" s="73"/>
      <c r="C30" s="73"/>
      <c r="D30" s="73"/>
      <c r="E30" s="73"/>
      <c r="F30" s="75"/>
      <c r="G30" s="76" t="s">
        <v>32</v>
      </c>
      <c r="H30" s="76" t="s">
        <v>41</v>
      </c>
      <c r="I30" s="78">
        <v>18.0</v>
      </c>
      <c r="J30" s="78">
        <v>1.0</v>
      </c>
      <c r="K30" s="76" t="str">
        <f t="shared" si="7"/>
        <v>EEA</v>
      </c>
      <c r="L30" s="87" t="str">
        <f t="shared" si="8"/>
        <v>A</v>
      </c>
      <c r="M30" s="89" t="str">
        <f t="shared" si="9"/>
        <v>Média</v>
      </c>
      <c r="N30" s="91">
        <f t="shared" si="10"/>
        <v>4</v>
      </c>
      <c r="O30" s="93">
        <f>IF(H30="I",N30*Contagem!$U$11,IF(H30="E",N30*Contagem!$U$13,IF(H30="A",N30*Contagem!$U$12,IF(H30="T",N30*Contagem!$U$14,""))))</f>
        <v>4</v>
      </c>
      <c r="P30" s="133">
        <v>6.0</v>
      </c>
      <c r="Q30" s="133" t="s">
        <v>97</v>
      </c>
      <c r="R30" s="73"/>
      <c r="S30" s="73"/>
      <c r="T30" s="73"/>
      <c r="U30" s="73"/>
      <c r="V30" s="73"/>
      <c r="W30" s="95"/>
      <c r="X30" s="95"/>
      <c r="Y30" s="95"/>
      <c r="Z30" s="95"/>
      <c r="AA30" s="95"/>
      <c r="AB30" s="95"/>
    </row>
    <row r="31" ht="18.0" customHeight="1">
      <c r="A31" s="96" t="s">
        <v>102</v>
      </c>
      <c r="B31" s="73"/>
      <c r="C31" s="73"/>
      <c r="D31" s="73"/>
      <c r="E31" s="73"/>
      <c r="F31" s="75"/>
      <c r="G31" s="76" t="s">
        <v>32</v>
      </c>
      <c r="H31" s="76" t="s">
        <v>41</v>
      </c>
      <c r="I31" s="78">
        <v>5.0</v>
      </c>
      <c r="J31" s="78">
        <v>3.0</v>
      </c>
      <c r="K31" s="76" t="str">
        <f t="shared" si="7"/>
        <v>EEH</v>
      </c>
      <c r="L31" s="87" t="str">
        <f t="shared" si="8"/>
        <v>H</v>
      </c>
      <c r="M31" s="89" t="str">
        <f t="shared" si="9"/>
        <v>Alta</v>
      </c>
      <c r="N31" s="91">
        <f t="shared" si="10"/>
        <v>6</v>
      </c>
      <c r="O31" s="93">
        <f>IF(H31="I",N31*Contagem!$U$11,IF(H31="E",N31*Contagem!$U$13,IF(H31="A",N31*Contagem!$U$12,IF(H31="T",N31*Contagem!$U$14,""))))</f>
        <v>6</v>
      </c>
      <c r="P31" s="133">
        <v>24.0</v>
      </c>
      <c r="Q31" s="133" t="s">
        <v>104</v>
      </c>
      <c r="R31" s="133" t="s">
        <v>105</v>
      </c>
      <c r="S31" s="73"/>
      <c r="T31" s="73"/>
      <c r="U31" s="73"/>
      <c r="V31" s="73"/>
      <c r="W31" s="95"/>
      <c r="X31" s="95"/>
      <c r="Y31" s="95"/>
      <c r="Z31" s="95"/>
      <c r="AA31" s="95"/>
      <c r="AB31" s="95"/>
    </row>
    <row r="32" ht="18.0" customHeight="1">
      <c r="A32" s="96" t="s">
        <v>107</v>
      </c>
      <c r="B32" s="73"/>
      <c r="C32" s="73"/>
      <c r="D32" s="73"/>
      <c r="E32" s="73"/>
      <c r="F32" s="75"/>
      <c r="G32" s="78" t="s">
        <v>58</v>
      </c>
      <c r="H32" s="76" t="s">
        <v>41</v>
      </c>
      <c r="I32" s="78">
        <v>8.0</v>
      </c>
      <c r="J32" s="78">
        <v>2.0</v>
      </c>
      <c r="K32" s="76" t="str">
        <f t="shared" si="7"/>
        <v>CEA</v>
      </c>
      <c r="L32" s="87" t="str">
        <f t="shared" si="8"/>
        <v>A</v>
      </c>
      <c r="M32" s="89" t="str">
        <f t="shared" si="9"/>
        <v>Média</v>
      </c>
      <c r="N32" s="91">
        <f t="shared" si="10"/>
        <v>4</v>
      </c>
      <c r="O32" s="93">
        <f>IF(H32="I",N32*Contagem!$U$11,IF(H32="E",N32*Contagem!$U$13,IF(H32="A",N32*Contagem!$U$12,IF(H32="T",N32*Contagem!$U$14,""))))</f>
        <v>4</v>
      </c>
      <c r="P32" s="133">
        <v>12.0</v>
      </c>
      <c r="Q32" s="133" t="s">
        <v>57</v>
      </c>
      <c r="R32" s="133" t="s">
        <v>108</v>
      </c>
      <c r="S32" s="73"/>
      <c r="T32" s="73"/>
      <c r="U32" s="73"/>
      <c r="V32" s="73"/>
      <c r="W32" s="95"/>
      <c r="X32" s="95"/>
      <c r="Y32" s="95"/>
      <c r="Z32" s="95"/>
      <c r="AA32" s="95"/>
      <c r="AB32" s="95"/>
    </row>
    <row r="33" ht="18.0" customHeight="1">
      <c r="A33" s="96" t="s">
        <v>109</v>
      </c>
      <c r="B33" s="73"/>
      <c r="C33" s="73"/>
      <c r="D33" s="73"/>
      <c r="E33" s="73"/>
      <c r="F33" s="75"/>
      <c r="G33" s="78" t="s">
        <v>58</v>
      </c>
      <c r="H33" s="104" t="s">
        <v>41</v>
      </c>
      <c r="I33" s="78">
        <v>10.0</v>
      </c>
      <c r="J33" s="78">
        <v>2.0</v>
      </c>
      <c r="K33" s="76" t="str">
        <f t="shared" si="7"/>
        <v>CEA</v>
      </c>
      <c r="L33" s="87" t="str">
        <f t="shared" si="8"/>
        <v>A</v>
      </c>
      <c r="M33" s="89" t="str">
        <f t="shared" si="9"/>
        <v>Média</v>
      </c>
      <c r="N33" s="91">
        <f t="shared" si="10"/>
        <v>4</v>
      </c>
      <c r="O33" s="93">
        <f>IF(H33="I",N33*Contagem!$U$11,IF(H33="E",N33*Contagem!$U$13,IF(H33="A",N33*Contagem!$U$12,IF(H33="T",N33*Contagem!$U$14,""))))</f>
        <v>4</v>
      </c>
      <c r="P33" s="133">
        <v>40.0</v>
      </c>
      <c r="Q33" s="133" t="s">
        <v>113</v>
      </c>
      <c r="R33" s="142"/>
      <c r="S33" s="73"/>
      <c r="T33" s="73"/>
      <c r="U33" s="73"/>
      <c r="V33" s="73"/>
      <c r="W33" s="95"/>
      <c r="X33" s="95"/>
      <c r="Y33" s="95"/>
      <c r="Z33" s="95"/>
      <c r="AA33" s="95"/>
      <c r="AB33" s="95"/>
    </row>
    <row r="34" ht="18.0" customHeight="1">
      <c r="A34" s="96" t="s">
        <v>123</v>
      </c>
      <c r="B34" s="73"/>
      <c r="C34" s="73"/>
      <c r="D34" s="73"/>
      <c r="E34" s="73"/>
      <c r="F34" s="75"/>
      <c r="G34" s="78" t="s">
        <v>50</v>
      </c>
      <c r="H34" s="104" t="s">
        <v>41</v>
      </c>
      <c r="I34" s="78">
        <v>6.0</v>
      </c>
      <c r="J34" s="78">
        <v>3.0</v>
      </c>
      <c r="K34" s="76" t="str">
        <f t="shared" si="7"/>
        <v>SEA</v>
      </c>
      <c r="L34" s="87" t="str">
        <f t="shared" si="8"/>
        <v>A</v>
      </c>
      <c r="M34" s="89" t="str">
        <f t="shared" si="9"/>
        <v>Média</v>
      </c>
      <c r="N34" s="91">
        <f t="shared" si="10"/>
        <v>5</v>
      </c>
      <c r="O34" s="93">
        <f>IF(H34="I",N34*Contagem!$U$11,IF(H34="E",N34*Contagem!$U$13,IF(H34="A",N34*Contagem!$U$12,IF(H34="T",N34*Contagem!$U$14,""))))</f>
        <v>5</v>
      </c>
      <c r="P34" s="133">
        <v>40.0</v>
      </c>
      <c r="Q34" s="133" t="s">
        <v>113</v>
      </c>
      <c r="R34" s="142"/>
      <c r="S34" s="73"/>
      <c r="T34" s="73"/>
      <c r="U34" s="73"/>
      <c r="V34" s="73"/>
      <c r="W34" s="95"/>
      <c r="X34" s="95"/>
      <c r="Y34" s="95"/>
      <c r="Z34" s="95"/>
      <c r="AA34" s="95"/>
      <c r="AB34" s="95"/>
    </row>
    <row r="35" ht="18.0" customHeight="1">
      <c r="A35" s="96" t="s">
        <v>134</v>
      </c>
      <c r="B35" s="73"/>
      <c r="C35" s="73"/>
      <c r="D35" s="73"/>
      <c r="E35" s="73"/>
      <c r="F35" s="75"/>
      <c r="G35" s="76" t="s">
        <v>32</v>
      </c>
      <c r="H35" s="76" t="s">
        <v>41</v>
      </c>
      <c r="I35" s="78">
        <v>8.0</v>
      </c>
      <c r="J35" s="78">
        <v>3.0</v>
      </c>
      <c r="K35" s="76" t="str">
        <f t="shared" si="7"/>
        <v>EEH</v>
      </c>
      <c r="L35" s="87" t="str">
        <f t="shared" si="8"/>
        <v>H</v>
      </c>
      <c r="M35" s="89" t="str">
        <f t="shared" si="9"/>
        <v>Alta</v>
      </c>
      <c r="N35" s="91">
        <f t="shared" si="10"/>
        <v>6</v>
      </c>
      <c r="O35" s="93">
        <f>IF(H35="I",N35*Contagem!$U$11,IF(H35="E",N35*Contagem!$U$13,IF(H35="A",N35*Contagem!$U$12,IF(H35="T",N35*Contagem!$U$14,""))))</f>
        <v>6</v>
      </c>
      <c r="P35" s="133">
        <v>16.0</v>
      </c>
      <c r="Q35" s="133" t="s">
        <v>104</v>
      </c>
      <c r="R35" s="73"/>
      <c r="S35" s="73"/>
      <c r="T35" s="73"/>
      <c r="U35" s="73"/>
      <c r="V35" s="73"/>
      <c r="W35" s="95"/>
      <c r="X35" s="95"/>
      <c r="Y35" s="95"/>
      <c r="Z35" s="95"/>
      <c r="AA35" s="95"/>
      <c r="AB35" s="95"/>
    </row>
    <row r="36" ht="18.0" customHeight="1">
      <c r="A36" s="96" t="s">
        <v>135</v>
      </c>
      <c r="B36" s="73"/>
      <c r="C36" s="73"/>
      <c r="D36" s="73"/>
      <c r="E36" s="73"/>
      <c r="F36" s="75"/>
      <c r="G36" s="78" t="s">
        <v>58</v>
      </c>
      <c r="H36" s="76" t="s">
        <v>41</v>
      </c>
      <c r="I36" s="78">
        <v>4.0</v>
      </c>
      <c r="J36" s="78">
        <v>3.0</v>
      </c>
      <c r="K36" s="76" t="str">
        <f t="shared" si="7"/>
        <v>CEL</v>
      </c>
      <c r="L36" s="87" t="str">
        <f t="shared" si="8"/>
        <v>L</v>
      </c>
      <c r="M36" s="89" t="str">
        <f t="shared" si="9"/>
        <v>Baixa</v>
      </c>
      <c r="N36" s="91">
        <f t="shared" si="10"/>
        <v>3</v>
      </c>
      <c r="O36" s="93">
        <f>IF(H36="I",N36*Contagem!$U$11,IF(H36="E",N36*Contagem!$U$13,IF(H36="A",N36*Contagem!$U$12,IF(H36="T",N36*Contagem!$U$14,""))))</f>
        <v>3</v>
      </c>
      <c r="P36" s="133">
        <v>16.0</v>
      </c>
      <c r="Q36" s="133" t="s">
        <v>113</v>
      </c>
      <c r="R36" s="73"/>
      <c r="S36" s="73"/>
      <c r="T36" s="73"/>
      <c r="U36" s="73"/>
      <c r="V36" s="73"/>
      <c r="W36" s="95"/>
      <c r="X36" s="95"/>
      <c r="Y36" s="95"/>
      <c r="Z36" s="95"/>
      <c r="AA36" s="95"/>
      <c r="AB36" s="95"/>
    </row>
    <row r="37" ht="18.0" customHeight="1">
      <c r="A37" s="96" t="s">
        <v>136</v>
      </c>
      <c r="B37" s="73"/>
      <c r="C37" s="73"/>
      <c r="D37" s="73"/>
      <c r="E37" s="73"/>
      <c r="F37" s="75"/>
      <c r="G37" s="78" t="s">
        <v>58</v>
      </c>
      <c r="H37" s="76" t="s">
        <v>41</v>
      </c>
      <c r="I37" s="78">
        <v>10.0</v>
      </c>
      <c r="J37" s="78">
        <v>3.0</v>
      </c>
      <c r="K37" s="76" t="str">
        <f t="shared" si="7"/>
        <v>CEA</v>
      </c>
      <c r="L37" s="87" t="str">
        <f t="shared" si="8"/>
        <v>A</v>
      </c>
      <c r="M37" s="89" t="str">
        <f t="shared" si="9"/>
        <v>Média</v>
      </c>
      <c r="N37" s="91">
        <f t="shared" si="10"/>
        <v>4</v>
      </c>
      <c r="O37" s="93">
        <f>IF(H37="I",N37*Contagem!$U$11,IF(H37="E",N37*Contagem!$U$13,IF(H37="A",N37*Contagem!$U$12,IF(H37="T",N37*Contagem!$U$14,""))))</f>
        <v>4</v>
      </c>
      <c r="P37" s="133">
        <v>40.0</v>
      </c>
      <c r="Q37" s="133" t="s">
        <v>137</v>
      </c>
      <c r="R37" s="73"/>
      <c r="S37" s="73"/>
      <c r="T37" s="73"/>
      <c r="U37" s="73"/>
      <c r="V37" s="73"/>
      <c r="W37" s="95"/>
      <c r="X37" s="95"/>
      <c r="Y37" s="95"/>
      <c r="Z37" s="95"/>
      <c r="AA37" s="95"/>
      <c r="AB37" s="95"/>
    </row>
    <row r="38" ht="18.0" customHeight="1">
      <c r="A38" s="96" t="s">
        <v>138</v>
      </c>
      <c r="B38" s="73"/>
      <c r="C38" s="73"/>
      <c r="D38" s="73"/>
      <c r="E38" s="73"/>
      <c r="F38" s="75"/>
      <c r="G38" s="78" t="s">
        <v>32</v>
      </c>
      <c r="H38" s="76" t="s">
        <v>41</v>
      </c>
      <c r="I38" s="78">
        <v>6.0</v>
      </c>
      <c r="J38" s="78">
        <v>3.0</v>
      </c>
      <c r="K38" s="76" t="str">
        <f t="shared" si="7"/>
        <v>EEH</v>
      </c>
      <c r="L38" s="87" t="str">
        <f t="shared" si="8"/>
        <v>H</v>
      </c>
      <c r="M38" s="89" t="str">
        <f t="shared" si="9"/>
        <v>Alta</v>
      </c>
      <c r="N38" s="91">
        <f t="shared" si="10"/>
        <v>6</v>
      </c>
      <c r="O38" s="93">
        <f>IF(H38="I",N38*Contagem!$U$11,IF(H38="E",N38*Contagem!$U$13,IF(H38="A",N38*Contagem!$U$12,IF(H38="T",N38*Contagem!$U$14,""))))</f>
        <v>6</v>
      </c>
      <c r="P38" s="133">
        <v>32.0</v>
      </c>
      <c r="Q38" s="133" t="s">
        <v>57</v>
      </c>
      <c r="R38" s="73"/>
      <c r="S38" s="73"/>
      <c r="T38" s="73"/>
      <c r="U38" s="73"/>
      <c r="V38" s="73"/>
      <c r="W38" s="95"/>
      <c r="X38" s="95"/>
      <c r="Y38" s="95"/>
      <c r="Z38" s="95"/>
      <c r="AA38" s="95"/>
      <c r="AB38" s="95"/>
    </row>
    <row r="39" ht="18.0" customHeight="1">
      <c r="A39" s="96" t="s">
        <v>139</v>
      </c>
      <c r="B39" s="73"/>
      <c r="C39" s="73"/>
      <c r="D39" s="73"/>
      <c r="E39" s="73"/>
      <c r="F39" s="75"/>
      <c r="G39" s="76" t="s">
        <v>32</v>
      </c>
      <c r="H39" s="76" t="s">
        <v>41</v>
      </c>
      <c r="I39" s="78">
        <v>10.0</v>
      </c>
      <c r="J39" s="78">
        <v>3.0</v>
      </c>
      <c r="K39" s="76" t="str">
        <f t="shared" si="7"/>
        <v>EEH</v>
      </c>
      <c r="L39" s="87" t="str">
        <f t="shared" si="8"/>
        <v>H</v>
      </c>
      <c r="M39" s="89" t="str">
        <f t="shared" si="9"/>
        <v>Alta</v>
      </c>
      <c r="N39" s="91">
        <f t="shared" si="10"/>
        <v>6</v>
      </c>
      <c r="O39" s="93">
        <f>IF(H39="I",N39*Contagem!$U$11,IF(H39="E",N39*Contagem!$U$13,IF(H39="A",N39*Contagem!$U$12,IF(H39="T",N39*Contagem!$U$14,""))))</f>
        <v>6</v>
      </c>
      <c r="P39" s="133">
        <v>16.0</v>
      </c>
      <c r="Q39" s="133" t="s">
        <v>140</v>
      </c>
      <c r="R39" s="73"/>
      <c r="S39" s="73"/>
      <c r="T39" s="73"/>
      <c r="U39" s="73"/>
      <c r="V39" s="73"/>
      <c r="W39" s="95"/>
      <c r="X39" s="95"/>
      <c r="Y39" s="95"/>
      <c r="Z39" s="95"/>
      <c r="AA39" s="95"/>
      <c r="AB39" s="95"/>
    </row>
    <row r="40" ht="18.0" customHeight="1">
      <c r="A40" s="143" t="s">
        <v>141</v>
      </c>
      <c r="B40" s="73"/>
      <c r="C40" s="73"/>
      <c r="D40" s="73"/>
      <c r="E40" s="73"/>
      <c r="F40" s="75"/>
      <c r="G40" s="76" t="s">
        <v>58</v>
      </c>
      <c r="H40" s="76" t="s">
        <v>41</v>
      </c>
      <c r="I40" s="78">
        <v>10.0</v>
      </c>
      <c r="J40" s="78">
        <v>3.0</v>
      </c>
      <c r="K40" s="76" t="str">
        <f t="shared" si="7"/>
        <v>CEA</v>
      </c>
      <c r="L40" s="87" t="str">
        <f t="shared" si="8"/>
        <v>A</v>
      </c>
      <c r="M40" s="89" t="str">
        <f t="shared" si="9"/>
        <v>Média</v>
      </c>
      <c r="N40" s="91">
        <f t="shared" si="10"/>
        <v>4</v>
      </c>
      <c r="O40" s="93">
        <f>IF(H40="I",N40*Contagem!$U$11,IF(H40="E",N40*Contagem!$U$13,IF(H40="A",N40*Contagem!$U$12,IF(H40="T",N40*Contagem!$U$14,""))))</f>
        <v>4</v>
      </c>
      <c r="P40" s="133">
        <v>16.0</v>
      </c>
      <c r="Q40" s="133" t="s">
        <v>140</v>
      </c>
      <c r="R40" s="144"/>
      <c r="S40" s="73"/>
      <c r="T40" s="73"/>
      <c r="U40" s="73"/>
      <c r="V40" s="73"/>
      <c r="W40" s="95"/>
      <c r="X40" s="95"/>
      <c r="Y40" s="95"/>
      <c r="Z40" s="95"/>
      <c r="AA40" s="95"/>
      <c r="AB40" s="95"/>
    </row>
    <row r="41" ht="18.0" customHeight="1">
      <c r="A41" s="96" t="s">
        <v>142</v>
      </c>
      <c r="B41" s="73"/>
      <c r="C41" s="73"/>
      <c r="D41" s="73"/>
      <c r="E41" s="73"/>
      <c r="F41" s="75"/>
      <c r="G41" s="78" t="s">
        <v>50</v>
      </c>
      <c r="H41" s="76" t="s">
        <v>41</v>
      </c>
      <c r="I41" s="78">
        <v>10.0</v>
      </c>
      <c r="J41" s="78">
        <v>4.0</v>
      </c>
      <c r="K41" s="76" t="str">
        <f t="shared" si="7"/>
        <v>SEH</v>
      </c>
      <c r="L41" s="87" t="str">
        <f t="shared" si="8"/>
        <v>H</v>
      </c>
      <c r="M41" s="89" t="str">
        <f t="shared" si="9"/>
        <v>Alta</v>
      </c>
      <c r="N41" s="91">
        <f t="shared" si="10"/>
        <v>7</v>
      </c>
      <c r="O41" s="93">
        <f>IF(H41="I",N41*Contagem!$U$11,IF(H41="E",N41*Contagem!$U$13,IF(H41="A",N41*Contagem!$U$12,IF(H41="T",N41*Contagem!$U$14,""))))</f>
        <v>7</v>
      </c>
      <c r="P41" s="133">
        <v>40.0</v>
      </c>
      <c r="Q41" s="133" t="s">
        <v>57</v>
      </c>
      <c r="R41" s="133" t="s">
        <v>143</v>
      </c>
      <c r="S41" s="73"/>
      <c r="T41" s="73"/>
      <c r="U41" s="73"/>
      <c r="V41" s="73"/>
      <c r="W41" s="95"/>
      <c r="X41" s="95"/>
      <c r="Y41" s="95"/>
      <c r="Z41" s="95"/>
      <c r="AA41" s="95"/>
      <c r="AB41" s="95"/>
    </row>
    <row r="42" ht="18.0" customHeight="1">
      <c r="A42" s="96" t="s">
        <v>144</v>
      </c>
      <c r="B42" s="73"/>
      <c r="C42" s="73"/>
      <c r="D42" s="73"/>
      <c r="E42" s="73"/>
      <c r="F42" s="75"/>
      <c r="G42" s="76" t="s">
        <v>32</v>
      </c>
      <c r="H42" s="76" t="s">
        <v>41</v>
      </c>
      <c r="I42" s="78">
        <v>10.0</v>
      </c>
      <c r="J42" s="78">
        <v>4.0</v>
      </c>
      <c r="K42" s="76" t="str">
        <f t="shared" si="7"/>
        <v>EEH</v>
      </c>
      <c r="L42" s="87" t="str">
        <f t="shared" si="8"/>
        <v>H</v>
      </c>
      <c r="M42" s="89" t="str">
        <f t="shared" si="9"/>
        <v>Alta</v>
      </c>
      <c r="N42" s="91">
        <f t="shared" si="10"/>
        <v>6</v>
      </c>
      <c r="O42" s="93">
        <f>IF(H42="I",N42*Contagem!$U$11,IF(H42="E",N42*Contagem!$U$13,IF(H42="A",N42*Contagem!$U$12,IF(H42="T",N42*Contagem!$U$14,""))))</f>
        <v>6</v>
      </c>
      <c r="P42" s="133">
        <v>40.0</v>
      </c>
      <c r="Q42" s="133" t="s">
        <v>57</v>
      </c>
      <c r="R42" s="133" t="s">
        <v>145</v>
      </c>
      <c r="S42" s="73"/>
      <c r="T42" s="73"/>
      <c r="U42" s="73"/>
      <c r="V42" s="73"/>
      <c r="W42" s="95"/>
      <c r="X42" s="95"/>
      <c r="Y42" s="95"/>
      <c r="Z42" s="95"/>
      <c r="AA42" s="95"/>
      <c r="AB42" s="95"/>
    </row>
    <row r="43" ht="18.0" customHeight="1">
      <c r="A43" s="145" t="s">
        <v>146</v>
      </c>
      <c r="B43" s="73"/>
      <c r="C43" s="73"/>
      <c r="D43" s="73"/>
      <c r="E43" s="73"/>
      <c r="F43" s="75"/>
      <c r="G43" s="98" t="s">
        <v>50</v>
      </c>
      <c r="H43" s="76" t="s">
        <v>41</v>
      </c>
      <c r="I43" s="78">
        <v>8.0</v>
      </c>
      <c r="J43" s="78">
        <v>3.0</v>
      </c>
      <c r="K43" s="76" t="str">
        <f t="shared" si="7"/>
        <v>SEA</v>
      </c>
      <c r="L43" s="87" t="str">
        <f t="shared" si="8"/>
        <v>A</v>
      </c>
      <c r="M43" s="89" t="str">
        <f t="shared" si="9"/>
        <v>Média</v>
      </c>
      <c r="N43" s="91">
        <f t="shared" si="10"/>
        <v>5</v>
      </c>
      <c r="O43" s="93">
        <f>IF(H43="I",N43*Contagem!$U$11,IF(H43="E",N43*Contagem!$U$13,IF(H43="A",N43*Contagem!$U$12,IF(H43="T",N43*Contagem!$U$14,""))))</f>
        <v>5</v>
      </c>
      <c r="P43" s="133">
        <v>16.0</v>
      </c>
      <c r="Q43" s="133" t="s">
        <v>89</v>
      </c>
      <c r="R43" s="146"/>
      <c r="S43" s="73"/>
      <c r="T43" s="73"/>
      <c r="U43" s="73"/>
      <c r="V43" s="73"/>
      <c r="W43" s="95"/>
      <c r="X43" s="95"/>
      <c r="Y43" s="95"/>
      <c r="Z43" s="95"/>
      <c r="AA43" s="95"/>
      <c r="AB43" s="95"/>
    </row>
    <row r="44" ht="18.0" customHeight="1">
      <c r="A44" s="147" t="s">
        <v>147</v>
      </c>
      <c r="B44" s="73"/>
      <c r="C44" s="73"/>
      <c r="D44" s="73"/>
      <c r="E44" s="73"/>
      <c r="F44" s="75"/>
      <c r="G44" s="98" t="s">
        <v>50</v>
      </c>
      <c r="H44" s="76" t="s">
        <v>41</v>
      </c>
      <c r="I44" s="78">
        <v>8.0</v>
      </c>
      <c r="J44" s="78">
        <v>4.0</v>
      </c>
      <c r="K44" s="76" t="str">
        <f t="shared" si="7"/>
        <v>SEH</v>
      </c>
      <c r="L44" s="87" t="str">
        <f t="shared" si="8"/>
        <v>H</v>
      </c>
      <c r="M44" s="89" t="str">
        <f t="shared" si="9"/>
        <v>Alta</v>
      </c>
      <c r="N44" s="91">
        <f t="shared" si="10"/>
        <v>7</v>
      </c>
      <c r="O44" s="93">
        <f>IF(H44="I",N44*Contagem!$U$11,IF(H44="E",N44*Contagem!$U$13,IF(H44="A",N44*Contagem!$U$12,IF(H44="T",N44*Contagem!$U$14,""))))</f>
        <v>7</v>
      </c>
      <c r="P44" s="133">
        <v>16.0</v>
      </c>
      <c r="Q44" s="133" t="s">
        <v>89</v>
      </c>
      <c r="R44" s="73"/>
      <c r="S44" s="73"/>
      <c r="T44" s="73"/>
      <c r="U44" s="73"/>
      <c r="V44" s="73"/>
      <c r="W44" s="95"/>
      <c r="X44" s="95"/>
      <c r="Y44" s="95"/>
      <c r="Z44" s="95"/>
      <c r="AA44" s="95"/>
      <c r="AB44" s="95"/>
    </row>
    <row r="45" ht="18.0" customHeight="1">
      <c r="A45" s="96" t="s">
        <v>148</v>
      </c>
      <c r="B45" s="73"/>
      <c r="C45" s="73"/>
      <c r="D45" s="73"/>
      <c r="E45" s="73"/>
      <c r="F45" s="75"/>
      <c r="G45" s="98" t="s">
        <v>50</v>
      </c>
      <c r="H45" s="76" t="s">
        <v>41</v>
      </c>
      <c r="I45" s="78">
        <v>8.0</v>
      </c>
      <c r="J45" s="78">
        <v>1.0</v>
      </c>
      <c r="K45" s="76" t="str">
        <f t="shared" si="7"/>
        <v>SEL</v>
      </c>
      <c r="L45" s="87" t="str">
        <f t="shared" si="8"/>
        <v>L</v>
      </c>
      <c r="M45" s="89" t="str">
        <f t="shared" si="9"/>
        <v>Baixa</v>
      </c>
      <c r="N45" s="91">
        <f t="shared" si="10"/>
        <v>4</v>
      </c>
      <c r="O45" s="93">
        <f>IF(H45="I",N45*Contagem!$U$11,IF(H45="E",N45*Contagem!$U$13,IF(H45="A",N45*Contagem!$U$12,IF(H45="T",N45*Contagem!$U$14,""))))</f>
        <v>4</v>
      </c>
      <c r="P45" s="133">
        <v>16.0</v>
      </c>
      <c r="Q45" s="133" t="s">
        <v>89</v>
      </c>
      <c r="R45" s="73"/>
      <c r="S45" s="73"/>
      <c r="T45" s="73"/>
      <c r="U45" s="73"/>
      <c r="V45" s="73"/>
      <c r="W45" s="95"/>
      <c r="X45" s="95"/>
      <c r="Y45" s="95"/>
      <c r="Z45" s="95"/>
      <c r="AA45" s="95"/>
      <c r="AB45" s="95"/>
    </row>
    <row r="46" ht="18.0" customHeight="1">
      <c r="A46" s="96" t="s">
        <v>132</v>
      </c>
      <c r="B46" s="73"/>
      <c r="C46" s="73"/>
      <c r="D46" s="73"/>
      <c r="E46" s="73"/>
      <c r="F46" s="75"/>
      <c r="G46" s="78" t="s">
        <v>32</v>
      </c>
      <c r="H46" s="104" t="s">
        <v>41</v>
      </c>
      <c r="I46" s="78">
        <v>10.0</v>
      </c>
      <c r="J46" s="78">
        <v>3.0</v>
      </c>
      <c r="K46" s="76" t="str">
        <f t="shared" si="7"/>
        <v>EEH</v>
      </c>
      <c r="L46" s="87" t="str">
        <f t="shared" si="8"/>
        <v>H</v>
      </c>
      <c r="M46" s="89" t="str">
        <f t="shared" si="9"/>
        <v>Alta</v>
      </c>
      <c r="N46" s="91">
        <f t="shared" si="10"/>
        <v>6</v>
      </c>
      <c r="O46" s="93">
        <f>IF(H46="I",N46*Contagem!$U$11,IF(H46="E",N46*Contagem!$U$13,IF(H46="A",N46*Contagem!$U$12,IF(H46="T",N46*Contagem!$U$14,""))))</f>
        <v>6</v>
      </c>
      <c r="P46" s="133">
        <v>40.0</v>
      </c>
      <c r="Q46" s="133" t="s">
        <v>113</v>
      </c>
      <c r="R46" s="73"/>
      <c r="S46" s="73"/>
      <c r="T46" s="73"/>
      <c r="U46" s="73"/>
      <c r="V46" s="73"/>
      <c r="W46" s="95"/>
      <c r="X46" s="95"/>
      <c r="Y46" s="95"/>
      <c r="Z46" s="95"/>
      <c r="AA46" s="95"/>
      <c r="AB46" s="95"/>
    </row>
    <row r="47" ht="18.0" customHeight="1">
      <c r="A47" s="114"/>
      <c r="B47" s="73"/>
      <c r="C47" s="73"/>
      <c r="D47" s="73"/>
      <c r="E47" s="73"/>
      <c r="F47" s="75"/>
      <c r="G47" s="98"/>
      <c r="H47" s="98"/>
      <c r="I47" s="98"/>
      <c r="J47" s="98"/>
      <c r="K47" s="98"/>
      <c r="L47" s="115"/>
      <c r="M47" s="116"/>
      <c r="N47" s="118"/>
      <c r="O47" s="119"/>
      <c r="P47" s="73"/>
      <c r="Q47" s="73"/>
      <c r="R47" s="73"/>
      <c r="S47" s="73"/>
      <c r="T47" s="73"/>
      <c r="U47" s="73"/>
      <c r="V47" s="73"/>
      <c r="W47" s="95"/>
      <c r="X47" s="95"/>
      <c r="Y47" s="95"/>
      <c r="Z47" s="95"/>
      <c r="AA47" s="95"/>
      <c r="AB47" s="95"/>
    </row>
    <row r="48" ht="18.0" customHeight="1">
      <c r="A48" s="114"/>
      <c r="B48" s="73"/>
      <c r="C48" s="73"/>
      <c r="D48" s="73"/>
      <c r="E48" s="73"/>
      <c r="F48" s="75"/>
      <c r="G48" s="98"/>
      <c r="H48" s="98"/>
      <c r="I48" s="98"/>
      <c r="J48" s="98"/>
      <c r="K48" s="98"/>
      <c r="L48" s="115"/>
      <c r="M48" s="116"/>
      <c r="N48" s="118"/>
      <c r="O48" s="119"/>
      <c r="P48" s="73"/>
      <c r="Q48" s="73"/>
      <c r="R48" s="73"/>
      <c r="S48" s="73"/>
      <c r="T48" s="73"/>
      <c r="U48" s="73"/>
      <c r="V48" s="73"/>
      <c r="W48" s="95"/>
      <c r="X48" s="95"/>
      <c r="Y48" s="95"/>
      <c r="Z48" s="95"/>
      <c r="AA48" s="95"/>
      <c r="AB48" s="95"/>
    </row>
    <row r="49" ht="18.0" customHeight="1">
      <c r="A49" s="148"/>
      <c r="B49" s="73"/>
      <c r="C49" s="73"/>
      <c r="D49" s="73"/>
      <c r="E49" s="73"/>
      <c r="F49" s="75"/>
      <c r="G49" s="98"/>
      <c r="H49" s="98"/>
      <c r="I49" s="98"/>
      <c r="J49" s="98"/>
      <c r="K49" s="98"/>
      <c r="L49" s="115"/>
      <c r="M49" s="116"/>
      <c r="N49" s="118"/>
      <c r="O49" s="119"/>
      <c r="P49" s="73"/>
      <c r="Q49" s="73"/>
      <c r="R49" s="73"/>
      <c r="S49" s="73"/>
      <c r="T49" s="73"/>
      <c r="U49" s="73"/>
      <c r="V49" s="73"/>
      <c r="W49" s="95"/>
      <c r="X49" s="95"/>
      <c r="Y49" s="95"/>
      <c r="Z49" s="95"/>
      <c r="AA49" s="95"/>
      <c r="AB49" s="95"/>
    </row>
    <row r="50" ht="18.0" customHeight="1">
      <c r="A50" s="114"/>
      <c r="B50" s="73"/>
      <c r="C50" s="73"/>
      <c r="D50" s="73"/>
      <c r="E50" s="73"/>
      <c r="F50" s="75"/>
      <c r="G50" s="98"/>
      <c r="H50" s="98"/>
      <c r="I50" s="98"/>
      <c r="J50" s="98"/>
      <c r="K50" s="98"/>
      <c r="L50" s="115"/>
      <c r="M50" s="116"/>
      <c r="N50" s="118"/>
      <c r="O50" s="119"/>
      <c r="P50" s="73"/>
      <c r="Q50" s="73"/>
      <c r="R50" s="73"/>
      <c r="S50" s="73"/>
      <c r="T50" s="73"/>
      <c r="U50" s="73"/>
      <c r="V50" s="73"/>
      <c r="W50" s="95"/>
      <c r="X50" s="95"/>
      <c r="Y50" s="95"/>
      <c r="Z50" s="95"/>
      <c r="AA50" s="95"/>
      <c r="AB50" s="95"/>
    </row>
    <row r="51" ht="18.0" customHeight="1">
      <c r="A51" s="114"/>
      <c r="B51" s="73"/>
      <c r="C51" s="73"/>
      <c r="D51" s="73"/>
      <c r="E51" s="73"/>
      <c r="F51" s="75"/>
      <c r="G51" s="98"/>
      <c r="H51" s="98"/>
      <c r="I51" s="98"/>
      <c r="J51" s="98"/>
      <c r="K51" s="98"/>
      <c r="L51" s="115"/>
      <c r="M51" s="116"/>
      <c r="N51" s="118"/>
      <c r="O51" s="119"/>
      <c r="P51" s="73"/>
      <c r="Q51" s="73"/>
      <c r="R51" s="73"/>
      <c r="S51" s="73"/>
      <c r="T51" s="73"/>
      <c r="U51" s="73"/>
      <c r="V51" s="73"/>
      <c r="W51" s="95"/>
      <c r="X51" s="95"/>
      <c r="Y51" s="95"/>
      <c r="Z51" s="95"/>
      <c r="AA51" s="95"/>
      <c r="AB51" s="95"/>
    </row>
    <row r="52" ht="18.0" customHeight="1">
      <c r="A52" s="149"/>
      <c r="B52" s="73"/>
      <c r="C52" s="73"/>
      <c r="D52" s="73"/>
      <c r="E52" s="73"/>
      <c r="F52" s="75"/>
      <c r="G52" s="98"/>
      <c r="H52" s="98"/>
      <c r="I52" s="98"/>
      <c r="J52" s="98"/>
      <c r="K52" s="98"/>
      <c r="L52" s="115"/>
      <c r="M52" s="116"/>
      <c r="N52" s="118"/>
      <c r="O52" s="119"/>
      <c r="P52" s="73"/>
      <c r="Q52" s="73"/>
      <c r="R52" s="73"/>
      <c r="S52" s="73"/>
      <c r="T52" s="73"/>
      <c r="U52" s="73"/>
      <c r="V52" s="73"/>
      <c r="W52" s="95"/>
      <c r="X52" s="95"/>
      <c r="Y52" s="95"/>
      <c r="Z52" s="95"/>
      <c r="AA52" s="95"/>
      <c r="AB52" s="95"/>
    </row>
    <row r="53" ht="18.0" customHeight="1">
      <c r="B53" s="73"/>
      <c r="C53" s="73"/>
      <c r="D53" s="73"/>
      <c r="E53" s="73"/>
      <c r="F53" s="75"/>
      <c r="G53" s="98"/>
      <c r="H53" s="98"/>
      <c r="I53" s="98"/>
      <c r="J53" s="98"/>
      <c r="K53" s="98"/>
      <c r="L53" s="115"/>
      <c r="M53" s="116"/>
      <c r="N53" s="118"/>
      <c r="O53" s="119"/>
      <c r="P53" s="73"/>
      <c r="Q53" s="73"/>
      <c r="R53" s="73"/>
      <c r="S53" s="73"/>
      <c r="T53" s="73"/>
      <c r="U53" s="73"/>
      <c r="V53" s="73"/>
      <c r="W53" s="95"/>
      <c r="X53" s="95"/>
      <c r="Y53" s="95"/>
      <c r="Z53" s="95"/>
      <c r="AA53" s="95"/>
      <c r="AB53" s="95"/>
    </row>
    <row r="54" ht="18.0" customHeight="1">
      <c r="A54" s="114"/>
      <c r="B54" s="73"/>
      <c r="C54" s="73"/>
      <c r="D54" s="73"/>
      <c r="E54" s="73"/>
      <c r="F54" s="75"/>
      <c r="G54" s="98"/>
      <c r="H54" s="98"/>
      <c r="I54" s="98"/>
      <c r="J54" s="98"/>
      <c r="K54" s="98"/>
      <c r="L54" s="115"/>
      <c r="M54" s="116"/>
      <c r="N54" s="118"/>
      <c r="O54" s="119"/>
      <c r="P54" s="73"/>
      <c r="Q54" s="73"/>
      <c r="R54" s="73"/>
      <c r="S54" s="73"/>
      <c r="T54" s="73"/>
      <c r="U54" s="73"/>
      <c r="V54" s="73"/>
      <c r="W54" s="95"/>
      <c r="X54" s="95"/>
      <c r="Y54" s="95"/>
      <c r="Z54" s="95"/>
      <c r="AA54" s="95"/>
      <c r="AB54" s="95"/>
    </row>
    <row r="55" ht="18.0" customHeight="1">
      <c r="A55" s="144"/>
      <c r="B55" s="73"/>
      <c r="C55" s="73"/>
      <c r="D55" s="73"/>
      <c r="E55" s="73"/>
      <c r="F55" s="75"/>
      <c r="G55" s="98"/>
      <c r="H55" s="98"/>
      <c r="I55" s="98"/>
      <c r="J55" s="98"/>
      <c r="K55" s="98"/>
      <c r="L55" s="115"/>
      <c r="M55" s="116"/>
      <c r="N55" s="118"/>
      <c r="O55" s="119"/>
      <c r="P55" s="73"/>
      <c r="Q55" s="73"/>
      <c r="R55" s="73"/>
      <c r="S55" s="73"/>
      <c r="T55" s="73"/>
      <c r="U55" s="73"/>
      <c r="V55" s="73"/>
      <c r="W55" s="95"/>
      <c r="X55" s="95"/>
      <c r="Y55" s="95"/>
      <c r="Z55" s="95"/>
      <c r="AA55" s="95"/>
      <c r="AB55" s="95"/>
    </row>
    <row r="56" ht="18.0" customHeight="1">
      <c r="A56" s="146"/>
      <c r="B56" s="73"/>
      <c r="C56" s="73"/>
      <c r="D56" s="73"/>
      <c r="E56" s="73"/>
      <c r="F56" s="75"/>
      <c r="G56" s="98"/>
      <c r="H56" s="98"/>
      <c r="I56" s="98"/>
      <c r="J56" s="98"/>
      <c r="K56" s="98"/>
      <c r="L56" s="115"/>
      <c r="M56" s="116"/>
      <c r="N56" s="118"/>
      <c r="O56" s="119"/>
      <c r="P56" s="73"/>
      <c r="Q56" s="73"/>
      <c r="R56" s="73"/>
      <c r="S56" s="73"/>
      <c r="T56" s="73"/>
      <c r="U56" s="73"/>
      <c r="V56" s="73"/>
      <c r="W56" s="95"/>
      <c r="X56" s="95"/>
      <c r="Y56" s="95"/>
      <c r="Z56" s="95"/>
      <c r="AA56" s="95"/>
      <c r="AB56" s="95"/>
    </row>
    <row r="57" ht="18.0" customHeight="1">
      <c r="A57" s="146"/>
      <c r="B57" s="73"/>
      <c r="C57" s="73"/>
      <c r="D57" s="73"/>
      <c r="E57" s="73"/>
      <c r="F57" s="75"/>
      <c r="G57" s="98"/>
      <c r="H57" s="98"/>
      <c r="I57" s="98"/>
      <c r="J57" s="98"/>
      <c r="K57" s="98"/>
      <c r="L57" s="115"/>
      <c r="M57" s="116"/>
      <c r="N57" s="118"/>
      <c r="O57" s="119"/>
      <c r="P57" s="73"/>
      <c r="Q57" s="73"/>
      <c r="R57" s="73"/>
      <c r="S57" s="73"/>
      <c r="T57" s="73"/>
      <c r="U57" s="73"/>
      <c r="V57" s="73"/>
      <c r="W57" s="95"/>
      <c r="X57" s="95"/>
      <c r="Y57" s="95"/>
      <c r="Z57" s="95"/>
      <c r="AA57" s="95"/>
      <c r="AB57" s="95"/>
    </row>
    <row r="58" ht="18.0" customHeight="1">
      <c r="A58" s="146"/>
      <c r="B58" s="73"/>
      <c r="C58" s="73"/>
      <c r="D58" s="73"/>
      <c r="E58" s="73"/>
      <c r="F58" s="75"/>
      <c r="G58" s="98"/>
      <c r="H58" s="98"/>
      <c r="I58" s="98"/>
      <c r="J58" s="98"/>
      <c r="K58" s="98"/>
      <c r="L58" s="115"/>
      <c r="M58" s="116"/>
      <c r="N58" s="118"/>
      <c r="O58" s="119"/>
      <c r="P58" s="73"/>
      <c r="Q58" s="73"/>
      <c r="R58" s="73"/>
      <c r="S58" s="73"/>
      <c r="T58" s="73"/>
      <c r="U58" s="73"/>
      <c r="V58" s="73"/>
      <c r="W58" s="95"/>
      <c r="X58" s="95"/>
      <c r="Y58" s="95"/>
      <c r="Z58" s="95"/>
      <c r="AA58" s="95"/>
      <c r="AB58" s="95"/>
    </row>
    <row r="59" ht="18.0" customHeight="1">
      <c r="A59" s="144"/>
      <c r="B59" s="73"/>
      <c r="C59" s="150"/>
      <c r="D59" s="73"/>
      <c r="E59" s="73"/>
      <c r="F59" s="75"/>
      <c r="G59" s="98"/>
      <c r="H59" s="98"/>
      <c r="I59" s="98"/>
      <c r="J59" s="98"/>
      <c r="K59" s="98"/>
      <c r="L59" s="115"/>
      <c r="M59" s="116"/>
      <c r="N59" s="118"/>
      <c r="O59" s="119"/>
      <c r="P59" s="73"/>
      <c r="Q59" s="73"/>
      <c r="R59" s="73"/>
      <c r="S59" s="73"/>
      <c r="T59" s="73"/>
      <c r="U59" s="73"/>
      <c r="V59" s="73"/>
      <c r="W59" s="95"/>
      <c r="X59" s="95"/>
      <c r="Y59" s="95"/>
      <c r="Z59" s="95"/>
      <c r="AA59" s="95"/>
      <c r="AB59" s="95"/>
    </row>
    <row r="60" ht="18.0" customHeight="1">
      <c r="A60" s="146"/>
      <c r="B60" s="73"/>
      <c r="C60" s="150"/>
      <c r="D60" s="73"/>
      <c r="E60" s="73"/>
      <c r="F60" s="75"/>
      <c r="G60" s="98"/>
      <c r="H60" s="98"/>
      <c r="I60" s="98"/>
      <c r="J60" s="98"/>
      <c r="K60" s="98"/>
      <c r="L60" s="115"/>
      <c r="M60" s="116"/>
      <c r="N60" s="118"/>
      <c r="O60" s="119"/>
      <c r="P60" s="73"/>
      <c r="Q60" s="73"/>
      <c r="R60" s="73"/>
      <c r="S60" s="73"/>
      <c r="T60" s="73"/>
      <c r="U60" s="73"/>
      <c r="V60" s="73"/>
      <c r="W60" s="95"/>
      <c r="X60" s="95"/>
      <c r="Y60" s="95"/>
      <c r="Z60" s="95"/>
      <c r="AA60" s="95"/>
      <c r="AB60" s="95"/>
    </row>
    <row r="61" ht="18.0" customHeight="1">
      <c r="A61" s="114"/>
      <c r="B61" s="73"/>
      <c r="C61" s="150"/>
      <c r="D61" s="73"/>
      <c r="E61" s="73"/>
      <c r="F61" s="75"/>
      <c r="G61" s="98"/>
      <c r="H61" s="98"/>
      <c r="I61" s="98"/>
      <c r="J61" s="98"/>
      <c r="K61" s="98"/>
      <c r="L61" s="115"/>
      <c r="M61" s="116"/>
      <c r="N61" s="118"/>
      <c r="O61" s="119"/>
      <c r="P61" s="73"/>
      <c r="Q61" s="73"/>
      <c r="R61" s="73"/>
      <c r="S61" s="73"/>
      <c r="T61" s="73"/>
      <c r="U61" s="73"/>
      <c r="V61" s="73"/>
      <c r="W61" s="95"/>
      <c r="X61" s="95"/>
      <c r="Y61" s="95"/>
      <c r="Z61" s="95"/>
      <c r="AA61" s="95"/>
      <c r="AB61" s="95"/>
    </row>
    <row r="62" ht="18.0" customHeight="1">
      <c r="A62" s="114"/>
      <c r="B62" s="73"/>
      <c r="C62" s="150"/>
      <c r="D62" s="73"/>
      <c r="E62" s="73"/>
      <c r="F62" s="75"/>
      <c r="G62" s="98"/>
      <c r="H62" s="98"/>
      <c r="I62" s="98"/>
      <c r="J62" s="98"/>
      <c r="K62" s="98"/>
      <c r="L62" s="115"/>
      <c r="M62" s="116"/>
      <c r="N62" s="118"/>
      <c r="O62" s="119"/>
      <c r="P62" s="73"/>
      <c r="Q62" s="73"/>
      <c r="R62" s="73"/>
      <c r="S62" s="73"/>
      <c r="T62" s="73"/>
      <c r="U62" s="73"/>
      <c r="V62" s="73"/>
      <c r="W62" s="95"/>
      <c r="X62" s="95"/>
      <c r="Y62" s="95"/>
      <c r="Z62" s="95"/>
      <c r="AA62" s="95"/>
      <c r="AB62" s="95"/>
    </row>
    <row r="63" ht="18.0" customHeight="1">
      <c r="A63" s="114"/>
      <c r="B63" s="73"/>
      <c r="C63" s="150"/>
      <c r="D63" s="73"/>
      <c r="E63" s="73"/>
      <c r="F63" s="75"/>
      <c r="G63" s="98"/>
      <c r="H63" s="98"/>
      <c r="I63" s="98"/>
      <c r="J63" s="98"/>
      <c r="K63" s="98"/>
      <c r="L63" s="115"/>
      <c r="M63" s="116"/>
      <c r="N63" s="118"/>
      <c r="O63" s="119"/>
      <c r="P63" s="73"/>
      <c r="Q63" s="73"/>
      <c r="R63" s="73"/>
      <c r="S63" s="73"/>
      <c r="T63" s="73"/>
      <c r="U63" s="73"/>
      <c r="V63" s="73"/>
      <c r="W63" s="95"/>
      <c r="X63" s="95"/>
      <c r="Y63" s="95"/>
      <c r="Z63" s="95"/>
      <c r="AA63" s="95"/>
      <c r="AB63" s="95"/>
    </row>
    <row r="64" ht="18.0" customHeight="1">
      <c r="A64" s="114"/>
      <c r="B64" s="73"/>
      <c r="C64" s="73"/>
      <c r="D64" s="73"/>
      <c r="E64" s="73"/>
      <c r="F64" s="75"/>
      <c r="G64" s="98"/>
      <c r="H64" s="98"/>
      <c r="I64" s="98"/>
      <c r="J64" s="98"/>
      <c r="K64" s="98"/>
      <c r="L64" s="115"/>
      <c r="M64" s="116"/>
      <c r="N64" s="118"/>
      <c r="O64" s="119"/>
      <c r="P64" s="73"/>
      <c r="Q64" s="73"/>
      <c r="R64" s="73"/>
      <c r="S64" s="73"/>
      <c r="T64" s="73"/>
      <c r="U64" s="73"/>
      <c r="V64" s="73"/>
      <c r="W64" s="95"/>
      <c r="X64" s="95"/>
      <c r="Y64" s="95"/>
      <c r="Z64" s="95"/>
      <c r="AA64" s="95"/>
      <c r="AB64" s="95"/>
    </row>
    <row r="65" ht="18.0" customHeight="1">
      <c r="A65" s="114"/>
      <c r="B65" s="73"/>
      <c r="C65" s="73"/>
      <c r="D65" s="73"/>
      <c r="E65" s="73"/>
      <c r="F65" s="75"/>
      <c r="G65" s="98"/>
      <c r="H65" s="98"/>
      <c r="I65" s="98"/>
      <c r="J65" s="98"/>
      <c r="K65" s="98"/>
      <c r="L65" s="115"/>
      <c r="M65" s="116"/>
      <c r="N65" s="118"/>
      <c r="O65" s="119"/>
      <c r="P65" s="73"/>
      <c r="Q65" s="73"/>
      <c r="R65" s="73"/>
      <c r="S65" s="73"/>
      <c r="T65" s="73"/>
      <c r="U65" s="73"/>
      <c r="V65" s="73"/>
      <c r="W65" s="95"/>
      <c r="X65" s="95"/>
      <c r="Y65" s="95"/>
      <c r="Z65" s="95"/>
      <c r="AA65" s="95"/>
      <c r="AB65" s="95"/>
    </row>
    <row r="66" ht="18.0" customHeight="1">
      <c r="A66" s="114"/>
      <c r="B66" s="73"/>
      <c r="C66" s="73"/>
      <c r="D66" s="73"/>
      <c r="E66" s="73"/>
      <c r="F66" s="75"/>
      <c r="G66" s="98"/>
      <c r="H66" s="98"/>
      <c r="I66" s="98"/>
      <c r="J66" s="98"/>
      <c r="K66" s="98"/>
      <c r="L66" s="115"/>
      <c r="M66" s="116"/>
      <c r="N66" s="118"/>
      <c r="O66" s="119"/>
      <c r="P66" s="73"/>
      <c r="Q66" s="73"/>
      <c r="R66" s="73"/>
      <c r="S66" s="73"/>
      <c r="T66" s="73"/>
      <c r="U66" s="73"/>
      <c r="V66" s="73"/>
      <c r="W66" s="95"/>
      <c r="X66" s="95"/>
      <c r="Y66" s="95"/>
      <c r="Z66" s="95"/>
      <c r="AA66" s="95"/>
      <c r="AB66" s="95"/>
    </row>
    <row r="67" ht="18.0" customHeight="1">
      <c r="A67" s="114"/>
      <c r="B67" s="73"/>
      <c r="C67" s="73"/>
      <c r="D67" s="73"/>
      <c r="E67" s="73"/>
      <c r="F67" s="75"/>
      <c r="G67" s="98"/>
      <c r="H67" s="98"/>
      <c r="I67" s="98"/>
      <c r="J67" s="98"/>
      <c r="K67" s="98"/>
      <c r="L67" s="115"/>
      <c r="M67" s="116"/>
      <c r="N67" s="118"/>
      <c r="O67" s="119"/>
      <c r="P67" s="73"/>
      <c r="Q67" s="73"/>
      <c r="R67" s="73"/>
      <c r="S67" s="73"/>
      <c r="T67" s="73"/>
      <c r="U67" s="73"/>
      <c r="V67" s="73"/>
      <c r="W67" s="95"/>
      <c r="X67" s="95"/>
      <c r="Y67" s="95"/>
      <c r="Z67" s="95"/>
      <c r="AA67" s="95"/>
      <c r="AB67" s="95"/>
    </row>
    <row r="68" ht="18.0" customHeight="1">
      <c r="A68" s="114"/>
      <c r="B68" s="73"/>
      <c r="C68" s="73"/>
      <c r="D68" s="73"/>
      <c r="E68" s="73"/>
      <c r="F68" s="75"/>
      <c r="G68" s="98"/>
      <c r="H68" s="98"/>
      <c r="I68" s="98"/>
      <c r="J68" s="98"/>
      <c r="K68" s="98"/>
      <c r="L68" s="115"/>
      <c r="M68" s="116"/>
      <c r="N68" s="118"/>
      <c r="O68" s="119"/>
      <c r="P68" s="73"/>
      <c r="Q68" s="73"/>
      <c r="R68" s="73"/>
      <c r="S68" s="73"/>
      <c r="T68" s="73"/>
      <c r="U68" s="73"/>
      <c r="V68" s="73"/>
      <c r="W68" s="95"/>
      <c r="X68" s="95"/>
      <c r="Y68" s="95"/>
      <c r="Z68" s="95"/>
      <c r="AA68" s="95"/>
      <c r="AB68" s="95"/>
    </row>
    <row r="69" ht="18.0" customHeight="1">
      <c r="A69" s="114"/>
      <c r="B69" s="73"/>
      <c r="C69" s="73"/>
      <c r="D69" s="73"/>
      <c r="E69" s="73"/>
      <c r="F69" s="75"/>
      <c r="G69" s="98"/>
      <c r="H69" s="98"/>
      <c r="I69" s="98"/>
      <c r="J69" s="98"/>
      <c r="K69" s="98"/>
      <c r="L69" s="115"/>
      <c r="M69" s="116"/>
      <c r="N69" s="118"/>
      <c r="O69" s="119"/>
      <c r="P69" s="73"/>
      <c r="Q69" s="73"/>
      <c r="R69" s="73"/>
      <c r="S69" s="73"/>
      <c r="T69" s="73"/>
      <c r="U69" s="73"/>
      <c r="V69" s="73"/>
      <c r="W69" s="95"/>
      <c r="X69" s="95"/>
      <c r="Y69" s="95"/>
      <c r="Z69" s="95"/>
      <c r="AA69" s="95"/>
      <c r="AB69" s="95"/>
    </row>
    <row r="70" ht="18.0" customHeight="1">
      <c r="A70" s="114"/>
      <c r="B70" s="73"/>
      <c r="C70" s="73"/>
      <c r="D70" s="73"/>
      <c r="E70" s="73"/>
      <c r="F70" s="75"/>
      <c r="G70" s="98"/>
      <c r="H70" s="98"/>
      <c r="I70" s="98"/>
      <c r="J70" s="98"/>
      <c r="K70" s="98"/>
      <c r="L70" s="115"/>
      <c r="M70" s="116"/>
      <c r="N70" s="118"/>
      <c r="O70" s="119"/>
      <c r="P70" s="73"/>
      <c r="Q70" s="73"/>
      <c r="R70" s="73"/>
      <c r="S70" s="73"/>
      <c r="T70" s="73"/>
      <c r="U70" s="73"/>
      <c r="V70" s="73"/>
      <c r="W70" s="95"/>
      <c r="X70" s="95"/>
      <c r="Y70" s="95"/>
      <c r="Z70" s="95"/>
      <c r="AA70" s="95"/>
      <c r="AB70" s="95"/>
    </row>
    <row r="71" ht="18.0" customHeight="1">
      <c r="A71" s="114"/>
      <c r="B71" s="73"/>
      <c r="C71" s="73"/>
      <c r="D71" s="73"/>
      <c r="E71" s="73"/>
      <c r="F71" s="75"/>
      <c r="G71" s="98"/>
      <c r="H71" s="98"/>
      <c r="I71" s="98"/>
      <c r="J71" s="98"/>
      <c r="K71" s="98"/>
      <c r="L71" s="115"/>
      <c r="M71" s="116"/>
      <c r="N71" s="118"/>
      <c r="O71" s="119"/>
      <c r="P71" s="73"/>
      <c r="Q71" s="73"/>
      <c r="R71" s="73"/>
      <c r="S71" s="73"/>
      <c r="T71" s="73"/>
      <c r="U71" s="73"/>
      <c r="V71" s="73"/>
      <c r="W71" s="95"/>
      <c r="X71" s="95"/>
      <c r="Y71" s="95"/>
      <c r="Z71" s="95"/>
      <c r="AA71" s="95"/>
      <c r="AB71" s="95"/>
    </row>
    <row r="72" ht="18.0" customHeight="1">
      <c r="A72" s="114"/>
      <c r="B72" s="73"/>
      <c r="C72" s="73"/>
      <c r="D72" s="73"/>
      <c r="E72" s="73"/>
      <c r="F72" s="75"/>
      <c r="G72" s="98"/>
      <c r="H72" s="98"/>
      <c r="I72" s="98"/>
      <c r="J72" s="98"/>
      <c r="K72" s="98"/>
      <c r="L72" s="115"/>
      <c r="M72" s="116"/>
      <c r="N72" s="118"/>
      <c r="O72" s="119"/>
      <c r="P72" s="73"/>
      <c r="Q72" s="73"/>
      <c r="R72" s="73"/>
      <c r="S72" s="73"/>
      <c r="T72" s="73"/>
      <c r="U72" s="73"/>
      <c r="V72" s="73"/>
      <c r="W72" s="95"/>
      <c r="X72" s="95"/>
      <c r="Y72" s="95"/>
      <c r="Z72" s="95"/>
      <c r="AA72" s="95"/>
      <c r="AB72" s="95"/>
    </row>
    <row r="73" ht="18.0" customHeight="1">
      <c r="A73" s="114"/>
      <c r="B73" s="73"/>
      <c r="C73" s="73"/>
      <c r="D73" s="73"/>
      <c r="E73" s="73"/>
      <c r="F73" s="75"/>
      <c r="G73" s="98"/>
      <c r="H73" s="98"/>
      <c r="I73" s="98"/>
      <c r="J73" s="98"/>
      <c r="K73" s="98"/>
      <c r="L73" s="115"/>
      <c r="M73" s="116"/>
      <c r="N73" s="118"/>
      <c r="O73" s="119"/>
      <c r="P73" s="73"/>
      <c r="Q73" s="73"/>
      <c r="R73" s="73"/>
      <c r="S73" s="73"/>
      <c r="T73" s="73"/>
      <c r="U73" s="73"/>
      <c r="V73" s="73"/>
      <c r="W73" s="95"/>
      <c r="X73" s="95"/>
      <c r="Y73" s="95"/>
      <c r="Z73" s="95"/>
      <c r="AA73" s="95"/>
      <c r="AB73" s="95"/>
    </row>
    <row r="74" ht="18.0" customHeight="1">
      <c r="A74" s="114"/>
      <c r="B74" s="73"/>
      <c r="C74" s="73"/>
      <c r="D74" s="73"/>
      <c r="E74" s="73"/>
      <c r="F74" s="75"/>
      <c r="G74" s="98"/>
      <c r="H74" s="98"/>
      <c r="I74" s="98"/>
      <c r="J74" s="98"/>
      <c r="K74" s="98"/>
      <c r="L74" s="115"/>
      <c r="M74" s="116"/>
      <c r="N74" s="118"/>
      <c r="O74" s="119"/>
      <c r="P74" s="73"/>
      <c r="Q74" s="73"/>
      <c r="R74" s="73"/>
      <c r="S74" s="73"/>
      <c r="T74" s="73"/>
      <c r="U74" s="73"/>
      <c r="V74" s="73"/>
      <c r="W74" s="95"/>
      <c r="X74" s="95"/>
      <c r="Y74" s="95"/>
      <c r="Z74" s="95"/>
      <c r="AA74" s="95"/>
      <c r="AB74" s="95"/>
    </row>
    <row r="75" ht="18.0" customHeight="1">
      <c r="A75" s="114"/>
      <c r="B75" s="73"/>
      <c r="C75" s="73"/>
      <c r="D75" s="73"/>
      <c r="E75" s="73"/>
      <c r="F75" s="75"/>
      <c r="G75" s="98"/>
      <c r="H75" s="98"/>
      <c r="I75" s="98"/>
      <c r="J75" s="98"/>
      <c r="K75" s="98"/>
      <c r="L75" s="115"/>
      <c r="M75" s="116"/>
      <c r="N75" s="118"/>
      <c r="O75" s="119"/>
      <c r="P75" s="73"/>
      <c r="Q75" s="73"/>
      <c r="R75" s="73"/>
      <c r="S75" s="73"/>
      <c r="T75" s="73"/>
      <c r="U75" s="73"/>
      <c r="V75" s="73"/>
      <c r="W75" s="95"/>
      <c r="X75" s="95"/>
      <c r="Y75" s="95"/>
      <c r="Z75" s="95"/>
      <c r="AA75" s="95"/>
      <c r="AB75" s="95"/>
    </row>
    <row r="76" ht="18.0" customHeight="1">
      <c r="A76" s="71"/>
      <c r="B76" s="73"/>
      <c r="C76" s="73"/>
      <c r="D76" s="73"/>
      <c r="E76" s="73"/>
      <c r="F76" s="75"/>
      <c r="G76" s="76"/>
      <c r="H76" s="76"/>
      <c r="I76" s="76"/>
      <c r="J76" s="76"/>
      <c r="K76" s="98"/>
      <c r="L76" s="115"/>
      <c r="M76" s="116"/>
      <c r="N76" s="118"/>
      <c r="O76" s="119"/>
      <c r="P76" s="73"/>
      <c r="Q76" s="73"/>
      <c r="R76" s="73"/>
      <c r="S76" s="73"/>
      <c r="T76" s="73"/>
      <c r="U76" s="73"/>
      <c r="V76" s="73"/>
      <c r="W76" s="95"/>
      <c r="X76" s="95"/>
      <c r="Y76" s="95"/>
      <c r="Z76" s="95"/>
      <c r="AA76" s="95"/>
      <c r="AB76" s="95"/>
    </row>
    <row r="77" ht="18.0" customHeight="1">
      <c r="A77" s="71"/>
      <c r="B77" s="73"/>
      <c r="C77" s="73"/>
      <c r="D77" s="73"/>
      <c r="E77" s="73"/>
      <c r="F77" s="75"/>
      <c r="G77" s="76"/>
      <c r="H77" s="76"/>
      <c r="I77" s="76"/>
      <c r="J77" s="76"/>
      <c r="K77" s="98"/>
      <c r="L77" s="115"/>
      <c r="M77" s="116"/>
      <c r="N77" s="118"/>
      <c r="O77" s="119"/>
      <c r="P77" s="73"/>
      <c r="Q77" s="73"/>
      <c r="R77" s="73"/>
      <c r="S77" s="73"/>
      <c r="T77" s="73"/>
      <c r="U77" s="73"/>
      <c r="V77" s="73"/>
      <c r="W77" s="95"/>
      <c r="X77" s="95"/>
      <c r="Y77" s="95"/>
      <c r="Z77" s="95"/>
      <c r="AA77" s="95"/>
      <c r="AB77" s="95"/>
    </row>
    <row r="78" ht="18.0" customHeight="1">
      <c r="A78" s="71"/>
      <c r="B78" s="73"/>
      <c r="C78" s="73"/>
      <c r="D78" s="73"/>
      <c r="E78" s="73"/>
      <c r="F78" s="75"/>
      <c r="G78" s="76"/>
      <c r="H78" s="76"/>
      <c r="I78" s="76"/>
      <c r="J78" s="76"/>
      <c r="K78" s="98"/>
      <c r="L78" s="115"/>
      <c r="M78" s="116"/>
      <c r="N78" s="118"/>
      <c r="O78" s="119"/>
      <c r="P78" s="73"/>
      <c r="Q78" s="73"/>
      <c r="R78" s="73"/>
      <c r="S78" s="73"/>
      <c r="T78" s="73"/>
      <c r="U78" s="73"/>
      <c r="V78" s="73"/>
      <c r="W78" s="95"/>
      <c r="X78" s="95"/>
      <c r="Y78" s="95"/>
      <c r="Z78" s="95"/>
      <c r="AA78" s="95"/>
      <c r="AB78" s="95"/>
    </row>
    <row r="79" ht="18.0" customHeight="1">
      <c r="A79" s="71"/>
      <c r="B79" s="73"/>
      <c r="C79" s="73"/>
      <c r="D79" s="73"/>
      <c r="E79" s="73"/>
      <c r="F79" s="75"/>
      <c r="G79" s="76"/>
      <c r="H79" s="76"/>
      <c r="I79" s="76"/>
      <c r="J79" s="76"/>
      <c r="K79" s="98"/>
      <c r="L79" s="115"/>
      <c r="M79" s="116"/>
      <c r="N79" s="118"/>
      <c r="O79" s="119"/>
      <c r="P79" s="73"/>
      <c r="Q79" s="73"/>
      <c r="R79" s="73"/>
      <c r="S79" s="73"/>
      <c r="T79" s="73"/>
      <c r="U79" s="73"/>
      <c r="V79" s="73"/>
      <c r="W79" s="95"/>
      <c r="X79" s="95"/>
      <c r="Y79" s="95"/>
      <c r="Z79" s="95"/>
      <c r="AA79" s="95"/>
      <c r="AB79" s="95"/>
    </row>
    <row r="80" ht="18.0" customHeight="1">
      <c r="A80" s="71"/>
      <c r="B80" s="73"/>
      <c r="C80" s="73"/>
      <c r="D80" s="73"/>
      <c r="E80" s="73"/>
      <c r="F80" s="75"/>
      <c r="G80" s="76"/>
      <c r="H80" s="76"/>
      <c r="I80" s="76"/>
      <c r="J80" s="76"/>
      <c r="K80" s="98"/>
      <c r="L80" s="115"/>
      <c r="M80" s="116"/>
      <c r="N80" s="118"/>
      <c r="O80" s="119"/>
      <c r="P80" s="73"/>
      <c r="Q80" s="73"/>
      <c r="R80" s="73"/>
      <c r="S80" s="73"/>
      <c r="T80" s="73"/>
      <c r="U80" s="73"/>
      <c r="V80" s="73"/>
      <c r="W80" s="95"/>
      <c r="X80" s="95"/>
      <c r="Y80" s="95"/>
      <c r="Z80" s="95"/>
      <c r="AA80" s="95"/>
      <c r="AB80" s="95"/>
    </row>
    <row r="81" ht="18.0" customHeight="1">
      <c r="A81" s="71"/>
      <c r="B81" s="73"/>
      <c r="C81" s="73"/>
      <c r="D81" s="73"/>
      <c r="E81" s="73"/>
      <c r="F81" s="75"/>
      <c r="G81" s="76"/>
      <c r="H81" s="76"/>
      <c r="I81" s="76"/>
      <c r="J81" s="76"/>
      <c r="K81" s="98"/>
      <c r="L81" s="115"/>
      <c r="M81" s="116"/>
      <c r="N81" s="118"/>
      <c r="O81" s="119"/>
      <c r="P81" s="73"/>
      <c r="Q81" s="73"/>
      <c r="R81" s="73"/>
      <c r="S81" s="73"/>
      <c r="T81" s="73"/>
      <c r="U81" s="73"/>
      <c r="V81" s="73"/>
      <c r="W81" s="95"/>
      <c r="X81" s="95"/>
      <c r="Y81" s="95"/>
      <c r="Z81" s="95"/>
      <c r="AA81" s="95"/>
      <c r="AB81" s="95"/>
    </row>
    <row r="82" ht="18.0" customHeight="1">
      <c r="A82" s="71"/>
      <c r="B82" s="73"/>
      <c r="C82" s="73"/>
      <c r="D82" s="73"/>
      <c r="E82" s="73"/>
      <c r="F82" s="75"/>
      <c r="G82" s="76"/>
      <c r="H82" s="76"/>
      <c r="I82" s="76"/>
      <c r="J82" s="76"/>
      <c r="K82" s="98"/>
      <c r="L82" s="115"/>
      <c r="M82" s="116"/>
      <c r="N82" s="118"/>
      <c r="O82" s="119"/>
      <c r="P82" s="73"/>
      <c r="Q82" s="73"/>
      <c r="R82" s="73"/>
      <c r="S82" s="73"/>
      <c r="T82" s="73"/>
      <c r="U82" s="73"/>
      <c r="V82" s="73"/>
      <c r="W82" s="95"/>
      <c r="X82" s="95"/>
      <c r="Y82" s="95"/>
      <c r="Z82" s="95"/>
      <c r="AA82" s="95"/>
      <c r="AB82" s="95"/>
    </row>
    <row r="83" ht="18.0" customHeight="1">
      <c r="A83" s="71"/>
      <c r="B83" s="73"/>
      <c r="C83" s="73"/>
      <c r="D83" s="73"/>
      <c r="E83" s="73"/>
      <c r="F83" s="75"/>
      <c r="G83" s="76"/>
      <c r="H83" s="76"/>
      <c r="I83" s="76"/>
      <c r="J83" s="76"/>
      <c r="K83" s="98"/>
      <c r="L83" s="115"/>
      <c r="M83" s="116"/>
      <c r="N83" s="118"/>
      <c r="O83" s="119"/>
      <c r="P83" s="73"/>
      <c r="Q83" s="73"/>
      <c r="R83" s="73"/>
      <c r="S83" s="73"/>
      <c r="T83" s="73"/>
      <c r="U83" s="73"/>
      <c r="V83" s="73"/>
      <c r="W83" s="95"/>
      <c r="X83" s="95"/>
      <c r="Y83" s="95"/>
      <c r="Z83" s="95"/>
      <c r="AA83" s="95"/>
      <c r="AB83" s="95"/>
    </row>
    <row r="84" ht="18.0" customHeight="1">
      <c r="A84" s="71"/>
      <c r="B84" s="73"/>
      <c r="C84" s="73"/>
      <c r="D84" s="73"/>
      <c r="E84" s="73"/>
      <c r="F84" s="75"/>
      <c r="G84" s="76"/>
      <c r="H84" s="76"/>
      <c r="I84" s="76"/>
      <c r="J84" s="76"/>
      <c r="K84" s="98"/>
      <c r="L84" s="115"/>
      <c r="M84" s="116"/>
      <c r="N84" s="118"/>
      <c r="O84" s="119"/>
      <c r="P84" s="73"/>
      <c r="Q84" s="73"/>
      <c r="R84" s="73"/>
      <c r="S84" s="73"/>
      <c r="T84" s="73"/>
      <c r="U84" s="73"/>
      <c r="V84" s="73"/>
      <c r="W84" s="95"/>
      <c r="X84" s="95"/>
      <c r="Y84" s="95"/>
      <c r="Z84" s="95"/>
      <c r="AA84" s="95"/>
      <c r="AB84" s="95"/>
    </row>
    <row r="85" ht="18.0" customHeight="1">
      <c r="A85" s="71"/>
      <c r="B85" s="73"/>
      <c r="C85" s="73"/>
      <c r="D85" s="73"/>
      <c r="E85" s="73"/>
      <c r="F85" s="75"/>
      <c r="G85" s="76"/>
      <c r="H85" s="76"/>
      <c r="I85" s="76"/>
      <c r="J85" s="76"/>
      <c r="K85" s="98"/>
      <c r="L85" s="115"/>
      <c r="M85" s="116"/>
      <c r="N85" s="118"/>
      <c r="O85" s="119"/>
      <c r="P85" s="73"/>
      <c r="Q85" s="73"/>
      <c r="R85" s="73"/>
      <c r="S85" s="73"/>
      <c r="T85" s="73"/>
      <c r="U85" s="73"/>
      <c r="V85" s="73"/>
      <c r="W85" s="95"/>
      <c r="X85" s="95"/>
      <c r="Y85" s="95"/>
      <c r="Z85" s="95"/>
      <c r="AA85" s="95"/>
      <c r="AB85" s="95"/>
    </row>
    <row r="86" ht="18.0" customHeight="1">
      <c r="A86" s="71"/>
      <c r="B86" s="73"/>
      <c r="C86" s="73"/>
      <c r="D86" s="73"/>
      <c r="E86" s="73"/>
      <c r="F86" s="75"/>
      <c r="G86" s="76"/>
      <c r="H86" s="76"/>
      <c r="I86" s="76"/>
      <c r="J86" s="76"/>
      <c r="K86" s="98"/>
      <c r="L86" s="115"/>
      <c r="M86" s="116"/>
      <c r="N86" s="118"/>
      <c r="O86" s="119"/>
      <c r="P86" s="73"/>
      <c r="Q86" s="73"/>
      <c r="R86" s="73"/>
      <c r="S86" s="73"/>
      <c r="T86" s="73"/>
      <c r="U86" s="73"/>
      <c r="V86" s="73"/>
      <c r="W86" s="95"/>
      <c r="X86" s="95"/>
      <c r="Y86" s="95"/>
      <c r="Z86" s="95"/>
      <c r="AA86" s="95"/>
      <c r="AB86" s="95"/>
    </row>
    <row r="87" ht="18.0" customHeight="1">
      <c r="A87" s="71"/>
      <c r="B87" s="73"/>
      <c r="C87" s="73"/>
      <c r="D87" s="73"/>
      <c r="E87" s="73"/>
      <c r="F87" s="75"/>
      <c r="G87" s="76"/>
      <c r="H87" s="76"/>
      <c r="I87" s="76"/>
      <c r="J87" s="76"/>
      <c r="K87" s="98"/>
      <c r="L87" s="115"/>
      <c r="M87" s="116"/>
      <c r="N87" s="118"/>
      <c r="O87" s="119"/>
      <c r="P87" s="73"/>
      <c r="Q87" s="73"/>
      <c r="R87" s="73"/>
      <c r="S87" s="73"/>
      <c r="T87" s="73"/>
      <c r="U87" s="73"/>
      <c r="V87" s="73"/>
      <c r="W87" s="95"/>
      <c r="X87" s="95"/>
      <c r="Y87" s="95"/>
      <c r="Z87" s="95"/>
      <c r="AA87" s="95"/>
      <c r="AB87" s="95"/>
    </row>
    <row r="88" ht="18.0" customHeight="1">
      <c r="A88" s="71"/>
      <c r="B88" s="73"/>
      <c r="C88" s="73"/>
      <c r="D88" s="73"/>
      <c r="E88" s="73"/>
      <c r="F88" s="75"/>
      <c r="G88" s="76"/>
      <c r="H88" s="76"/>
      <c r="I88" s="76"/>
      <c r="J88" s="76"/>
      <c r="K88" s="98"/>
      <c r="L88" s="115"/>
      <c r="M88" s="116"/>
      <c r="N88" s="118"/>
      <c r="O88" s="119"/>
      <c r="P88" s="73"/>
      <c r="Q88" s="73"/>
      <c r="R88" s="73"/>
      <c r="S88" s="73"/>
      <c r="T88" s="73"/>
      <c r="U88" s="73"/>
      <c r="V88" s="73"/>
      <c r="W88" s="95"/>
      <c r="X88" s="95"/>
      <c r="Y88" s="95"/>
      <c r="Z88" s="95"/>
      <c r="AA88" s="95"/>
      <c r="AB88" s="95"/>
    </row>
    <row r="89" ht="18.0" customHeight="1">
      <c r="A89" s="71"/>
      <c r="B89" s="73"/>
      <c r="C89" s="73"/>
      <c r="D89" s="73"/>
      <c r="E89" s="73"/>
      <c r="F89" s="75"/>
      <c r="G89" s="76"/>
      <c r="H89" s="76"/>
      <c r="I89" s="76"/>
      <c r="J89" s="76"/>
      <c r="K89" s="98"/>
      <c r="L89" s="115"/>
      <c r="M89" s="116"/>
      <c r="N89" s="118"/>
      <c r="O89" s="119"/>
      <c r="P89" s="73"/>
      <c r="Q89" s="73"/>
      <c r="R89" s="73"/>
      <c r="S89" s="73"/>
      <c r="T89" s="73"/>
      <c r="U89" s="73"/>
      <c r="V89" s="73"/>
      <c r="W89" s="95"/>
      <c r="X89" s="95"/>
      <c r="Y89" s="95"/>
      <c r="Z89" s="95"/>
      <c r="AA89" s="95"/>
      <c r="AB89" s="95"/>
    </row>
    <row r="90" ht="18.0" customHeight="1">
      <c r="A90" s="71"/>
      <c r="B90" s="73"/>
      <c r="C90" s="73"/>
      <c r="D90" s="73"/>
      <c r="E90" s="73"/>
      <c r="F90" s="75"/>
      <c r="G90" s="76"/>
      <c r="H90" s="76"/>
      <c r="I90" s="76"/>
      <c r="J90" s="76"/>
      <c r="K90" s="98"/>
      <c r="L90" s="115"/>
      <c r="M90" s="116"/>
      <c r="N90" s="118"/>
      <c r="O90" s="119"/>
      <c r="P90" s="73"/>
      <c r="Q90" s="73"/>
      <c r="R90" s="73"/>
      <c r="S90" s="73"/>
      <c r="T90" s="73"/>
      <c r="U90" s="73"/>
      <c r="V90" s="73"/>
      <c r="W90" s="95"/>
      <c r="X90" s="95"/>
      <c r="Y90" s="95"/>
      <c r="Z90" s="95"/>
      <c r="AA90" s="95"/>
      <c r="AB90" s="95"/>
    </row>
    <row r="91" ht="18.0" customHeight="1">
      <c r="A91" s="71"/>
      <c r="B91" s="73"/>
      <c r="C91" s="73"/>
      <c r="D91" s="73"/>
      <c r="E91" s="73"/>
      <c r="F91" s="75"/>
      <c r="G91" s="76"/>
      <c r="H91" s="76"/>
      <c r="I91" s="76"/>
      <c r="J91" s="76"/>
      <c r="K91" s="76" t="str">
        <f t="shared" ref="K91:K93" si="11">CONCATENATE(G91,L91)</f>
        <v/>
      </c>
      <c r="L91" s="87" t="str">
        <f t="shared" ref="L91:L93" si="12">IF(OR(ISBLANK(I91),ISBLANK(J91)),IF(OR(G91="ALI",G91="AIE"),"L",IF(ISBLANK(G91),"","A")),IF(G91="EE",IF(J91&gt;=3,IF(I91&gt;=5,"H","A"),IF(J91&gt;=2,IF(I91&gt;=16,"H",IF(I91&lt;=4,"L","A")),IF(I91&lt;=15,"L","A"))),IF(OR(G91="SE",G91="CE"),IF(J91&gt;=4,IF(I91&gt;=6,"H","A"),IF(J91&gt;=2,IF(I91&gt;=20,"H",IF(I91&lt;=5,"L","A")),IF(I91&lt;=19,"L","A"))),IF(OR(G91="ALI",G91="AIE"),IF(J91&gt;=6,IF(I91&gt;=20,"H","A"),IF(J91&gt;=2,IF(I91&gt;=51,"H",IF(I91&lt;=19,"L","A")),IF(I91&lt;=50,"L","A")))))))</f>
        <v/>
      </c>
      <c r="M91" s="89" t="str">
        <f t="shared" ref="M91:M93" si="13">IF(L91="L","Baixa",IF(L91="A","Média",IF(L91="","","Alta")))</f>
        <v/>
      </c>
      <c r="N91" s="91" t="str">
        <f t="shared" ref="N91:N93" si="14">IF(ISBLANK(G91),"",IF(G91="ALI",IF(L91="L",7,IF(L91="A",10,15)),IF(G91="AIE",IF(L91="L",5,IF(L91="A",7,10)),IF(G91="SE",IF(L91="L",4,IF(L91="A",5,7)),IF(OR(G91="EE",G91="CE"),IF(L91="L",3,IF(L91="A",4,6)))))))</f>
        <v/>
      </c>
      <c r="O91" s="93" t="str">
        <f>IF(H91="I",N91*Contagem!$U$11,IF(H91="E",N91*Contagem!$U$13,IF(H91="A",N91*Contagem!$U$12,IF(H91="T",N91*Contagem!$U$14,""))))</f>
        <v/>
      </c>
      <c r="P91" s="73"/>
      <c r="Q91" s="73"/>
      <c r="R91" s="73"/>
      <c r="S91" s="73"/>
      <c r="T91" s="73"/>
      <c r="U91" s="73"/>
      <c r="V91" s="73"/>
      <c r="W91" s="95"/>
      <c r="X91" s="95"/>
      <c r="Y91" s="95"/>
      <c r="Z91" s="95"/>
      <c r="AA91" s="95"/>
      <c r="AB91" s="95"/>
    </row>
    <row r="92" ht="18.0" customHeight="1">
      <c r="A92" s="71"/>
      <c r="B92" s="73"/>
      <c r="C92" s="73"/>
      <c r="D92" s="73"/>
      <c r="E92" s="73"/>
      <c r="F92" s="75"/>
      <c r="G92" s="76"/>
      <c r="H92" s="76"/>
      <c r="I92" s="76"/>
      <c r="J92" s="76"/>
      <c r="K92" s="76" t="str">
        <f t="shared" si="11"/>
        <v/>
      </c>
      <c r="L92" s="87" t="str">
        <f t="shared" si="12"/>
        <v/>
      </c>
      <c r="M92" s="89" t="str">
        <f t="shared" si="13"/>
        <v/>
      </c>
      <c r="N92" s="91" t="str">
        <f t="shared" si="14"/>
        <v/>
      </c>
      <c r="O92" s="93" t="str">
        <f>IF(H92="I",N92*Contagem!$U$11,IF(H92="E",N92*Contagem!$U$13,IF(H92="A",N92*Contagem!$U$12,IF(H92="T",N92*Contagem!$U$14,""))))</f>
        <v/>
      </c>
      <c r="P92" s="73"/>
      <c r="Q92" s="73"/>
      <c r="R92" s="73"/>
      <c r="S92" s="73"/>
      <c r="T92" s="73"/>
      <c r="U92" s="73"/>
      <c r="V92" s="73"/>
      <c r="W92" s="95"/>
      <c r="X92" s="95"/>
      <c r="Y92" s="95"/>
      <c r="Z92" s="95"/>
      <c r="AA92" s="95"/>
      <c r="AB92" s="95"/>
    </row>
    <row r="93" ht="18.0" customHeight="1">
      <c r="A93" s="71"/>
      <c r="B93" s="73"/>
      <c r="C93" s="73"/>
      <c r="D93" s="73"/>
      <c r="E93" s="73"/>
      <c r="F93" s="75"/>
      <c r="G93" s="76"/>
      <c r="H93" s="76"/>
      <c r="I93" s="76"/>
      <c r="J93" s="76"/>
      <c r="K93" s="76" t="str">
        <f t="shared" si="11"/>
        <v/>
      </c>
      <c r="L93" s="87" t="str">
        <f t="shared" si="12"/>
        <v/>
      </c>
      <c r="M93" s="89" t="str">
        <f t="shared" si="13"/>
        <v/>
      </c>
      <c r="N93" s="91" t="str">
        <f t="shared" si="14"/>
        <v/>
      </c>
      <c r="O93" s="93" t="str">
        <f>IF(H93="I",N93*Contagem!$U$11,IF(H93="E",N93*Contagem!$U$13,IF(H93="A",N93*Contagem!$U$12,IF(H93="T",N93*Contagem!$U$14,""))))</f>
        <v/>
      </c>
      <c r="P93" s="73"/>
      <c r="Q93" s="73"/>
      <c r="R93" s="73"/>
      <c r="S93" s="73"/>
      <c r="T93" s="73"/>
      <c r="U93" s="73"/>
      <c r="V93" s="73"/>
      <c r="W93" s="95"/>
      <c r="X93" s="95"/>
      <c r="Y93" s="95"/>
      <c r="Z93" s="95"/>
      <c r="AA93" s="95"/>
      <c r="AB93" s="95"/>
    </row>
  </sheetData>
  <mergeCells count="12">
    <mergeCell ref="N6:O6"/>
    <mergeCell ref="R7:V7"/>
    <mergeCell ref="P6:Q6"/>
    <mergeCell ref="A7:F7"/>
    <mergeCell ref="A6:E6"/>
    <mergeCell ref="F6:G6"/>
    <mergeCell ref="H6:M6"/>
    <mergeCell ref="A4:F4"/>
    <mergeCell ref="A1:O3"/>
    <mergeCell ref="G4:V4"/>
    <mergeCell ref="G5:V5"/>
    <mergeCell ref="A5:F5"/>
  </mergeCells>
  <conditionalFormatting sqref="H76:H93">
    <cfRule type="cellIs" dxfId="0" priority="1" operator="equal">
      <formula>"I"</formula>
    </cfRule>
  </conditionalFormatting>
  <conditionalFormatting sqref="H76:H93">
    <cfRule type="cellIs" dxfId="1" priority="2" operator="equal">
      <formula>"A"</formula>
    </cfRule>
  </conditionalFormatting>
  <conditionalFormatting sqref="H76:H93">
    <cfRule type="cellIs" dxfId="2" priority="3" operator="equal">
      <formula>"E"</formula>
    </cfRule>
  </conditionalFormatting>
  <conditionalFormatting sqref="H8:H75">
    <cfRule type="cellIs" dxfId="0" priority="4" operator="equal">
      <formula>"I"</formula>
    </cfRule>
  </conditionalFormatting>
  <conditionalFormatting sqref="H8:H75">
    <cfRule type="cellIs" dxfId="1" priority="5" operator="equal">
      <formula>"A"</formula>
    </cfRule>
  </conditionalFormatting>
  <conditionalFormatting sqref="H8:H75">
    <cfRule type="cellIs" dxfId="2" priority="6" operator="equal">
      <formula>"E"</formula>
    </cfRule>
  </conditionalFormatting>
  <printOptions/>
  <pageMargins bottom="0.75" footer="0.0" header="0.0" left="0.7" right="0.7" top="0.75"/>
  <pageSetup orientation="landscape"/>
  <headerFooter>
    <oddFooter>&amp;L&amp;P/&amp;C&amp;D&amp;R  &amp;F - &amp;A         .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8.29"/>
    <col customWidth="1" min="3" max="3" width="10.71"/>
    <col customWidth="1" min="4" max="4" width="2.29"/>
    <col customWidth="1" min="5" max="5" width="7.71"/>
    <col customWidth="1" min="6" max="6" width="5.0"/>
    <col customWidth="1" min="7" max="7" width="10.71"/>
    <col customWidth="1" min="8" max="8" width="4.71"/>
    <col customWidth="1" min="9" max="9" width="6.71"/>
    <col customWidth="1" min="10" max="10" width="4.71"/>
    <col customWidth="1" min="11" max="11" width="9.86"/>
    <col customWidth="1" min="12" max="12" width="7.29"/>
    <col customWidth="1" min="13" max="15" width="9.14"/>
  </cols>
  <sheetData>
    <row r="1" ht="12.0" customHeight="1">
      <c r="A1" s="3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7"/>
      <c r="M1" s="10"/>
      <c r="N1" s="10"/>
      <c r="O1" s="10"/>
    </row>
    <row r="2" ht="12.0" customHeight="1">
      <c r="A2" s="9"/>
      <c r="L2" s="11"/>
      <c r="M2" s="10"/>
      <c r="N2" s="10"/>
      <c r="O2" s="10"/>
    </row>
    <row r="3" ht="12.0" customHeight="1">
      <c r="A3" s="12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  <c r="M3" s="10"/>
      <c r="N3" s="10"/>
      <c r="O3" s="10"/>
    </row>
    <row r="4" ht="12.0" customHeight="1">
      <c r="A4" s="19" t="str">
        <f>Contagem!A5&amp;" : "&amp;Contagem!F5</f>
        <v>Aplicação : Gerenciamento</v>
      </c>
      <c r="B4" s="18"/>
      <c r="C4" s="18"/>
      <c r="D4" s="18"/>
      <c r="E4" s="20"/>
      <c r="F4" s="22" t="str">
        <f>Contagem!A6&amp;" : "&amp;Contagem!F6</f>
        <v>Projeto : Academia</v>
      </c>
      <c r="G4" s="18"/>
      <c r="H4" s="18"/>
      <c r="I4" s="18"/>
      <c r="J4" s="18"/>
      <c r="K4" s="18"/>
      <c r="L4" s="24"/>
      <c r="M4" s="10"/>
      <c r="N4" s="10"/>
      <c r="O4" s="10"/>
    </row>
    <row r="5" ht="12.0" customHeight="1">
      <c r="A5" s="19" t="str">
        <f>Contagem!A7&amp;" : "&amp;Contagem!F7</f>
        <v>Responsável : Handressa dos Santos</v>
      </c>
      <c r="B5" s="18"/>
      <c r="C5" s="18"/>
      <c r="D5" s="18"/>
      <c r="E5" s="18"/>
      <c r="F5" s="22" t="str">
        <f>Contagem!A8&amp;" : "&amp;Contagem!F8</f>
        <v>Revisor : Handressa dos Santos</v>
      </c>
      <c r="G5" s="18"/>
      <c r="H5" s="18"/>
      <c r="I5" s="18"/>
      <c r="J5" s="18"/>
      <c r="K5" s="18"/>
      <c r="L5" s="24"/>
      <c r="M5" s="10"/>
      <c r="N5" s="10"/>
      <c r="O5" s="10"/>
    </row>
    <row r="6" ht="12.0" customHeight="1">
      <c r="A6" s="29" t="str">
        <f>Contagem!A4&amp;" : "&amp;Contagem!F4</f>
        <v>Empresa : Desafio Hackathon</v>
      </c>
      <c r="B6" s="31"/>
      <c r="C6" s="31"/>
      <c r="D6" s="33"/>
      <c r="E6" s="33"/>
      <c r="F6" s="36" t="str">
        <f>Contagem!R4&amp;" = "&amp;VALUE(Contagem!T4)</f>
        <v>R$/PF = 0</v>
      </c>
      <c r="G6" s="20"/>
      <c r="H6" s="36" t="str">
        <f>" Custo= "&amp;DOLLAR(Contagem!W4)</f>
        <v> Custo= R$ 0,00</v>
      </c>
      <c r="I6" s="18"/>
      <c r="J6" s="20"/>
      <c r="K6" s="39" t="str">
        <f>"PF  = "&amp;VALUE(Contagem!W5)</f>
        <v>PF  = 186</v>
      </c>
      <c r="L6" s="24"/>
      <c r="M6" s="10"/>
      <c r="N6" s="10"/>
      <c r="O6" s="10"/>
    </row>
    <row r="7" ht="12.0" customHeight="1">
      <c r="A7" s="41" t="s">
        <v>7</v>
      </c>
      <c r="B7" s="8"/>
      <c r="C7" s="43" t="s">
        <v>8</v>
      </c>
      <c r="D7" s="8"/>
      <c r="E7" s="8"/>
      <c r="F7" s="8"/>
      <c r="G7" s="45" t="s">
        <v>11</v>
      </c>
      <c r="H7" s="45"/>
      <c r="I7" s="47" t="s">
        <v>13</v>
      </c>
      <c r="J7" s="48"/>
      <c r="K7" s="47"/>
      <c r="L7" s="48"/>
      <c r="M7" s="10"/>
      <c r="N7" s="10"/>
      <c r="O7" s="10"/>
    </row>
    <row r="8" ht="12.0" customHeight="1">
      <c r="A8" s="12"/>
      <c r="B8" s="14"/>
      <c r="C8" s="50"/>
      <c r="D8" s="14"/>
      <c r="E8" s="14"/>
      <c r="F8" s="14"/>
      <c r="G8" s="52"/>
      <c r="H8" s="52"/>
      <c r="I8" s="50"/>
      <c r="J8" s="15"/>
      <c r="K8" s="50"/>
      <c r="L8" s="15"/>
      <c r="M8" s="10"/>
      <c r="N8" s="10"/>
      <c r="O8" s="10"/>
    </row>
    <row r="9" ht="12.0" customHeight="1">
      <c r="A9" s="56"/>
      <c r="B9" s="58"/>
      <c r="C9" s="58"/>
      <c r="D9" s="58"/>
      <c r="E9" s="58"/>
      <c r="F9" s="58"/>
      <c r="G9" s="58"/>
      <c r="H9" s="58"/>
      <c r="I9" s="58"/>
      <c r="J9" s="58"/>
      <c r="K9" s="58"/>
      <c r="L9" s="60"/>
      <c r="M9" s="10"/>
      <c r="N9" s="10"/>
      <c r="O9" s="10"/>
    </row>
    <row r="10" ht="12.0" customHeight="1">
      <c r="A10" s="66"/>
      <c r="B10" s="10" t="s">
        <v>32</v>
      </c>
      <c r="C10" s="69">
        <f>COUNTIF(CF,"EEL")</f>
        <v>0</v>
      </c>
      <c r="D10" s="10"/>
      <c r="E10" s="70" t="s">
        <v>34</v>
      </c>
      <c r="F10" s="70" t="s">
        <v>36</v>
      </c>
      <c r="G10" s="69">
        <f>C10*3</f>
        <v>0</v>
      </c>
      <c r="H10" s="10"/>
      <c r="I10" s="72"/>
      <c r="J10" s="10"/>
      <c r="K10" s="10"/>
      <c r="L10" s="74"/>
      <c r="M10" s="10"/>
      <c r="N10" s="10"/>
      <c r="O10" s="10"/>
    </row>
    <row r="11" ht="12.0" customHeight="1">
      <c r="A11" s="66"/>
      <c r="B11" s="10"/>
      <c r="C11" s="69">
        <f>COUNTIF(CF,"EEA")</f>
        <v>9</v>
      </c>
      <c r="D11" s="10"/>
      <c r="E11" s="70" t="s">
        <v>39</v>
      </c>
      <c r="F11" s="70" t="s">
        <v>40</v>
      </c>
      <c r="G11" s="69">
        <f>C11*4</f>
        <v>36</v>
      </c>
      <c r="H11" s="10"/>
      <c r="I11" s="72"/>
      <c r="J11" s="10"/>
      <c r="K11" s="10"/>
      <c r="L11" s="74"/>
      <c r="M11" s="10"/>
      <c r="N11" s="10"/>
      <c r="O11" s="10"/>
    </row>
    <row r="12" ht="12.0" customHeight="1">
      <c r="A12" s="66"/>
      <c r="B12" s="10"/>
      <c r="C12" s="69">
        <f>COUNTIF(CF,"EEH")</f>
        <v>6</v>
      </c>
      <c r="D12" s="10"/>
      <c r="E12" s="70" t="s">
        <v>42</v>
      </c>
      <c r="F12" s="70" t="s">
        <v>43</v>
      </c>
      <c r="G12" s="69">
        <f>C12*6</f>
        <v>36</v>
      </c>
      <c r="H12" s="10"/>
      <c r="I12" s="72"/>
      <c r="J12" s="10"/>
      <c r="K12" s="10"/>
      <c r="L12" s="79"/>
      <c r="M12" s="10"/>
      <c r="N12" s="10"/>
      <c r="O12" s="10"/>
    </row>
    <row r="13" ht="6.75" customHeight="1">
      <c r="A13" s="66"/>
      <c r="B13" s="10"/>
      <c r="C13" s="58"/>
      <c r="D13" s="10"/>
      <c r="E13" s="10"/>
      <c r="F13" s="10"/>
      <c r="G13" s="58"/>
      <c r="H13" s="10"/>
      <c r="I13" s="10"/>
      <c r="J13" s="10"/>
      <c r="K13" s="10"/>
      <c r="L13" s="74"/>
      <c r="M13" s="10"/>
      <c r="N13" s="10"/>
      <c r="O13" s="10"/>
    </row>
    <row r="14" ht="12.0" customHeight="1">
      <c r="A14" s="66"/>
      <c r="B14" s="80" t="s">
        <v>44</v>
      </c>
      <c r="C14" s="69">
        <f>SUM(C10:C12)</f>
        <v>15</v>
      </c>
      <c r="D14" s="10"/>
      <c r="E14" s="10"/>
      <c r="F14" s="80" t="s">
        <v>44</v>
      </c>
      <c r="G14" s="69">
        <f>SUM(G10:G12)</f>
        <v>72</v>
      </c>
      <c r="H14" s="10"/>
      <c r="I14" s="82">
        <f>IF($G$45&lt;&gt;0,G14/$G$45,"")</f>
        <v>0.3829787234</v>
      </c>
      <c r="J14" s="10"/>
      <c r="K14" s="10"/>
      <c r="L14" s="74"/>
      <c r="M14" s="10"/>
      <c r="N14" s="10"/>
      <c r="O14" s="84"/>
    </row>
    <row r="15" ht="6.0" customHeight="1">
      <c r="A15" s="85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88"/>
      <c r="M15" s="10"/>
      <c r="N15" s="10"/>
      <c r="O15" s="10"/>
    </row>
    <row r="16" ht="12.0" customHeight="1">
      <c r="A16" s="6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74"/>
      <c r="M16" s="10"/>
      <c r="N16" s="10"/>
      <c r="O16" s="10"/>
    </row>
    <row r="17" ht="12.0" customHeight="1">
      <c r="A17" s="66"/>
      <c r="B17" s="10" t="s">
        <v>50</v>
      </c>
      <c r="C17" s="69">
        <f>COUNTIF(CF,"SEL")</f>
        <v>2</v>
      </c>
      <c r="D17" s="10"/>
      <c r="E17" s="70" t="s">
        <v>34</v>
      </c>
      <c r="F17" s="70" t="s">
        <v>40</v>
      </c>
      <c r="G17" s="69">
        <f>C17*4</f>
        <v>8</v>
      </c>
      <c r="H17" s="10"/>
      <c r="I17" s="10"/>
      <c r="J17" s="10"/>
      <c r="K17" s="10"/>
      <c r="L17" s="74"/>
      <c r="M17" s="10"/>
      <c r="N17" s="10"/>
      <c r="O17" s="10"/>
    </row>
    <row r="18" ht="12.0" customHeight="1">
      <c r="A18" s="66"/>
      <c r="B18" s="10"/>
      <c r="C18" s="69">
        <f>COUNTIF(CF,"SEA")</f>
        <v>2</v>
      </c>
      <c r="D18" s="10"/>
      <c r="E18" s="70" t="s">
        <v>39</v>
      </c>
      <c r="F18" s="70" t="s">
        <v>52</v>
      </c>
      <c r="G18" s="69">
        <f>C18*5</f>
        <v>10</v>
      </c>
      <c r="H18" s="10"/>
      <c r="I18" s="10"/>
      <c r="J18" s="10"/>
      <c r="K18" s="10"/>
      <c r="L18" s="74"/>
      <c r="M18" s="10"/>
      <c r="N18" s="10"/>
      <c r="O18" s="10"/>
    </row>
    <row r="19" ht="12.0" customHeight="1">
      <c r="A19" s="66"/>
      <c r="B19" s="10"/>
      <c r="C19" s="69">
        <f>COUNTIF(CF,"SEH")</f>
        <v>2</v>
      </c>
      <c r="D19" s="10"/>
      <c r="E19" s="70" t="s">
        <v>42</v>
      </c>
      <c r="F19" s="70" t="s">
        <v>54</v>
      </c>
      <c r="G19" s="69">
        <f>C19*7</f>
        <v>14</v>
      </c>
      <c r="H19" s="10"/>
      <c r="I19" s="10"/>
      <c r="J19" s="10"/>
      <c r="K19" s="10"/>
      <c r="L19" s="79"/>
      <c r="M19" s="10"/>
      <c r="N19" s="10"/>
      <c r="O19" s="10"/>
    </row>
    <row r="20" ht="6.75" customHeight="1">
      <c r="A20" s="66"/>
      <c r="B20" s="10"/>
      <c r="C20" s="58"/>
      <c r="D20" s="10"/>
      <c r="E20" s="10"/>
      <c r="F20" s="10"/>
      <c r="G20" s="58"/>
      <c r="H20" s="10"/>
      <c r="I20" s="10"/>
      <c r="J20" s="10"/>
      <c r="K20" s="10"/>
      <c r="L20" s="74"/>
      <c r="M20" s="10"/>
      <c r="N20" s="10"/>
      <c r="O20" s="10"/>
    </row>
    <row r="21" ht="12.0" customHeight="1">
      <c r="A21" s="66"/>
      <c r="B21" s="80" t="s">
        <v>44</v>
      </c>
      <c r="C21" s="69">
        <f>SUM(C17:C19)</f>
        <v>6</v>
      </c>
      <c r="D21" s="10"/>
      <c r="E21" s="10"/>
      <c r="F21" s="80" t="s">
        <v>44</v>
      </c>
      <c r="G21" s="69">
        <f>SUM(G17:G19)</f>
        <v>32</v>
      </c>
      <c r="H21" s="10"/>
      <c r="I21" s="94">
        <f>IF($G$45&lt;&gt;0,G21/$G$45,"")</f>
        <v>0.170212766</v>
      </c>
      <c r="J21" s="10"/>
      <c r="K21" s="10"/>
      <c r="L21" s="74"/>
      <c r="M21" s="10"/>
      <c r="N21" s="10"/>
      <c r="O21" s="10"/>
    </row>
    <row r="22" ht="6.0" customHeight="1">
      <c r="A22" s="85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88"/>
      <c r="M22" s="10"/>
      <c r="N22" s="10"/>
      <c r="O22" s="10"/>
    </row>
    <row r="23" ht="12.0" customHeight="1">
      <c r="A23" s="56"/>
      <c r="B23" s="58"/>
      <c r="C23" s="10"/>
      <c r="D23" s="58"/>
      <c r="E23" s="58"/>
      <c r="F23" s="58"/>
      <c r="G23" s="10"/>
      <c r="H23" s="58"/>
      <c r="I23" s="58"/>
      <c r="J23" s="58"/>
      <c r="K23" s="58"/>
      <c r="L23" s="60"/>
      <c r="M23" s="10"/>
      <c r="N23" s="10"/>
      <c r="O23" s="10"/>
    </row>
    <row r="24" ht="12.0" customHeight="1">
      <c r="A24" s="66"/>
      <c r="B24" s="10" t="s">
        <v>58</v>
      </c>
      <c r="C24" s="69">
        <f>COUNTIF(CF,"CEL")</f>
        <v>2</v>
      </c>
      <c r="D24" s="10"/>
      <c r="E24" s="70" t="s">
        <v>34</v>
      </c>
      <c r="F24" s="70" t="s">
        <v>36</v>
      </c>
      <c r="G24" s="69">
        <f>C24*3</f>
        <v>6</v>
      </c>
      <c r="H24" s="10"/>
      <c r="I24" s="10"/>
      <c r="J24" s="10"/>
      <c r="K24" s="10"/>
      <c r="L24" s="74"/>
      <c r="M24" s="10"/>
      <c r="N24" s="10"/>
      <c r="O24" s="10"/>
    </row>
    <row r="25" ht="12.0" customHeight="1">
      <c r="A25" s="66"/>
      <c r="B25" s="10"/>
      <c r="C25" s="69">
        <f>COUNTIF(CF,"CEA")</f>
        <v>4</v>
      </c>
      <c r="D25" s="10"/>
      <c r="E25" s="70" t="s">
        <v>39</v>
      </c>
      <c r="F25" s="70" t="s">
        <v>40</v>
      </c>
      <c r="G25" s="69">
        <f>C25*4</f>
        <v>16</v>
      </c>
      <c r="H25" s="10"/>
      <c r="I25" s="10"/>
      <c r="J25" s="10"/>
      <c r="K25" s="10"/>
      <c r="L25" s="74"/>
      <c r="M25" s="10"/>
      <c r="N25" s="10"/>
      <c r="O25" s="10"/>
    </row>
    <row r="26" ht="12.0" customHeight="1">
      <c r="A26" s="66"/>
      <c r="B26" s="10"/>
      <c r="C26" s="69">
        <f>COUNTIF(CF,"CEH")</f>
        <v>0</v>
      </c>
      <c r="D26" s="10"/>
      <c r="E26" s="70" t="s">
        <v>42</v>
      </c>
      <c r="F26" s="70" t="s">
        <v>43</v>
      </c>
      <c r="G26" s="69">
        <f>C26*6</f>
        <v>0</v>
      </c>
      <c r="H26" s="10"/>
      <c r="I26" s="10"/>
      <c r="J26" s="10"/>
      <c r="K26" s="10"/>
      <c r="L26" s="79"/>
      <c r="M26" s="10"/>
      <c r="N26" s="10"/>
      <c r="O26" s="10"/>
    </row>
    <row r="27" ht="6.75" customHeight="1">
      <c r="A27" s="66"/>
      <c r="B27" s="10"/>
      <c r="C27" s="58"/>
      <c r="D27" s="10"/>
      <c r="E27" s="10"/>
      <c r="F27" s="10"/>
      <c r="G27" s="58"/>
      <c r="H27" s="10"/>
      <c r="I27" s="10"/>
      <c r="J27" s="10"/>
      <c r="K27" s="10"/>
      <c r="L27" s="74"/>
      <c r="M27" s="10"/>
      <c r="N27" s="10"/>
      <c r="O27" s="10"/>
    </row>
    <row r="28" ht="12.0" customHeight="1">
      <c r="A28" s="66"/>
      <c r="B28" s="80" t="s">
        <v>44</v>
      </c>
      <c r="C28" s="69">
        <f>SUM(C24:C26)</f>
        <v>6</v>
      </c>
      <c r="D28" s="10"/>
      <c r="E28" s="10"/>
      <c r="F28" s="80" t="s">
        <v>44</v>
      </c>
      <c r="G28" s="69">
        <f>SUM(G24:G26)</f>
        <v>22</v>
      </c>
      <c r="H28" s="10"/>
      <c r="I28" s="97">
        <f>IF($G$45&lt;&gt;0,G28/$G$45,"")</f>
        <v>0.1170212766</v>
      </c>
      <c r="J28" s="10"/>
      <c r="K28" s="10"/>
      <c r="L28" s="74"/>
      <c r="M28" s="10"/>
      <c r="N28" s="10"/>
      <c r="O28" s="10"/>
    </row>
    <row r="29" ht="6.0" customHeight="1">
      <c r="A29" s="85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88"/>
      <c r="M29" s="10"/>
      <c r="N29" s="10"/>
      <c r="O29" s="10"/>
    </row>
    <row r="30" ht="12.0" customHeight="1">
      <c r="A30" s="56"/>
      <c r="B30" s="58"/>
      <c r="C30" s="10"/>
      <c r="D30" s="58"/>
      <c r="E30" s="58"/>
      <c r="F30" s="58"/>
      <c r="G30" s="10"/>
      <c r="H30" s="58"/>
      <c r="I30" s="58"/>
      <c r="J30" s="58"/>
      <c r="K30" s="58"/>
      <c r="L30" s="60"/>
      <c r="M30" s="10"/>
      <c r="N30" s="10"/>
      <c r="O30" s="10"/>
    </row>
    <row r="31" ht="12.0" customHeight="1">
      <c r="A31" s="66"/>
      <c r="B31" s="10" t="s">
        <v>38</v>
      </c>
      <c r="C31" s="69">
        <f>COUNTIF(CF,"ALIL")</f>
        <v>6</v>
      </c>
      <c r="D31" s="10"/>
      <c r="E31" s="10" t="s">
        <v>34</v>
      </c>
      <c r="F31" s="10" t="s">
        <v>54</v>
      </c>
      <c r="G31" s="69">
        <f>C31*7</f>
        <v>42</v>
      </c>
      <c r="H31" s="10"/>
      <c r="I31" s="10"/>
      <c r="J31" s="10"/>
      <c r="K31" s="10"/>
      <c r="L31" s="74"/>
      <c r="M31" s="10"/>
      <c r="N31" s="10"/>
      <c r="O31" s="10"/>
    </row>
    <row r="32" ht="12.0" customHeight="1">
      <c r="A32" s="66"/>
      <c r="B32" s="10"/>
      <c r="C32" s="69">
        <f>COUNTIF(CF,"ALIA")</f>
        <v>0</v>
      </c>
      <c r="D32" s="10"/>
      <c r="E32" s="10" t="s">
        <v>39</v>
      </c>
      <c r="F32" s="10" t="s">
        <v>63</v>
      </c>
      <c r="G32" s="69">
        <f>C32*10</f>
        <v>0</v>
      </c>
      <c r="H32" s="10"/>
      <c r="I32" s="10"/>
      <c r="J32" s="10"/>
      <c r="K32" s="10"/>
      <c r="L32" s="74"/>
      <c r="M32" s="10"/>
      <c r="N32" s="10"/>
      <c r="O32" s="10"/>
    </row>
    <row r="33" ht="12.0" customHeight="1">
      <c r="A33" s="66"/>
      <c r="B33" s="10"/>
      <c r="C33" s="69">
        <f>COUNTIF(CF,"ALIH")</f>
        <v>0</v>
      </c>
      <c r="D33" s="10"/>
      <c r="E33" s="10" t="s">
        <v>42</v>
      </c>
      <c r="F33" s="10" t="s">
        <v>64</v>
      </c>
      <c r="G33" s="69">
        <f>C33*15</f>
        <v>0</v>
      </c>
      <c r="H33" s="10"/>
      <c r="I33" s="10"/>
      <c r="J33" s="10"/>
      <c r="K33" s="10"/>
      <c r="L33" s="79"/>
      <c r="M33" s="10"/>
      <c r="N33" s="10"/>
      <c r="O33" s="10"/>
    </row>
    <row r="34" ht="6.75" customHeight="1">
      <c r="A34" s="66"/>
      <c r="B34" s="10"/>
      <c r="C34" s="58"/>
      <c r="D34" s="10"/>
      <c r="E34" s="10"/>
      <c r="F34" s="10"/>
      <c r="G34" s="58"/>
      <c r="H34" s="10"/>
      <c r="I34" s="10"/>
      <c r="J34" s="10"/>
      <c r="K34" s="10"/>
      <c r="L34" s="74"/>
      <c r="M34" s="10"/>
      <c r="N34" s="10"/>
      <c r="O34" s="10"/>
    </row>
    <row r="35" ht="12.0" customHeight="1">
      <c r="A35" s="66"/>
      <c r="B35" s="80" t="s">
        <v>44</v>
      </c>
      <c r="C35" s="69">
        <f>SUM(C31:C33)</f>
        <v>6</v>
      </c>
      <c r="D35" s="10"/>
      <c r="E35" s="10"/>
      <c r="F35" s="80" t="s">
        <v>44</v>
      </c>
      <c r="G35" s="69">
        <f>SUM(G31:G33)</f>
        <v>42</v>
      </c>
      <c r="H35" s="10"/>
      <c r="I35" s="102">
        <f>IF($G$45&lt;&gt;0,G35/$G$45,"")</f>
        <v>0.2234042553</v>
      </c>
      <c r="J35" s="10"/>
      <c r="K35" s="10"/>
      <c r="L35" s="74"/>
      <c r="M35" s="10"/>
      <c r="N35" s="10"/>
      <c r="O35" s="10"/>
    </row>
    <row r="36" ht="6.0" customHeight="1">
      <c r="A36" s="85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88"/>
      <c r="M36" s="10"/>
      <c r="N36" s="10"/>
      <c r="O36" s="10"/>
    </row>
    <row r="37" ht="12.0" customHeight="1">
      <c r="A37" s="56"/>
      <c r="B37" s="58"/>
      <c r="C37" s="10"/>
      <c r="D37" s="58"/>
      <c r="E37" s="58"/>
      <c r="F37" s="58"/>
      <c r="G37" s="10"/>
      <c r="H37" s="58"/>
      <c r="I37" s="58"/>
      <c r="J37" s="58"/>
      <c r="K37" s="58"/>
      <c r="L37" s="60"/>
      <c r="M37" s="10"/>
      <c r="N37" s="10"/>
      <c r="O37" s="10"/>
    </row>
    <row r="38" ht="12.0" customHeight="1">
      <c r="A38" s="66"/>
      <c r="B38" s="10" t="s">
        <v>62</v>
      </c>
      <c r="C38" s="69">
        <f>COUNTIF(CF,"AIEL")</f>
        <v>4</v>
      </c>
      <c r="D38" s="10"/>
      <c r="E38" s="10" t="s">
        <v>34</v>
      </c>
      <c r="F38" s="10" t="s">
        <v>52</v>
      </c>
      <c r="G38" s="69">
        <f>C38*5</f>
        <v>20</v>
      </c>
      <c r="H38" s="10"/>
      <c r="I38" s="10"/>
      <c r="J38" s="10"/>
      <c r="K38" s="10"/>
      <c r="L38" s="74"/>
      <c r="M38" s="10"/>
      <c r="N38" s="10"/>
      <c r="O38" s="10"/>
    </row>
    <row r="39" ht="12.0" customHeight="1">
      <c r="A39" s="66"/>
      <c r="B39" s="10"/>
      <c r="C39" s="69">
        <f>COUNTIF(CF,"AIEA")</f>
        <v>0</v>
      </c>
      <c r="D39" s="10"/>
      <c r="E39" s="10" t="s">
        <v>39</v>
      </c>
      <c r="F39" s="10" t="s">
        <v>54</v>
      </c>
      <c r="G39" s="69">
        <f>C39*7</f>
        <v>0</v>
      </c>
      <c r="H39" s="10"/>
      <c r="I39" s="10"/>
      <c r="J39" s="10"/>
      <c r="K39" s="10"/>
      <c r="L39" s="74"/>
      <c r="M39" s="10"/>
      <c r="N39" s="10"/>
      <c r="O39" s="10"/>
    </row>
    <row r="40" ht="12.0" customHeight="1">
      <c r="A40" s="66"/>
      <c r="B40" s="10"/>
      <c r="C40" s="69">
        <f>COUNTIF(CF,"AIEH")</f>
        <v>0</v>
      </c>
      <c r="D40" s="10"/>
      <c r="E40" s="10" t="s">
        <v>42</v>
      </c>
      <c r="F40" s="10" t="s">
        <v>63</v>
      </c>
      <c r="G40" s="69">
        <f>C40*10</f>
        <v>0</v>
      </c>
      <c r="H40" s="10"/>
      <c r="I40" s="10"/>
      <c r="J40" s="10"/>
      <c r="K40" s="10"/>
      <c r="L40" s="79"/>
      <c r="M40" s="10"/>
      <c r="N40" s="10"/>
      <c r="O40" s="10"/>
    </row>
    <row r="41" ht="6.75" customHeight="1">
      <c r="A41" s="66"/>
      <c r="B41" s="10"/>
      <c r="C41" s="58"/>
      <c r="D41" s="10"/>
      <c r="E41" s="10"/>
      <c r="F41" s="10"/>
      <c r="G41" s="58"/>
      <c r="H41" s="10"/>
      <c r="I41" s="10"/>
      <c r="J41" s="10"/>
      <c r="K41" s="10"/>
      <c r="L41" s="74"/>
      <c r="M41" s="10"/>
      <c r="N41" s="10"/>
      <c r="O41" s="10"/>
    </row>
    <row r="42" ht="12.0" customHeight="1">
      <c r="A42" s="66"/>
      <c r="B42" s="80" t="s">
        <v>44</v>
      </c>
      <c r="C42" s="69">
        <f>SUM(C38:C40)</f>
        <v>4</v>
      </c>
      <c r="D42" s="10"/>
      <c r="E42" s="10"/>
      <c r="F42" s="80" t="s">
        <v>44</v>
      </c>
      <c r="G42" s="69">
        <f>SUM(G38:G40)</f>
        <v>20</v>
      </c>
      <c r="H42" s="10"/>
      <c r="I42" s="107">
        <f>IF($G$45&lt;&gt;0,G42/$G$45,"")</f>
        <v>0.1063829787</v>
      </c>
      <c r="J42" s="10"/>
      <c r="K42" s="10"/>
      <c r="L42" s="74"/>
      <c r="M42" s="10"/>
      <c r="N42" s="10"/>
      <c r="O42" s="10"/>
    </row>
    <row r="43" ht="6.0" customHeight="1">
      <c r="A43" s="85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88"/>
      <c r="M43" s="10"/>
      <c r="N43" s="10"/>
      <c r="O43" s="10"/>
    </row>
    <row r="44" ht="12.0" customHeight="1">
      <c r="A44" s="6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74"/>
      <c r="M44" s="10"/>
      <c r="N44" s="10"/>
      <c r="O44" s="10"/>
    </row>
    <row r="45" ht="12.0" customHeight="1">
      <c r="A45" s="66"/>
      <c r="B45" s="10" t="s">
        <v>70</v>
      </c>
      <c r="C45" s="10"/>
      <c r="D45" s="10"/>
      <c r="E45" s="10"/>
      <c r="F45" s="10"/>
      <c r="G45" s="69">
        <f>SUM(G14+G21+G28+G35+G42)</f>
        <v>188</v>
      </c>
      <c r="H45" s="10"/>
      <c r="I45" s="10"/>
      <c r="J45" s="10"/>
      <c r="K45" s="10"/>
      <c r="L45" s="74"/>
      <c r="M45" s="10"/>
      <c r="N45" s="10"/>
      <c r="O45" s="10"/>
    </row>
    <row r="46" ht="12.0" customHeight="1">
      <c r="A46" s="66"/>
      <c r="B46" s="10" t="s">
        <v>71</v>
      </c>
      <c r="C46" s="10"/>
      <c r="D46" s="10"/>
      <c r="E46" s="10"/>
      <c r="F46" s="10"/>
      <c r="G46" s="69">
        <f>(C10+C11+C12)*4+(C17+C18+C19)*5+(C24+C25+C26)*4+(C31+C32+C33)*7+(C38+C39+C40)*5</f>
        <v>176</v>
      </c>
      <c r="H46" s="10"/>
      <c r="I46" s="10"/>
      <c r="J46" s="10"/>
      <c r="K46" s="10"/>
      <c r="L46" s="74"/>
      <c r="M46" s="10"/>
      <c r="N46" s="10"/>
      <c r="O46" s="10"/>
    </row>
    <row r="47" ht="12.0" customHeight="1">
      <c r="A47" s="66"/>
      <c r="B47" s="10" t="s">
        <v>73</v>
      </c>
      <c r="C47" s="10"/>
      <c r="D47" s="10"/>
      <c r="E47" s="10"/>
      <c r="F47" s="10"/>
      <c r="G47" s="69">
        <f>(C31+C32+C33)*35+(C38+C39+C40)*15</f>
        <v>270</v>
      </c>
      <c r="H47" s="10"/>
      <c r="I47" s="10"/>
      <c r="J47" s="10"/>
      <c r="K47" s="10"/>
      <c r="L47" s="74"/>
      <c r="M47" s="10"/>
      <c r="N47" s="10"/>
      <c r="O47" s="10"/>
    </row>
    <row r="48" ht="12.0" customHeight="1">
      <c r="A48" s="6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74"/>
      <c r="M48" s="10"/>
      <c r="N48" s="10"/>
      <c r="O48" s="10"/>
    </row>
    <row r="49" ht="12.0" customHeight="1">
      <c r="A49" s="6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74"/>
      <c r="M49" s="10"/>
      <c r="N49" s="10"/>
      <c r="O49" s="10"/>
    </row>
    <row r="50" ht="12.0" customHeight="1">
      <c r="A50" s="66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74"/>
      <c r="M50" s="10"/>
      <c r="N50" s="10"/>
      <c r="O50" s="10"/>
    </row>
    <row r="51" ht="13.5" customHeight="1">
      <c r="A51" s="66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74"/>
      <c r="M51" s="10"/>
      <c r="N51" s="10"/>
      <c r="O51" s="10"/>
    </row>
    <row r="52" ht="12.0" customHeight="1">
      <c r="A52" s="56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60"/>
      <c r="M52" s="10"/>
      <c r="N52" s="10"/>
      <c r="O52" s="10"/>
    </row>
    <row r="53" ht="12.0" customHeight="1">
      <c r="A53" s="66"/>
      <c r="B53" s="10" t="s">
        <v>75</v>
      </c>
      <c r="C53" s="10"/>
      <c r="D53" s="10"/>
      <c r="E53" s="10"/>
      <c r="F53" s="10"/>
      <c r="G53" s="10"/>
      <c r="H53" s="10"/>
      <c r="I53" s="10"/>
      <c r="J53" s="10"/>
      <c r="K53" s="10"/>
      <c r="L53" s="74"/>
      <c r="M53" s="10"/>
      <c r="N53" s="10"/>
      <c r="O53" s="10"/>
    </row>
    <row r="54" ht="12.0" customHeight="1">
      <c r="A54" s="66"/>
      <c r="B54" s="10"/>
      <c r="C54" s="10"/>
      <c r="D54" s="10"/>
      <c r="E54" s="109" t="s">
        <v>12</v>
      </c>
      <c r="F54" s="109" t="s">
        <v>77</v>
      </c>
      <c r="G54" s="109" t="s">
        <v>78</v>
      </c>
      <c r="H54" s="10"/>
      <c r="I54" s="10"/>
      <c r="J54" s="10"/>
      <c r="K54" s="10"/>
      <c r="L54" s="74"/>
      <c r="M54" s="10"/>
      <c r="N54" s="10"/>
      <c r="O54" s="10"/>
    </row>
    <row r="55" ht="12.0" customHeight="1">
      <c r="A55" s="66"/>
      <c r="B55" s="110" t="s">
        <v>80</v>
      </c>
      <c r="C55" s="18"/>
      <c r="D55" s="20"/>
      <c r="E55" s="111">
        <f>SUMIF('Funções'!$H$8:$H$93,"I",'Funções'!$N$8:$N$93)</f>
        <v>186</v>
      </c>
      <c r="F55" s="111">
        <f>Contagem!U11</f>
        <v>1</v>
      </c>
      <c r="G55" s="111">
        <f t="shared" ref="G55:G58" si="1">F55*E55</f>
        <v>186</v>
      </c>
      <c r="H55" s="112"/>
      <c r="I55" s="112"/>
      <c r="J55" s="112"/>
      <c r="K55" s="113" t="s">
        <v>83</v>
      </c>
      <c r="L55" s="74"/>
      <c r="M55" s="10"/>
      <c r="N55" s="10"/>
      <c r="O55" s="10"/>
    </row>
    <row r="56" ht="12.0" customHeight="1">
      <c r="A56" s="66"/>
      <c r="B56" s="110" t="s">
        <v>84</v>
      </c>
      <c r="C56" s="18"/>
      <c r="D56" s="20"/>
      <c r="E56" s="111">
        <f>SUMIF('Funções'!$H$8:$H$93,"A",'Funções'!$N$8:$N$93)</f>
        <v>0</v>
      </c>
      <c r="F56" s="111">
        <f>Contagem!U12</f>
        <v>1</v>
      </c>
      <c r="G56" s="111">
        <f t="shared" si="1"/>
        <v>0</v>
      </c>
      <c r="H56" s="112"/>
      <c r="I56" s="112"/>
      <c r="J56" s="112"/>
      <c r="K56" s="117">
        <f>Contagem!W5</f>
        <v>186</v>
      </c>
      <c r="L56" s="74"/>
      <c r="M56" s="10"/>
      <c r="N56" s="10"/>
      <c r="O56" s="10"/>
    </row>
    <row r="57" ht="12.0" customHeight="1">
      <c r="A57" s="66"/>
      <c r="B57" s="110" t="s">
        <v>85</v>
      </c>
      <c r="C57" s="18"/>
      <c r="D57" s="20"/>
      <c r="E57" s="111">
        <f>SUMIF('Funções'!$H$8:$H$93,"E",'Funções'!$N$8:$N$93)</f>
        <v>0</v>
      </c>
      <c r="F57" s="111">
        <f>Contagem!U13</f>
        <v>1</v>
      </c>
      <c r="G57" s="111">
        <f t="shared" si="1"/>
        <v>0</v>
      </c>
      <c r="H57" s="112"/>
      <c r="I57" s="112"/>
      <c r="J57" s="112"/>
      <c r="K57" s="10"/>
      <c r="L57" s="74"/>
      <c r="M57" s="10"/>
      <c r="N57" s="10"/>
      <c r="O57" s="10"/>
    </row>
    <row r="58" ht="12.0" customHeight="1">
      <c r="A58" s="66"/>
      <c r="B58" s="110" t="s">
        <v>87</v>
      </c>
      <c r="C58" s="18"/>
      <c r="D58" s="20"/>
      <c r="E58" s="111">
        <f>SUMIF('Funções'!$H$8:$H$93,"T",'Funções'!$N$8:$N$93)</f>
        <v>0</v>
      </c>
      <c r="F58" s="111" t="str">
        <f>Contagem!U14</f>
        <v/>
      </c>
      <c r="G58" s="111">
        <f t="shared" si="1"/>
        <v>0</v>
      </c>
      <c r="H58" s="112"/>
      <c r="I58" s="112"/>
      <c r="J58" s="112"/>
      <c r="K58" s="10"/>
      <c r="L58" s="74"/>
      <c r="M58" s="10"/>
      <c r="N58" s="10"/>
      <c r="O58" s="10"/>
    </row>
    <row r="59" ht="12.0" customHeight="1">
      <c r="A59" s="120"/>
      <c r="B59" s="122"/>
      <c r="C59" s="123"/>
      <c r="D59" s="124"/>
      <c r="E59" s="125"/>
      <c r="F59" s="124"/>
      <c r="G59" s="125"/>
      <c r="H59" s="126"/>
      <c r="I59" s="126"/>
      <c r="J59" s="126"/>
      <c r="K59" s="127"/>
      <c r="L59" s="128"/>
      <c r="M59" s="10"/>
      <c r="N59" s="10"/>
      <c r="O59" s="10"/>
    </row>
    <row r="60" ht="12.0" customHeight="1">
      <c r="A60" s="10"/>
      <c r="B60" s="129"/>
      <c r="C60" s="130"/>
      <c r="D60" s="10"/>
      <c r="E60" s="131"/>
      <c r="F60" s="10"/>
      <c r="G60" s="131"/>
      <c r="H60" s="112"/>
      <c r="I60" s="112"/>
      <c r="J60" s="112"/>
      <c r="K60" s="132"/>
      <c r="L60" s="10"/>
      <c r="M60" s="10"/>
      <c r="N60" s="10"/>
      <c r="O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</sheetData>
  <mergeCells count="18">
    <mergeCell ref="A7:B8"/>
    <mergeCell ref="C7:F8"/>
    <mergeCell ref="A5:E5"/>
    <mergeCell ref="B55:D55"/>
    <mergeCell ref="B56:D56"/>
    <mergeCell ref="B58:D58"/>
    <mergeCell ref="B57:D57"/>
    <mergeCell ref="A4:E4"/>
    <mergeCell ref="K7:L8"/>
    <mergeCell ref="I7:J8"/>
    <mergeCell ref="H7:H8"/>
    <mergeCell ref="G7:G8"/>
    <mergeCell ref="F4:L4"/>
    <mergeCell ref="F5:L5"/>
    <mergeCell ref="K6:L6"/>
    <mergeCell ref="F6:G6"/>
    <mergeCell ref="H6:J6"/>
    <mergeCell ref="A1:L3"/>
  </mergeCells>
  <printOptions/>
  <pageMargins bottom="0.75" footer="0.0" header="0.0" left="0.7" right="0.7" top="0.75"/>
  <pageSetup orientation="landscape"/>
  <headerFooter>
    <oddFooter>&amp;R&amp;F - &amp;A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43"/>
  </cols>
  <sheetData>
    <row r="1">
      <c r="A1" s="19" t="str">
        <f>Contagem!A5&amp;" : "&amp;Contagem!F5</f>
        <v>Aplicação : Gerenciamento</v>
      </c>
      <c r="B1" s="18"/>
      <c r="C1" s="18"/>
      <c r="D1" s="18"/>
      <c r="E1" s="20"/>
      <c r="F1" s="22" t="str">
        <f>Contagem!A6&amp;" : "&amp;Contagem!F6</f>
        <v>Projeto : Academia</v>
      </c>
      <c r="G1" s="18"/>
      <c r="H1" s="18"/>
      <c r="I1" s="18"/>
      <c r="J1" s="18"/>
      <c r="K1" s="18"/>
      <c r="L1" s="24"/>
    </row>
    <row r="2">
      <c r="A2" s="19" t="str">
        <f>Contagem!A7&amp;" : "&amp;Contagem!F7</f>
        <v>Responsável : Handressa dos Santos</v>
      </c>
      <c r="B2" s="18"/>
      <c r="C2" s="18"/>
      <c r="D2" s="18"/>
      <c r="E2" s="18"/>
      <c r="F2" s="22" t="str">
        <f>Contagem!A8&amp;" : "&amp;Contagem!F8</f>
        <v>Revisor : Handressa dos Santos</v>
      </c>
      <c r="G2" s="18"/>
      <c r="H2" s="18"/>
      <c r="I2" s="18"/>
      <c r="J2" s="18"/>
      <c r="K2" s="18"/>
      <c r="L2" s="24"/>
    </row>
    <row r="3">
      <c r="A3" s="29" t="str">
        <f>Contagem!A4&amp;" : "&amp;Contagem!F4</f>
        <v>Empresa : Desafio Hackathon</v>
      </c>
      <c r="B3" s="134"/>
      <c r="C3" s="31"/>
      <c r="D3" s="135"/>
      <c r="E3" s="135"/>
      <c r="F3" s="36" t="str">
        <f>Contagem!R4&amp;" = "&amp;VALUE(Contagem!T4)</f>
        <v>R$/PF = 0</v>
      </c>
      <c r="G3" s="20"/>
      <c r="H3" s="36" t="str">
        <f>" Custo= "&amp;DOLLAR(Contagem!W4)</f>
        <v> Custo= R$ 0,00</v>
      </c>
      <c r="I3" s="136"/>
      <c r="J3" s="20"/>
      <c r="K3" s="39" t="str">
        <f>"PF  = "&amp;VALUE(Contagem!W5)</f>
        <v>PF  = 186</v>
      </c>
      <c r="L3" s="24"/>
    </row>
    <row r="4">
      <c r="A4" s="137" t="s">
        <v>103</v>
      </c>
      <c r="B4" s="8"/>
      <c r="C4" s="8"/>
      <c r="D4" s="8"/>
      <c r="E4" s="8"/>
      <c r="F4" s="138" t="s">
        <v>106</v>
      </c>
      <c r="G4" s="8"/>
      <c r="H4" s="8"/>
      <c r="I4" s="8"/>
      <c r="J4" s="48"/>
      <c r="K4" s="139"/>
      <c r="L4" s="48"/>
    </row>
    <row r="5">
      <c r="A5" s="12"/>
      <c r="B5" s="14"/>
      <c r="C5" s="14"/>
      <c r="D5" s="14"/>
      <c r="E5" s="14"/>
      <c r="F5" s="14"/>
      <c r="G5" s="14"/>
      <c r="H5" s="14"/>
      <c r="I5" s="14"/>
      <c r="J5" s="15"/>
      <c r="K5" s="14"/>
      <c r="L5" s="15"/>
    </row>
    <row r="6">
      <c r="A6" s="140" t="s">
        <v>110</v>
      </c>
      <c r="F6" s="141" t="s">
        <v>111</v>
      </c>
    </row>
    <row r="7">
      <c r="A7" s="140" t="s">
        <v>112</v>
      </c>
    </row>
    <row r="8">
      <c r="A8" s="140" t="s">
        <v>114</v>
      </c>
      <c r="F8" s="141" t="s">
        <v>115</v>
      </c>
    </row>
    <row r="9">
      <c r="A9" s="140" t="s">
        <v>116</v>
      </c>
    </row>
    <row r="10">
      <c r="A10" s="140" t="s">
        <v>117</v>
      </c>
      <c r="F10" s="141" t="s">
        <v>118</v>
      </c>
    </row>
    <row r="11">
      <c r="A11" s="140" t="s">
        <v>119</v>
      </c>
    </row>
    <row r="12">
      <c r="A12" s="140" t="s">
        <v>65</v>
      </c>
      <c r="F12" s="141" t="s">
        <v>120</v>
      </c>
    </row>
    <row r="13">
      <c r="A13" s="140" t="s">
        <v>121</v>
      </c>
      <c r="F13" s="141" t="s">
        <v>122</v>
      </c>
    </row>
    <row r="14">
      <c r="A14" s="140" t="s">
        <v>124</v>
      </c>
    </row>
    <row r="15">
      <c r="A15" s="140" t="s">
        <v>125</v>
      </c>
      <c r="F15" s="141" t="s">
        <v>126</v>
      </c>
    </row>
    <row r="16">
      <c r="A16" s="140" t="s">
        <v>127</v>
      </c>
    </row>
    <row r="17">
      <c r="A17" s="140" t="s">
        <v>128</v>
      </c>
    </row>
    <row r="18">
      <c r="A18" s="140" t="s">
        <v>129</v>
      </c>
      <c r="F18" s="141" t="s">
        <v>130</v>
      </c>
    </row>
    <row r="19">
      <c r="A19" s="140" t="s">
        <v>131</v>
      </c>
    </row>
    <row r="20">
      <c r="A20" s="140" t="s">
        <v>132</v>
      </c>
      <c r="F20" s="141" t="s">
        <v>133</v>
      </c>
    </row>
  </sheetData>
  <mergeCells count="33">
    <mergeCell ref="F10:J11"/>
    <mergeCell ref="F12:J12"/>
    <mergeCell ref="F13:J14"/>
    <mergeCell ref="F15:J17"/>
    <mergeCell ref="F18:J19"/>
    <mergeCell ref="F20:J20"/>
    <mergeCell ref="A6:E6"/>
    <mergeCell ref="A7:E7"/>
    <mergeCell ref="A1:E1"/>
    <mergeCell ref="F1:L1"/>
    <mergeCell ref="F2:L2"/>
    <mergeCell ref="F3:G3"/>
    <mergeCell ref="K3:L3"/>
    <mergeCell ref="I3:J3"/>
    <mergeCell ref="A2:E2"/>
    <mergeCell ref="A4:E5"/>
    <mergeCell ref="F4:J5"/>
    <mergeCell ref="K4:L5"/>
    <mergeCell ref="F6:J7"/>
    <mergeCell ref="F8:J9"/>
    <mergeCell ref="A15:E15"/>
    <mergeCell ref="A16:E16"/>
    <mergeCell ref="A17:E17"/>
    <mergeCell ref="A18:E18"/>
    <mergeCell ref="A19:E19"/>
    <mergeCell ref="A20:E20"/>
    <mergeCell ref="A8:E8"/>
    <mergeCell ref="A9:E9"/>
    <mergeCell ref="A10:E10"/>
    <mergeCell ref="A11:E11"/>
    <mergeCell ref="A12:E12"/>
    <mergeCell ref="A13:E13"/>
    <mergeCell ref="A14:E14"/>
  </mergeCells>
  <drawing r:id="rId1"/>
</worksheet>
</file>