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g/Downloads/"/>
    </mc:Choice>
  </mc:AlternateContent>
  <xr:revisionPtr revIDLastSave="0" documentId="8_{16A15ACA-3032-2241-849E-65C29896E27E}" xr6:coauthVersionLast="47" xr6:coauthVersionMax="47" xr10:uidLastSave="{00000000-0000-0000-0000-000000000000}"/>
  <bookViews>
    <workbookView xWindow="0" yWindow="0" windowWidth="28800" windowHeight="18000" activeTab="3" xr2:uid="{E0B3304D-3F43-DC4F-B03E-4C21A778DE13}"/>
  </bookViews>
  <sheets>
    <sheet name="FSM" sheetId="5" r:id="rId1"/>
    <sheet name="Supporting Schedules" sheetId="11" r:id="rId2"/>
    <sheet name="Intrinsic Value &gt;&gt;&gt;" sheetId="9" r:id="rId3"/>
    <sheet name="DCF" sheetId="1" r:id="rId4"/>
    <sheet name="WACC" sheetId="2" r:id="rId5"/>
    <sheet name="TGR" sheetId="3" r:id="rId6"/>
    <sheet name="Comps. &gt;&gt;&gt;" sheetId="10" r:id="rId7"/>
    <sheet name="Relative Valuation" sheetId="8" state="hidden" r:id="rId8"/>
    <sheet name="Share Prices" sheetId="6" r:id="rId9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0" i="5" l="1"/>
  <c r="N40" i="5"/>
  <c r="M40" i="5"/>
  <c r="L40" i="5"/>
  <c r="K40" i="5"/>
  <c r="E47" i="1"/>
  <c r="L69" i="11"/>
  <c r="M69" i="11"/>
  <c r="N69" i="11"/>
  <c r="O69" i="11"/>
  <c r="K69" i="11"/>
  <c r="L38" i="5"/>
  <c r="M38" i="5"/>
  <c r="N38" i="5"/>
  <c r="O38" i="5"/>
  <c r="K38" i="5"/>
  <c r="L81" i="5"/>
  <c r="M81" i="5"/>
  <c r="N81" i="5"/>
  <c r="O81" i="5"/>
  <c r="K81" i="5"/>
  <c r="L80" i="5"/>
  <c r="M80" i="5"/>
  <c r="N80" i="5"/>
  <c r="O80" i="5"/>
  <c r="K80" i="5"/>
  <c r="G80" i="5"/>
  <c r="H80" i="5"/>
  <c r="I80" i="5"/>
  <c r="J80" i="5"/>
  <c r="F80" i="5"/>
  <c r="K165" i="11"/>
  <c r="J50" i="1"/>
  <c r="I50" i="1"/>
  <c r="H50" i="1"/>
  <c r="J48" i="1"/>
  <c r="H48" i="1"/>
  <c r="I48" i="1"/>
  <c r="L40" i="1"/>
  <c r="M40" i="1" s="1"/>
  <c r="N40" i="1" s="1"/>
  <c r="J40" i="1" l="1"/>
  <c r="I40" i="1" s="1"/>
  <c r="V14" i="11" l="1"/>
  <c r="V19" i="11"/>
  <c r="W19" i="11"/>
  <c r="X19" i="11"/>
  <c r="Y19" i="11"/>
  <c r="Z19" i="11"/>
  <c r="AA19" i="11"/>
  <c r="AB19" i="11"/>
  <c r="AC19" i="11"/>
  <c r="AD19" i="11"/>
  <c r="AE19" i="11"/>
  <c r="V20" i="11"/>
  <c r="W20" i="11"/>
  <c r="X20" i="11"/>
  <c r="Y20" i="11"/>
  <c r="Z20" i="11"/>
  <c r="AA20" i="11"/>
  <c r="AB20" i="11"/>
  <c r="AC20" i="11"/>
  <c r="AD20" i="11"/>
  <c r="AE20" i="11"/>
  <c r="V23" i="11"/>
  <c r="W23" i="11"/>
  <c r="X23" i="11"/>
  <c r="Y23" i="11"/>
  <c r="Z23" i="11"/>
  <c r="AA23" i="11"/>
  <c r="AB23" i="11"/>
  <c r="AC23" i="11"/>
  <c r="AD23" i="11"/>
  <c r="AE23" i="11"/>
  <c r="V24" i="11"/>
  <c r="W24" i="11"/>
  <c r="X24" i="11"/>
  <c r="Y24" i="11"/>
  <c r="Z24" i="11"/>
  <c r="AA24" i="11"/>
  <c r="AB24" i="11"/>
  <c r="AC24" i="11"/>
  <c r="AD24" i="11"/>
  <c r="AE24" i="11"/>
  <c r="V27" i="11"/>
  <c r="W27" i="11"/>
  <c r="X27" i="11"/>
  <c r="Y27" i="11"/>
  <c r="Z27" i="11"/>
  <c r="AA27" i="11"/>
  <c r="AB27" i="11"/>
  <c r="AC27" i="11"/>
  <c r="AD27" i="11"/>
  <c r="AE27" i="11"/>
  <c r="V30" i="11"/>
  <c r="W30" i="11"/>
  <c r="X30" i="11"/>
  <c r="Y30" i="11"/>
  <c r="Z30" i="11"/>
  <c r="AA30" i="11"/>
  <c r="AB30" i="11"/>
  <c r="AC30" i="11"/>
  <c r="AD30" i="11"/>
  <c r="AE30" i="11"/>
  <c r="V31" i="11"/>
  <c r="W31" i="11"/>
  <c r="X31" i="11"/>
  <c r="Y31" i="11"/>
  <c r="Z31" i="11"/>
  <c r="AA31" i="11"/>
  <c r="AB31" i="11"/>
  <c r="AC31" i="11"/>
  <c r="AD31" i="11"/>
  <c r="AE31" i="11"/>
  <c r="V34" i="11"/>
  <c r="W34" i="11"/>
  <c r="X34" i="11"/>
  <c r="Y34" i="11"/>
  <c r="Z34" i="11"/>
  <c r="AA34" i="11"/>
  <c r="AB34" i="11"/>
  <c r="AC34" i="11"/>
  <c r="AD34" i="11"/>
  <c r="AE34" i="11"/>
  <c r="V35" i="11"/>
  <c r="W35" i="11"/>
  <c r="X35" i="11"/>
  <c r="Y35" i="11"/>
  <c r="Z35" i="11"/>
  <c r="AA35" i="11"/>
  <c r="AB35" i="11"/>
  <c r="AC35" i="11"/>
  <c r="AD35" i="11"/>
  <c r="AE35" i="11"/>
  <c r="V36" i="11"/>
  <c r="W36" i="11"/>
  <c r="X36" i="11"/>
  <c r="Y36" i="11"/>
  <c r="Z36" i="11"/>
  <c r="AA36" i="11"/>
  <c r="AB36" i="11"/>
  <c r="AC36" i="11"/>
  <c r="AD36" i="11"/>
  <c r="AE36" i="11"/>
  <c r="V37" i="11"/>
  <c r="W37" i="11"/>
  <c r="X37" i="11"/>
  <c r="Y37" i="11"/>
  <c r="Z37" i="11"/>
  <c r="AA37" i="11"/>
  <c r="AB37" i="11"/>
  <c r="AC37" i="11"/>
  <c r="AD37" i="11"/>
  <c r="AE37" i="11"/>
  <c r="V40" i="11"/>
  <c r="W40" i="11"/>
  <c r="X40" i="11"/>
  <c r="Y40" i="11"/>
  <c r="Z40" i="11"/>
  <c r="AA40" i="11"/>
  <c r="AB40" i="11"/>
  <c r="AC40" i="11"/>
  <c r="AD40" i="11"/>
  <c r="AE40" i="11"/>
  <c r="V41" i="11"/>
  <c r="W41" i="11"/>
  <c r="X41" i="11"/>
  <c r="Y41" i="11"/>
  <c r="Z41" i="11"/>
  <c r="AA41" i="11"/>
  <c r="AB41" i="11"/>
  <c r="AC41" i="11"/>
  <c r="AD41" i="11"/>
  <c r="AE41" i="11"/>
  <c r="V42" i="11"/>
  <c r="W42" i="11"/>
  <c r="X42" i="11"/>
  <c r="Y42" i="11"/>
  <c r="Z42" i="11"/>
  <c r="AA42" i="11"/>
  <c r="AB42" i="11"/>
  <c r="AC42" i="11"/>
  <c r="AD42" i="11"/>
  <c r="AE42" i="11"/>
  <c r="V45" i="11"/>
  <c r="W45" i="11"/>
  <c r="X45" i="11"/>
  <c r="Y45" i="11"/>
  <c r="Z45" i="11"/>
  <c r="AA45" i="11"/>
  <c r="AB45" i="11"/>
  <c r="AC45" i="11"/>
  <c r="AD45" i="11"/>
  <c r="AE45" i="11"/>
  <c r="V46" i="11"/>
  <c r="W46" i="11"/>
  <c r="X46" i="11"/>
  <c r="Y46" i="11"/>
  <c r="Z46" i="11"/>
  <c r="AA46" i="11"/>
  <c r="AB46" i="11"/>
  <c r="AC46" i="11"/>
  <c r="AD46" i="11"/>
  <c r="AE46" i="11"/>
  <c r="V47" i="11"/>
  <c r="V48" i="11"/>
  <c r="W48" i="11"/>
  <c r="X48" i="11"/>
  <c r="Y48" i="11"/>
  <c r="Z48" i="11"/>
  <c r="V50" i="11"/>
  <c r="W50" i="11"/>
  <c r="X50" i="11"/>
  <c r="Y50" i="11"/>
  <c r="Z50" i="11"/>
  <c r="AA50" i="11"/>
  <c r="AB50" i="11"/>
  <c r="AC50" i="11"/>
  <c r="AD50" i="11"/>
  <c r="AE50" i="11"/>
  <c r="V51" i="11"/>
  <c r="W51" i="11"/>
  <c r="X51" i="11"/>
  <c r="Y51" i="11"/>
  <c r="Z51" i="11"/>
  <c r="V52" i="11"/>
  <c r="W52" i="11"/>
  <c r="X52" i="11"/>
  <c r="Y52" i="11"/>
  <c r="Z52" i="11"/>
  <c r="AA52" i="11"/>
  <c r="AB52" i="11"/>
  <c r="AC52" i="11"/>
  <c r="AD52" i="11"/>
  <c r="AE52" i="11"/>
  <c r="V53" i="11"/>
  <c r="W53" i="11"/>
  <c r="X53" i="11"/>
  <c r="Y53" i="11"/>
  <c r="Z53" i="11"/>
  <c r="AA53" i="11"/>
  <c r="AB53" i="11"/>
  <c r="AC53" i="11"/>
  <c r="AD53" i="11"/>
  <c r="AE53" i="11"/>
  <c r="V54" i="11"/>
  <c r="W54" i="11"/>
  <c r="X54" i="11"/>
  <c r="Y54" i="11"/>
  <c r="Z54" i="11"/>
  <c r="V56" i="11"/>
  <c r="W56" i="11"/>
  <c r="X56" i="11"/>
  <c r="Y56" i="11"/>
  <c r="Z56" i="11"/>
  <c r="V57" i="11"/>
  <c r="W57" i="11"/>
  <c r="X57" i="11"/>
  <c r="Y57" i="11"/>
  <c r="Z57" i="11"/>
  <c r="AA57" i="11"/>
  <c r="AB57" i="11"/>
  <c r="AC57" i="11"/>
  <c r="AD57" i="11"/>
  <c r="AE57" i="11"/>
  <c r="V59" i="11"/>
  <c r="W59" i="11"/>
  <c r="X59" i="11"/>
  <c r="Y59" i="11"/>
  <c r="Z59" i="11"/>
  <c r="AA59" i="11"/>
  <c r="AB59" i="11"/>
  <c r="AC59" i="11"/>
  <c r="AD59" i="11"/>
  <c r="AE59" i="11"/>
  <c r="V60" i="11"/>
  <c r="W60" i="11"/>
  <c r="X60" i="11"/>
  <c r="Y60" i="11"/>
  <c r="Z60" i="11"/>
  <c r="AA60" i="11"/>
  <c r="AB60" i="11"/>
  <c r="AC60" i="11"/>
  <c r="AD60" i="11"/>
  <c r="AE60" i="11"/>
  <c r="V61" i="11"/>
  <c r="V62" i="11"/>
  <c r="W62" i="11"/>
  <c r="X62" i="11"/>
  <c r="Y62" i="11"/>
  <c r="Z62" i="11"/>
  <c r="V64" i="11"/>
  <c r="W64" i="11"/>
  <c r="X64" i="11"/>
  <c r="Y64" i="11"/>
  <c r="Z64" i="11"/>
  <c r="AA64" i="11"/>
  <c r="AB64" i="11"/>
  <c r="AC64" i="11"/>
  <c r="AD64" i="11"/>
  <c r="AE64" i="11"/>
  <c r="V65" i="11"/>
  <c r="W65" i="11"/>
  <c r="X65" i="11"/>
  <c r="Y65" i="11"/>
  <c r="Z65" i="11"/>
  <c r="AA65" i="11"/>
  <c r="AB65" i="11"/>
  <c r="AC65" i="11"/>
  <c r="AD65" i="11"/>
  <c r="AE65" i="11"/>
  <c r="V66" i="11"/>
  <c r="W66" i="11"/>
  <c r="X66" i="11"/>
  <c r="Y66" i="11"/>
  <c r="Z66" i="11"/>
  <c r="AA66" i="11"/>
  <c r="AB66" i="11"/>
  <c r="AC66" i="11"/>
  <c r="AD66" i="11"/>
  <c r="AE66" i="11"/>
  <c r="V67" i="11"/>
  <c r="W67" i="11"/>
  <c r="X67" i="11"/>
  <c r="Y67" i="11"/>
  <c r="Z67" i="11"/>
  <c r="AA67" i="11"/>
  <c r="AB67" i="11"/>
  <c r="AC67" i="11"/>
  <c r="AD67" i="11"/>
  <c r="AE67" i="11"/>
  <c r="V68" i="11"/>
  <c r="W68" i="11"/>
  <c r="X68" i="11"/>
  <c r="Y68" i="11"/>
  <c r="Z68" i="11"/>
  <c r="V70" i="11"/>
  <c r="W70" i="11"/>
  <c r="X70" i="11"/>
  <c r="Y70" i="11"/>
  <c r="Z70" i="11"/>
  <c r="AA70" i="11"/>
  <c r="AB70" i="11"/>
  <c r="AC70" i="11"/>
  <c r="AD70" i="11"/>
  <c r="AE70" i="11"/>
  <c r="V71" i="11"/>
  <c r="W71" i="11"/>
  <c r="X71" i="11"/>
  <c r="Y71" i="11"/>
  <c r="Z71" i="11"/>
  <c r="AA71" i="11"/>
  <c r="AB71" i="11"/>
  <c r="AC71" i="11"/>
  <c r="AD71" i="11"/>
  <c r="AE71" i="11"/>
  <c r="V72" i="11"/>
  <c r="W72" i="11"/>
  <c r="X72" i="11"/>
  <c r="Y72" i="11"/>
  <c r="Z72" i="11"/>
  <c r="AA72" i="11"/>
  <c r="AB72" i="11"/>
  <c r="AC72" i="11"/>
  <c r="AD72" i="11"/>
  <c r="AE72" i="11"/>
  <c r="V74" i="11"/>
  <c r="W74" i="11"/>
  <c r="X74" i="11"/>
  <c r="Y74" i="11"/>
  <c r="Z74" i="11"/>
  <c r="AA74" i="11"/>
  <c r="AB74" i="11"/>
  <c r="AC74" i="11"/>
  <c r="AD74" i="11"/>
  <c r="AE74" i="11"/>
  <c r="V75" i="11"/>
  <c r="W75" i="11"/>
  <c r="X75" i="11"/>
  <c r="Y75" i="11"/>
  <c r="Z75" i="11"/>
  <c r="AA75" i="11"/>
  <c r="AB75" i="11"/>
  <c r="AC75" i="11"/>
  <c r="AD75" i="11"/>
  <c r="AE75" i="11"/>
  <c r="V76" i="11"/>
  <c r="V77" i="11"/>
  <c r="W77" i="11"/>
  <c r="X77" i="11"/>
  <c r="Y77" i="11"/>
  <c r="Z77" i="11"/>
  <c r="AA77" i="11"/>
  <c r="AB77" i="11"/>
  <c r="AC77" i="11"/>
  <c r="AD77" i="11"/>
  <c r="AE77" i="11"/>
  <c r="V78" i="11"/>
  <c r="W78" i="11"/>
  <c r="X78" i="11"/>
  <c r="Y78" i="11"/>
  <c r="Z78" i="11"/>
  <c r="V80" i="11"/>
  <c r="W80" i="11"/>
  <c r="X80" i="11"/>
  <c r="Y80" i="11"/>
  <c r="Z80" i="11"/>
  <c r="AA80" i="11"/>
  <c r="AB80" i="11"/>
  <c r="AC80" i="11"/>
  <c r="AD80" i="11"/>
  <c r="AE80" i="11"/>
  <c r="V81" i="11"/>
  <c r="W81" i="11"/>
  <c r="X81" i="11"/>
  <c r="Y81" i="11"/>
  <c r="Z81" i="11"/>
  <c r="V83" i="11"/>
  <c r="W83" i="11"/>
  <c r="X83" i="11"/>
  <c r="Y83" i="11"/>
  <c r="Z83" i="11"/>
  <c r="AA83" i="11"/>
  <c r="AB83" i="11"/>
  <c r="AC83" i="11"/>
  <c r="AD83" i="11"/>
  <c r="AE83" i="11"/>
  <c r="V84" i="11"/>
  <c r="W84" i="11"/>
  <c r="X84" i="11"/>
  <c r="Y84" i="11"/>
  <c r="Z84" i="11"/>
  <c r="AA84" i="11"/>
  <c r="AB84" i="11"/>
  <c r="AC84" i="11"/>
  <c r="AD84" i="11"/>
  <c r="AE84" i="11"/>
  <c r="V85" i="11"/>
  <c r="AB85" i="11"/>
  <c r="AC85" i="11"/>
  <c r="AD85" i="11"/>
  <c r="AE85" i="11"/>
  <c r="V86" i="11"/>
  <c r="W86" i="11"/>
  <c r="X86" i="11"/>
  <c r="Y86" i="11"/>
  <c r="Z86" i="11"/>
  <c r="AA86" i="11"/>
  <c r="AB86" i="11"/>
  <c r="AC86" i="11"/>
  <c r="AD86" i="11"/>
  <c r="AE86" i="11"/>
  <c r="V88" i="11"/>
  <c r="W88" i="11"/>
  <c r="X88" i="11"/>
  <c r="Y88" i="11"/>
  <c r="Z88" i="11"/>
  <c r="AA88" i="11"/>
  <c r="AB88" i="11"/>
  <c r="AC88" i="11"/>
  <c r="AD88" i="11"/>
  <c r="AE88" i="11"/>
  <c r="V89" i="11"/>
  <c r="W89" i="11"/>
  <c r="X89" i="11"/>
  <c r="Y89" i="11"/>
  <c r="Z89" i="11"/>
  <c r="AA89" i="11"/>
  <c r="AB89" i="11"/>
  <c r="AC89" i="11"/>
  <c r="AD89" i="11"/>
  <c r="AE89" i="11"/>
  <c r="V94" i="11"/>
  <c r="W94" i="11"/>
  <c r="X94" i="11"/>
  <c r="Y94" i="11"/>
  <c r="Z94" i="11"/>
  <c r="AA94" i="11"/>
  <c r="AB94" i="11"/>
  <c r="AC94" i="11"/>
  <c r="AD94" i="11"/>
  <c r="AE94" i="11"/>
  <c r="V95" i="11"/>
  <c r="W95" i="11"/>
  <c r="X95" i="11"/>
  <c r="Y95" i="11"/>
  <c r="Z95" i="11"/>
  <c r="AA95" i="11"/>
  <c r="AB95" i="11"/>
  <c r="AC95" i="11"/>
  <c r="AD95" i="11"/>
  <c r="AE95" i="11"/>
  <c r="V100" i="11"/>
  <c r="W100" i="11"/>
  <c r="X100" i="11"/>
  <c r="Y100" i="11"/>
  <c r="Z100" i="11"/>
  <c r="AA100" i="11"/>
  <c r="AB100" i="11"/>
  <c r="AC100" i="11"/>
  <c r="AD100" i="11"/>
  <c r="AE100" i="11"/>
  <c r="V101" i="11"/>
  <c r="W101" i="11"/>
  <c r="X101" i="11"/>
  <c r="Y101" i="11"/>
  <c r="Z101" i="11"/>
  <c r="AA101" i="11"/>
  <c r="AB101" i="11"/>
  <c r="AC101" i="11"/>
  <c r="AD101" i="11"/>
  <c r="AE101" i="11"/>
  <c r="V102" i="11"/>
  <c r="W102" i="11"/>
  <c r="X102" i="11"/>
  <c r="Y102" i="11"/>
  <c r="Z102" i="11"/>
  <c r="AA102" i="11"/>
  <c r="AB102" i="11"/>
  <c r="AC102" i="11"/>
  <c r="AD102" i="11"/>
  <c r="AE102" i="11"/>
  <c r="V103" i="11"/>
  <c r="W103" i="11"/>
  <c r="X103" i="11"/>
  <c r="Y103" i="11"/>
  <c r="Z103" i="11"/>
  <c r="AA103" i="11"/>
  <c r="AB103" i="11"/>
  <c r="AC103" i="11"/>
  <c r="AD103" i="11"/>
  <c r="AE103" i="11"/>
  <c r="V104" i="11"/>
  <c r="V109" i="11"/>
  <c r="W109" i="11"/>
  <c r="X109" i="11"/>
  <c r="Y109" i="11"/>
  <c r="Z109" i="11"/>
  <c r="AA109" i="11"/>
  <c r="AB109" i="11"/>
  <c r="AC109" i="11"/>
  <c r="AD109" i="11"/>
  <c r="AE109" i="11"/>
  <c r="V110" i="11"/>
  <c r="W110" i="11"/>
  <c r="X110" i="11"/>
  <c r="Y110" i="11"/>
  <c r="Z110" i="11"/>
  <c r="AA110" i="11"/>
  <c r="AB110" i="11"/>
  <c r="AC110" i="11"/>
  <c r="AD110" i="11"/>
  <c r="AE110" i="11"/>
  <c r="V114" i="11"/>
  <c r="W114" i="11"/>
  <c r="X114" i="11"/>
  <c r="Y114" i="11"/>
  <c r="Z114" i="11"/>
  <c r="AA114" i="11"/>
  <c r="AB114" i="11"/>
  <c r="AC114" i="11"/>
  <c r="AD114" i="11"/>
  <c r="AE114" i="11"/>
  <c r="V118" i="11"/>
  <c r="W118" i="11"/>
  <c r="X118" i="11"/>
  <c r="Y118" i="11"/>
  <c r="Z118" i="11"/>
  <c r="AA118" i="11"/>
  <c r="AB118" i="11"/>
  <c r="AC118" i="11"/>
  <c r="AD118" i="11"/>
  <c r="AE118" i="11"/>
  <c r="V119" i="11"/>
  <c r="W119" i="11"/>
  <c r="X119" i="11"/>
  <c r="Y119" i="11"/>
  <c r="Z119" i="11"/>
  <c r="AA119" i="11"/>
  <c r="AB119" i="11"/>
  <c r="AC119" i="11"/>
  <c r="AD119" i="11"/>
  <c r="AE119" i="11"/>
  <c r="V122" i="11"/>
  <c r="W122" i="11"/>
  <c r="X122" i="11"/>
  <c r="Y122" i="11"/>
  <c r="Z122" i="11"/>
  <c r="AA122" i="11"/>
  <c r="AB122" i="11"/>
  <c r="AC122" i="11"/>
  <c r="AD122" i="11"/>
  <c r="AE122" i="11"/>
  <c r="V125" i="11"/>
  <c r="W125" i="11"/>
  <c r="X125" i="11"/>
  <c r="Y125" i="11"/>
  <c r="Z125" i="11"/>
  <c r="AA125" i="11"/>
  <c r="AB125" i="11"/>
  <c r="AC125" i="11"/>
  <c r="AD125" i="11"/>
  <c r="AE125" i="11"/>
  <c r="V128" i="11"/>
  <c r="W128" i="11"/>
  <c r="X128" i="11"/>
  <c r="Y128" i="11"/>
  <c r="Z128" i="11"/>
  <c r="AA128" i="11"/>
  <c r="AB128" i="11"/>
  <c r="AC128" i="11"/>
  <c r="AD128" i="11"/>
  <c r="AE128" i="11"/>
  <c r="V129" i="11"/>
  <c r="W129" i="11"/>
  <c r="X129" i="11"/>
  <c r="Y129" i="11"/>
  <c r="Z129" i="11"/>
  <c r="AA129" i="11"/>
  <c r="AB129" i="11"/>
  <c r="AC129" i="11"/>
  <c r="AD129" i="11"/>
  <c r="AE129" i="11"/>
  <c r="V134" i="11"/>
  <c r="W134" i="11"/>
  <c r="X134" i="11"/>
  <c r="Y134" i="11"/>
  <c r="Z134" i="11"/>
  <c r="AA134" i="11"/>
  <c r="AB134" i="11"/>
  <c r="AC134" i="11"/>
  <c r="AD134" i="11"/>
  <c r="AE134" i="11"/>
  <c r="V136" i="11"/>
  <c r="W136" i="11"/>
  <c r="X136" i="11"/>
  <c r="Y136" i="11"/>
  <c r="Z136" i="11"/>
  <c r="AA136" i="11"/>
  <c r="AB136" i="11"/>
  <c r="AC136" i="11"/>
  <c r="AD136" i="11"/>
  <c r="AE136" i="11"/>
  <c r="V140" i="11"/>
  <c r="W140" i="11"/>
  <c r="X140" i="11"/>
  <c r="Y140" i="11"/>
  <c r="Z140" i="11"/>
  <c r="AA140" i="11"/>
  <c r="AB140" i="11"/>
  <c r="AC140" i="11"/>
  <c r="AD140" i="11"/>
  <c r="AE140" i="11"/>
  <c r="V141" i="11"/>
  <c r="W141" i="11"/>
  <c r="X141" i="11"/>
  <c r="Y141" i="11"/>
  <c r="Z141" i="11"/>
  <c r="AA141" i="11"/>
  <c r="AB141" i="11"/>
  <c r="AC141" i="11"/>
  <c r="AD141" i="11"/>
  <c r="AE141" i="11"/>
  <c r="V145" i="11"/>
  <c r="W145" i="11"/>
  <c r="X145" i="11"/>
  <c r="Y145" i="11"/>
  <c r="Z145" i="11"/>
  <c r="AA145" i="11"/>
  <c r="AB145" i="11"/>
  <c r="AC145" i="11"/>
  <c r="AD145" i="11"/>
  <c r="AE145" i="11"/>
  <c r="V148" i="11"/>
  <c r="W148" i="11"/>
  <c r="X148" i="11"/>
  <c r="Y148" i="11"/>
  <c r="Z148" i="11"/>
  <c r="AA148" i="11"/>
  <c r="AB148" i="11"/>
  <c r="AC148" i="11"/>
  <c r="AD148" i="11"/>
  <c r="AE148" i="11"/>
  <c r="V149" i="11"/>
  <c r="W149" i="11"/>
  <c r="X149" i="11"/>
  <c r="Y149" i="11"/>
  <c r="Z149" i="11"/>
  <c r="AA149" i="11"/>
  <c r="AB149" i="11"/>
  <c r="AC149" i="11"/>
  <c r="AD149" i="11"/>
  <c r="AE149" i="11"/>
  <c r="V150" i="11"/>
  <c r="W150" i="11"/>
  <c r="X150" i="11"/>
  <c r="Y150" i="11"/>
  <c r="Z150" i="11"/>
  <c r="V152" i="11"/>
  <c r="W152" i="11"/>
  <c r="X152" i="11"/>
  <c r="Y152" i="11"/>
  <c r="Z152" i="11"/>
  <c r="AA152" i="11"/>
  <c r="AB152" i="11"/>
  <c r="AC152" i="11"/>
  <c r="AD152" i="11"/>
  <c r="AE152" i="11"/>
  <c r="V153" i="11"/>
  <c r="W153" i="11"/>
  <c r="X153" i="11"/>
  <c r="Y153" i="11"/>
  <c r="Z153" i="11"/>
  <c r="V155" i="11"/>
  <c r="W155" i="11"/>
  <c r="X155" i="11"/>
  <c r="Y155" i="11"/>
  <c r="Z155" i="11"/>
  <c r="AA155" i="11"/>
  <c r="AB155" i="11"/>
  <c r="AC155" i="11"/>
  <c r="AD155" i="11"/>
  <c r="AE155" i="11"/>
  <c r="V159" i="11"/>
  <c r="W159" i="11"/>
  <c r="X159" i="11"/>
  <c r="Y159" i="11"/>
  <c r="Z159" i="11"/>
  <c r="AA159" i="11"/>
  <c r="AB159" i="11"/>
  <c r="AC159" i="11"/>
  <c r="AD159" i="11"/>
  <c r="AE159" i="11"/>
  <c r="V160" i="11"/>
  <c r="W160" i="11"/>
  <c r="X160" i="11"/>
  <c r="Y160" i="11"/>
  <c r="Z160" i="11"/>
  <c r="AA160" i="11"/>
  <c r="AB160" i="11"/>
  <c r="AC160" i="11"/>
  <c r="AD160" i="11"/>
  <c r="AE160" i="11"/>
  <c r="V161" i="11"/>
  <c r="W161" i="11"/>
  <c r="X161" i="11"/>
  <c r="Y161" i="11"/>
  <c r="Z161" i="11"/>
  <c r="AA161" i="11"/>
  <c r="AB161" i="11"/>
  <c r="AC161" i="11"/>
  <c r="AD161" i="11"/>
  <c r="AE161" i="11"/>
  <c r="V162" i="11"/>
  <c r="W162" i="11"/>
  <c r="X162" i="11"/>
  <c r="Y162" i="11"/>
  <c r="Z162" i="11"/>
  <c r="AA162" i="11"/>
  <c r="AB162" i="11"/>
  <c r="AC162" i="11"/>
  <c r="AD162" i="11"/>
  <c r="AE162" i="11"/>
  <c r="V163" i="11"/>
  <c r="V164" i="11"/>
  <c r="W164" i="11"/>
  <c r="X164" i="11"/>
  <c r="Y164" i="11"/>
  <c r="Z164" i="11"/>
  <c r="V166" i="11"/>
  <c r="W166" i="11"/>
  <c r="X166" i="11"/>
  <c r="Y166" i="11"/>
  <c r="Z166" i="11"/>
  <c r="AA166" i="11"/>
  <c r="AB166" i="11"/>
  <c r="AC166" i="11"/>
  <c r="AD166" i="11"/>
  <c r="AE166" i="11"/>
  <c r="V168" i="11"/>
  <c r="W168" i="11"/>
  <c r="X168" i="11"/>
  <c r="Y168" i="11"/>
  <c r="Z168" i="11"/>
  <c r="AA168" i="11"/>
  <c r="AB168" i="11"/>
  <c r="AC168" i="11"/>
  <c r="AD168" i="11"/>
  <c r="AE168" i="11"/>
  <c r="V169" i="11"/>
  <c r="W169" i="11"/>
  <c r="X169" i="11"/>
  <c r="Y169" i="11"/>
  <c r="Z169" i="11"/>
  <c r="AA169" i="11"/>
  <c r="AB169" i="11"/>
  <c r="AC169" i="11"/>
  <c r="AD169" i="11"/>
  <c r="AE169" i="11"/>
  <c r="V170" i="11"/>
  <c r="V172" i="11"/>
  <c r="W172" i="11"/>
  <c r="X172" i="11"/>
  <c r="Y172" i="11"/>
  <c r="Z172" i="11"/>
  <c r="AB174" i="11"/>
  <c r="AC174" i="11"/>
  <c r="AD174" i="11"/>
  <c r="AE174" i="11"/>
  <c r="V175" i="11"/>
  <c r="W175" i="11"/>
  <c r="X175" i="11"/>
  <c r="Y175" i="11"/>
  <c r="Z175" i="11"/>
  <c r="AA175" i="11"/>
  <c r="AB175" i="11"/>
  <c r="AC175" i="11"/>
  <c r="AD175" i="11"/>
  <c r="AE175" i="11"/>
  <c r="F58" i="11"/>
  <c r="V58" i="11" s="1"/>
  <c r="L56" i="5"/>
  <c r="M56" i="5"/>
  <c r="N56" i="5"/>
  <c r="O56" i="5"/>
  <c r="L55" i="5"/>
  <c r="M55" i="5"/>
  <c r="N55" i="5"/>
  <c r="O55" i="5"/>
  <c r="K55" i="5"/>
  <c r="K56" i="5"/>
  <c r="F73" i="11"/>
  <c r="V73" i="11" s="1"/>
  <c r="K89" i="5"/>
  <c r="L89" i="5"/>
  <c r="M89" i="5"/>
  <c r="N89" i="5"/>
  <c r="O89" i="5"/>
  <c r="K144" i="5"/>
  <c r="L53" i="5"/>
  <c r="M53" i="5"/>
  <c r="N53" i="5"/>
  <c r="O53" i="5"/>
  <c r="K53" i="5"/>
  <c r="F82" i="11"/>
  <c r="V82" i="11" s="1"/>
  <c r="F69" i="11"/>
  <c r="F49" i="11"/>
  <c r="V49" i="11" s="1"/>
  <c r="E28" i="2"/>
  <c r="K99" i="5"/>
  <c r="L99" i="5"/>
  <c r="M99" i="5"/>
  <c r="N99" i="5"/>
  <c r="O99" i="5"/>
  <c r="L144" i="5"/>
  <c r="M144" i="5"/>
  <c r="N144" i="5"/>
  <c r="O144" i="5"/>
  <c r="L143" i="5"/>
  <c r="M143" i="5"/>
  <c r="N143" i="5"/>
  <c r="O143" i="5"/>
  <c r="K143" i="5"/>
  <c r="L142" i="5"/>
  <c r="M142" i="5"/>
  <c r="N142" i="5"/>
  <c r="O142" i="5"/>
  <c r="K142" i="5"/>
  <c r="L132" i="5"/>
  <c r="M132" i="5"/>
  <c r="N132" i="5"/>
  <c r="O132" i="5"/>
  <c r="K132" i="5"/>
  <c r="L128" i="5"/>
  <c r="M128" i="5"/>
  <c r="N128" i="5"/>
  <c r="O128" i="5"/>
  <c r="L129" i="5"/>
  <c r="M129" i="5"/>
  <c r="N129" i="5"/>
  <c r="O129" i="5"/>
  <c r="K129" i="5"/>
  <c r="K128" i="5"/>
  <c r="L125" i="5"/>
  <c r="M125" i="5"/>
  <c r="N125" i="5"/>
  <c r="O125" i="5"/>
  <c r="K125" i="5"/>
  <c r="L121" i="5"/>
  <c r="M121" i="5"/>
  <c r="N121" i="5"/>
  <c r="O121" i="5"/>
  <c r="K121" i="5"/>
  <c r="L116" i="5"/>
  <c r="M116" i="5"/>
  <c r="N116" i="5"/>
  <c r="O116" i="5"/>
  <c r="L117" i="5"/>
  <c r="M117" i="5"/>
  <c r="N117" i="5"/>
  <c r="O117" i="5"/>
  <c r="L118" i="5"/>
  <c r="M118" i="5"/>
  <c r="N118" i="5"/>
  <c r="O118" i="5"/>
  <c r="K118" i="5"/>
  <c r="K117" i="5"/>
  <c r="K116" i="5"/>
  <c r="L114" i="5"/>
  <c r="M114" i="5"/>
  <c r="N114" i="5"/>
  <c r="O114" i="5"/>
  <c r="K114" i="5"/>
  <c r="L106" i="5"/>
  <c r="M106" i="5"/>
  <c r="N106" i="5"/>
  <c r="O106" i="5"/>
  <c r="L107" i="5"/>
  <c r="M107" i="5"/>
  <c r="N107" i="5"/>
  <c r="O107" i="5"/>
  <c r="K107" i="5"/>
  <c r="K106" i="5"/>
  <c r="L104" i="5"/>
  <c r="M104" i="5"/>
  <c r="N104" i="5"/>
  <c r="O104" i="5"/>
  <c r="K104" i="5"/>
  <c r="L95" i="5"/>
  <c r="M95" i="5"/>
  <c r="N95" i="5"/>
  <c r="O95" i="5"/>
  <c r="K95" i="5"/>
  <c r="L93" i="5"/>
  <c r="M93" i="5"/>
  <c r="N93" i="5"/>
  <c r="O93" i="5"/>
  <c r="K93" i="5"/>
  <c r="L90" i="5"/>
  <c r="M90" i="5"/>
  <c r="N90" i="5"/>
  <c r="O90" i="5"/>
  <c r="K90" i="5"/>
  <c r="K172" i="5"/>
  <c r="G43" i="11"/>
  <c r="H43" i="11"/>
  <c r="I43" i="11"/>
  <c r="J43" i="11"/>
  <c r="F43" i="11"/>
  <c r="V43" i="11" s="1"/>
  <c r="G38" i="11"/>
  <c r="H38" i="11"/>
  <c r="X38" i="11" s="1"/>
  <c r="I38" i="11"/>
  <c r="J38" i="11"/>
  <c r="F38" i="11"/>
  <c r="V38" i="11" s="1"/>
  <c r="Y43" i="11" l="1"/>
  <c r="V69" i="11"/>
  <c r="X43" i="11"/>
  <c r="Y38" i="11"/>
  <c r="Z38" i="11"/>
  <c r="W43" i="11"/>
  <c r="Z43" i="11"/>
  <c r="W38" i="11"/>
  <c r="G167" i="11"/>
  <c r="H167" i="11"/>
  <c r="X167" i="11" s="1"/>
  <c r="I167" i="11"/>
  <c r="Y167" i="11" s="1"/>
  <c r="J167" i="11"/>
  <c r="F167" i="11"/>
  <c r="G157" i="11"/>
  <c r="H157" i="11"/>
  <c r="X157" i="11" s="1"/>
  <c r="I157" i="11"/>
  <c r="J157" i="11"/>
  <c r="F157" i="11"/>
  <c r="V157" i="11" s="1"/>
  <c r="F130" i="11"/>
  <c r="Y157" i="11" l="1"/>
  <c r="W167" i="11"/>
  <c r="G163" i="11"/>
  <c r="W163" i="11" s="1"/>
  <c r="V167" i="11"/>
  <c r="K163" i="11"/>
  <c r="AA163" i="11" s="1"/>
  <c r="Z167" i="11"/>
  <c r="V130" i="11"/>
  <c r="Z157" i="11"/>
  <c r="W157" i="11"/>
  <c r="H163" i="11"/>
  <c r="J163" i="11"/>
  <c r="I163" i="11" l="1"/>
  <c r="Y163" i="11" s="1"/>
  <c r="X163" i="11"/>
  <c r="G133" i="11"/>
  <c r="H133" i="11"/>
  <c r="X133" i="11" s="1"/>
  <c r="I133" i="11"/>
  <c r="Y133" i="11" s="1"/>
  <c r="J133" i="11"/>
  <c r="Z133" i="11" s="1"/>
  <c r="F133" i="11"/>
  <c r="V133" i="11" s="1"/>
  <c r="G132" i="11"/>
  <c r="H132" i="11"/>
  <c r="I132" i="11"/>
  <c r="J132" i="11"/>
  <c r="F132" i="11"/>
  <c r="V132" i="11" s="1"/>
  <c r="Z132" i="11" l="1"/>
  <c r="Y132" i="11"/>
  <c r="X132" i="11"/>
  <c r="W133" i="11"/>
  <c r="W132" i="11"/>
  <c r="Z163" i="11"/>
  <c r="G154" i="11"/>
  <c r="H154" i="11"/>
  <c r="X154" i="11" s="1"/>
  <c r="F154" i="11"/>
  <c r="V154" i="11" s="1"/>
  <c r="J154" i="11"/>
  <c r="I154" i="11"/>
  <c r="Y154" i="11" l="1"/>
  <c r="Z154" i="11"/>
  <c r="W154" i="11"/>
  <c r="K154" i="11"/>
  <c r="AA154" i="11" s="1"/>
  <c r="L154" i="11"/>
  <c r="AB154" i="11" s="1"/>
  <c r="M154" i="11"/>
  <c r="AC154" i="11" s="1"/>
  <c r="N154" i="11"/>
  <c r="AD154" i="11" s="1"/>
  <c r="O154" i="11"/>
  <c r="G87" i="11"/>
  <c r="H87" i="11"/>
  <c r="I87" i="11"/>
  <c r="J87" i="11"/>
  <c r="F87" i="11"/>
  <c r="V87" i="11" s="1"/>
  <c r="F79" i="11"/>
  <c r="V79" i="11" s="1"/>
  <c r="AE154" i="11" l="1"/>
  <c r="Y87" i="11"/>
  <c r="W87" i="11"/>
  <c r="K76" i="11"/>
  <c r="Z87" i="11"/>
  <c r="X87" i="11"/>
  <c r="F96" i="11"/>
  <c r="V96" i="11" s="1"/>
  <c r="E45" i="1"/>
  <c r="E10" i="3" l="1"/>
  <c r="G18" i="3"/>
  <c r="H16" i="3" s="1"/>
  <c r="G176" i="11"/>
  <c r="H176" i="11"/>
  <c r="I176" i="11"/>
  <c r="Y176" i="11" s="1"/>
  <c r="J176" i="11"/>
  <c r="F176" i="11"/>
  <c r="V176" i="11" s="1"/>
  <c r="K170" i="11" l="1"/>
  <c r="Z176" i="11"/>
  <c r="I170" i="11"/>
  <c r="X176" i="11"/>
  <c r="H170" i="11"/>
  <c r="X170" i="11" s="1"/>
  <c r="W176" i="11"/>
  <c r="H15" i="3"/>
  <c r="H17" i="3"/>
  <c r="G170" i="11"/>
  <c r="W170" i="11" s="1"/>
  <c r="J170" i="11"/>
  <c r="Y170" i="11" l="1"/>
  <c r="Z170" i="11"/>
  <c r="AA170" i="11"/>
  <c r="G33" i="3"/>
  <c r="G49" i="3"/>
  <c r="F9" i="3" s="1"/>
  <c r="F8" i="3"/>
  <c r="H18" i="3"/>
  <c r="F10" i="3" l="1"/>
  <c r="E10" i="1"/>
  <c r="E38" i="1" s="1"/>
  <c r="E13" i="5"/>
  <c r="F63" i="11" l="1"/>
  <c r="V63" i="11" s="1"/>
  <c r="I122" i="5"/>
  <c r="J122" i="5"/>
  <c r="H122" i="5"/>
  <c r="G122" i="5"/>
  <c r="F122" i="5"/>
  <c r="G123" i="11"/>
  <c r="W123" i="11" s="1"/>
  <c r="H123" i="11"/>
  <c r="I123" i="11"/>
  <c r="J123" i="11"/>
  <c r="F123" i="11"/>
  <c r="V123" i="11" s="1"/>
  <c r="G120" i="11"/>
  <c r="H120" i="11"/>
  <c r="X120" i="11" s="1"/>
  <c r="I120" i="11"/>
  <c r="Y120" i="11" s="1"/>
  <c r="J120" i="11"/>
  <c r="F120" i="11"/>
  <c r="V120" i="11" s="1"/>
  <c r="Z120" i="11" l="1"/>
  <c r="W120" i="11"/>
  <c r="Z123" i="11"/>
  <c r="Y123" i="11"/>
  <c r="X123" i="11"/>
  <c r="H126" i="11"/>
  <c r="I126" i="11"/>
  <c r="G126" i="11"/>
  <c r="J126" i="11"/>
  <c r="F126" i="11"/>
  <c r="V126" i="11" s="1"/>
  <c r="G74" i="5"/>
  <c r="H74" i="5"/>
  <c r="I74" i="5"/>
  <c r="J74" i="5"/>
  <c r="K74" i="5"/>
  <c r="L74" i="5"/>
  <c r="M74" i="5"/>
  <c r="N74" i="5"/>
  <c r="O74" i="5"/>
  <c r="L21" i="5"/>
  <c r="L22" i="5" s="1"/>
  <c r="M21" i="5"/>
  <c r="M22" i="5" s="1"/>
  <c r="N21" i="5"/>
  <c r="N22" i="5" s="1"/>
  <c r="O21" i="5"/>
  <c r="K21" i="5"/>
  <c r="G98" i="11"/>
  <c r="H98" i="11"/>
  <c r="I98" i="11"/>
  <c r="J98" i="11"/>
  <c r="F98" i="11"/>
  <c r="V98" i="11" s="1"/>
  <c r="G97" i="11"/>
  <c r="H97" i="11"/>
  <c r="I97" i="11"/>
  <c r="J97" i="11"/>
  <c r="F97" i="11"/>
  <c r="V97" i="11" s="1"/>
  <c r="G96" i="11"/>
  <c r="W96" i="11" s="1"/>
  <c r="H96" i="11"/>
  <c r="I96" i="11"/>
  <c r="Y96" i="11" s="1"/>
  <c r="J96" i="11"/>
  <c r="F91" i="11"/>
  <c r="V91" i="11" s="1"/>
  <c r="F92" i="11"/>
  <c r="V92" i="11" s="1"/>
  <c r="G91" i="11"/>
  <c r="H91" i="11"/>
  <c r="I91" i="11"/>
  <c r="J91" i="11"/>
  <c r="G92" i="11"/>
  <c r="H92" i="11"/>
  <c r="I92" i="11"/>
  <c r="J92" i="11"/>
  <c r="G90" i="11"/>
  <c r="H90" i="11"/>
  <c r="I90" i="11"/>
  <c r="J90" i="11"/>
  <c r="F90" i="11"/>
  <c r="V90" i="11" s="1"/>
  <c r="Y90" i="11" l="1"/>
  <c r="Y91" i="11"/>
  <c r="Y98" i="11"/>
  <c r="Z97" i="11"/>
  <c r="X92" i="11"/>
  <c r="Z96" i="11"/>
  <c r="X90" i="11"/>
  <c r="X91" i="11"/>
  <c r="X98" i="11"/>
  <c r="Y126" i="11"/>
  <c r="W97" i="11"/>
  <c r="W92" i="11"/>
  <c r="Z90" i="11"/>
  <c r="Z91" i="11"/>
  <c r="X96" i="11"/>
  <c r="Z98" i="11"/>
  <c r="Z126" i="11"/>
  <c r="Y92" i="11"/>
  <c r="X97" i="11"/>
  <c r="W126" i="11"/>
  <c r="W90" i="11"/>
  <c r="W91" i="11"/>
  <c r="W98" i="11"/>
  <c r="X126" i="11"/>
  <c r="Z92" i="11"/>
  <c r="Y97" i="11"/>
  <c r="O22" i="5"/>
  <c r="G121" i="11"/>
  <c r="H124" i="11"/>
  <c r="H121" i="11"/>
  <c r="J124" i="11"/>
  <c r="G124" i="11"/>
  <c r="I121" i="11"/>
  <c r="I124" i="11"/>
  <c r="F124" i="11"/>
  <c r="V124" i="11" s="1"/>
  <c r="F121" i="11"/>
  <c r="V121" i="11" s="1"/>
  <c r="J121" i="11"/>
  <c r="G93" i="11"/>
  <c r="F93" i="11"/>
  <c r="J93" i="11"/>
  <c r="I93" i="11"/>
  <c r="F99" i="11"/>
  <c r="V99" i="11" s="1"/>
  <c r="J99" i="11"/>
  <c r="H93" i="11"/>
  <c r="X121" i="11" l="1"/>
  <c r="Y121" i="11"/>
  <c r="W124" i="11"/>
  <c r="Z124" i="11"/>
  <c r="J165" i="11"/>
  <c r="Z93" i="11"/>
  <c r="F165" i="11"/>
  <c r="V165" i="11" s="1"/>
  <c r="V93" i="11"/>
  <c r="X124" i="11"/>
  <c r="H165" i="11"/>
  <c r="X93" i="11"/>
  <c r="W121" i="11"/>
  <c r="G165" i="11"/>
  <c r="W93" i="11"/>
  <c r="Z121" i="11"/>
  <c r="I165" i="11"/>
  <c r="Y93" i="11"/>
  <c r="Y124" i="11"/>
  <c r="G146" i="11"/>
  <c r="H146" i="11"/>
  <c r="X146" i="11" s="1"/>
  <c r="I146" i="11"/>
  <c r="J146" i="11"/>
  <c r="Z146" i="11" s="1"/>
  <c r="F146" i="11"/>
  <c r="V146" i="11" s="1"/>
  <c r="Y146" i="11" l="1"/>
  <c r="O165" i="11"/>
  <c r="X165" i="11"/>
  <c r="W146" i="11"/>
  <c r="Y165" i="11"/>
  <c r="M165" i="11"/>
  <c r="N165" i="11"/>
  <c r="AD165" i="11" s="1"/>
  <c r="L165" i="11"/>
  <c r="AA165" i="11"/>
  <c r="W165" i="11"/>
  <c r="Z165" i="11"/>
  <c r="G76" i="11"/>
  <c r="J105" i="11"/>
  <c r="F105" i="11"/>
  <c r="G105" i="11"/>
  <c r="W105" i="11" s="1"/>
  <c r="H105" i="11"/>
  <c r="I105" i="11"/>
  <c r="G115" i="11"/>
  <c r="H115" i="11"/>
  <c r="X115" i="11" s="1"/>
  <c r="I115" i="11"/>
  <c r="J115" i="11"/>
  <c r="F115" i="11"/>
  <c r="V115" i="11" s="1"/>
  <c r="G131" i="11"/>
  <c r="H131" i="11"/>
  <c r="I131" i="11"/>
  <c r="J131" i="11"/>
  <c r="F131" i="11"/>
  <c r="G111" i="11"/>
  <c r="H111" i="11"/>
  <c r="I111" i="11"/>
  <c r="J111" i="11"/>
  <c r="Z111" i="11" s="1"/>
  <c r="F111" i="11"/>
  <c r="V111" i="11" s="1"/>
  <c r="F55" i="11"/>
  <c r="K56" i="11"/>
  <c r="K51" i="11"/>
  <c r="F32" i="11"/>
  <c r="V32" i="11" s="1"/>
  <c r="G32" i="11"/>
  <c r="H32" i="11"/>
  <c r="I32" i="11"/>
  <c r="Y32" i="11" s="1"/>
  <c r="J32" i="11"/>
  <c r="G130" i="11"/>
  <c r="W130" i="11" s="1"/>
  <c r="H130" i="11"/>
  <c r="I130" i="11"/>
  <c r="Y130" i="11" s="1"/>
  <c r="J130" i="11"/>
  <c r="G61" i="11"/>
  <c r="G47" i="11"/>
  <c r="F15" i="11"/>
  <c r="G15" i="11"/>
  <c r="H15" i="11"/>
  <c r="I15" i="11"/>
  <c r="J15" i="11"/>
  <c r="F21" i="11"/>
  <c r="V21" i="11" s="1"/>
  <c r="G21" i="11"/>
  <c r="H21" i="11"/>
  <c r="I21" i="11"/>
  <c r="Y21" i="11" s="1"/>
  <c r="J21" i="11"/>
  <c r="F22" i="11"/>
  <c r="V22" i="11" s="1"/>
  <c r="G22" i="11"/>
  <c r="H22" i="11"/>
  <c r="X22" i="11" s="1"/>
  <c r="I22" i="11"/>
  <c r="J22" i="11"/>
  <c r="F25" i="11"/>
  <c r="V25" i="11" s="1"/>
  <c r="G25" i="11"/>
  <c r="W25" i="11" s="1"/>
  <c r="H25" i="11"/>
  <c r="I25" i="11"/>
  <c r="J25" i="11"/>
  <c r="F28" i="11"/>
  <c r="V28" i="11" s="1"/>
  <c r="G28" i="11"/>
  <c r="H28" i="11"/>
  <c r="I28" i="11"/>
  <c r="J28" i="11"/>
  <c r="Z28" i="11" s="1"/>
  <c r="G3" i="11"/>
  <c r="H3" i="11" s="1"/>
  <c r="I3" i="11" s="1"/>
  <c r="J3" i="11" s="1"/>
  <c r="O82" i="5"/>
  <c r="N82" i="5"/>
  <c r="M82" i="5"/>
  <c r="L82" i="5"/>
  <c r="K82" i="5"/>
  <c r="X25" i="11" l="1"/>
  <c r="Z21" i="11"/>
  <c r="Z32" i="11"/>
  <c r="X28" i="11"/>
  <c r="Z22" i="11"/>
  <c r="W21" i="11"/>
  <c r="W61" i="11"/>
  <c r="W32" i="11"/>
  <c r="X111" i="11"/>
  <c r="Z115" i="11"/>
  <c r="Y25" i="11"/>
  <c r="Y131" i="11"/>
  <c r="X131" i="11"/>
  <c r="W115" i="11"/>
  <c r="Z25" i="11"/>
  <c r="W22" i="11"/>
  <c r="X130" i="11"/>
  <c r="Z131" i="11"/>
  <c r="V55" i="11"/>
  <c r="AB165" i="11"/>
  <c r="K14" i="11"/>
  <c r="Z15" i="11"/>
  <c r="L56" i="11"/>
  <c r="AA56" i="11"/>
  <c r="I104" i="11"/>
  <c r="X105" i="11"/>
  <c r="F16" i="11"/>
  <c r="V15" i="11"/>
  <c r="L51" i="11"/>
  <c r="AA51" i="11"/>
  <c r="J14" i="11"/>
  <c r="J16" i="11" s="1"/>
  <c r="Y15" i="11"/>
  <c r="H14" i="11"/>
  <c r="H16" i="11" s="1"/>
  <c r="W15" i="11"/>
  <c r="W131" i="11"/>
  <c r="Y28" i="11"/>
  <c r="X21" i="11"/>
  <c r="G58" i="11"/>
  <c r="W47" i="11"/>
  <c r="X32" i="11"/>
  <c r="Y111" i="11"/>
  <c r="F106" i="11"/>
  <c r="V106" i="11" s="1"/>
  <c r="V105" i="11"/>
  <c r="AE165" i="11"/>
  <c r="I14" i="11"/>
  <c r="I16" i="11" s="1"/>
  <c r="X15" i="11"/>
  <c r="J104" i="11"/>
  <c r="J106" i="11" s="1"/>
  <c r="Y105" i="11"/>
  <c r="K104" i="11"/>
  <c r="Z105" i="11"/>
  <c r="AC165" i="11"/>
  <c r="F151" i="11"/>
  <c r="V151" i="11" s="1"/>
  <c r="V131" i="11"/>
  <c r="F135" i="11"/>
  <c r="W28" i="11"/>
  <c r="Y22" i="11"/>
  <c r="Z130" i="11"/>
  <c r="W111" i="11"/>
  <c r="Y115" i="11"/>
  <c r="G82" i="11"/>
  <c r="W76" i="11"/>
  <c r="G85" i="11"/>
  <c r="W85" i="11" s="1"/>
  <c r="G69" i="11"/>
  <c r="G73" i="11"/>
  <c r="W73" i="11" s="1"/>
  <c r="G151" i="11"/>
  <c r="K22" i="11"/>
  <c r="AA22" i="11" s="1"/>
  <c r="L22" i="11"/>
  <c r="M22" i="11"/>
  <c r="N22" i="11"/>
  <c r="O22" i="11"/>
  <c r="L21" i="11"/>
  <c r="M21" i="11"/>
  <c r="K21" i="11"/>
  <c r="AA21" i="11" s="1"/>
  <c r="N21" i="11"/>
  <c r="O21" i="11"/>
  <c r="H151" i="11"/>
  <c r="I151" i="11"/>
  <c r="J151" i="11"/>
  <c r="I135" i="11"/>
  <c r="G135" i="11"/>
  <c r="H135" i="11"/>
  <c r="J135" i="11"/>
  <c r="K130" i="11"/>
  <c r="AA130" i="11" s="1"/>
  <c r="G79" i="11"/>
  <c r="W79" i="11" s="1"/>
  <c r="H76" i="11"/>
  <c r="G63" i="11"/>
  <c r="W63" i="11" s="1"/>
  <c r="M130" i="11"/>
  <c r="G99" i="11"/>
  <c r="W99" i="11" s="1"/>
  <c r="O130" i="11"/>
  <c r="N130" i="11"/>
  <c r="L130" i="11"/>
  <c r="G104" i="11"/>
  <c r="H104" i="11"/>
  <c r="G55" i="11"/>
  <c r="W55" i="11" s="1"/>
  <c r="G49" i="11"/>
  <c r="W49" i="11" s="1"/>
  <c r="G14" i="11"/>
  <c r="K22" i="5"/>
  <c r="AD21" i="11" l="1"/>
  <c r="X135" i="11"/>
  <c r="AD130" i="11"/>
  <c r="AA104" i="11"/>
  <c r="Z135" i="11"/>
  <c r="AC21" i="11"/>
  <c r="W82" i="11"/>
  <c r="AE21" i="11"/>
  <c r="AB22" i="11"/>
  <c r="W151" i="11"/>
  <c r="W69" i="11"/>
  <c r="X151" i="11"/>
  <c r="AE130" i="11"/>
  <c r="X14" i="11"/>
  <c r="AC130" i="11"/>
  <c r="Z14" i="11"/>
  <c r="Z151" i="11"/>
  <c r="AE22" i="11"/>
  <c r="AC22" i="11"/>
  <c r="Y16" i="11"/>
  <c r="H106" i="11"/>
  <c r="X104" i="11"/>
  <c r="Y104" i="11"/>
  <c r="I138" i="11"/>
  <c r="Y135" i="11"/>
  <c r="AB21" i="11"/>
  <c r="Z104" i="11"/>
  <c r="M56" i="11"/>
  <c r="AB56" i="11"/>
  <c r="G137" i="11"/>
  <c r="W135" i="11"/>
  <c r="F156" i="11"/>
  <c r="V135" i="11"/>
  <c r="H47" i="11"/>
  <c r="W58" i="11"/>
  <c r="V16" i="11"/>
  <c r="Z16" i="11"/>
  <c r="G106" i="11"/>
  <c r="W106" i="11" s="1"/>
  <c r="W104" i="11"/>
  <c r="G16" i="11"/>
  <c r="W16" i="11" s="1"/>
  <c r="W14" i="11"/>
  <c r="I106" i="11"/>
  <c r="Z106" i="11" s="1"/>
  <c r="H82" i="11"/>
  <c r="X76" i="11"/>
  <c r="AB130" i="11"/>
  <c r="Y151" i="11"/>
  <c r="AD22" i="11"/>
  <c r="Y14" i="11"/>
  <c r="M51" i="11"/>
  <c r="AB51" i="11"/>
  <c r="AA14" i="11"/>
  <c r="K151" i="11"/>
  <c r="AA151" i="11" s="1"/>
  <c r="L151" i="11"/>
  <c r="M151" i="11"/>
  <c r="N151" i="11"/>
  <c r="O151" i="11"/>
  <c r="I139" i="11"/>
  <c r="H137" i="11"/>
  <c r="H156" i="11"/>
  <c r="J139" i="11"/>
  <c r="J156" i="11"/>
  <c r="G138" i="11"/>
  <c r="G156" i="11"/>
  <c r="I137" i="11"/>
  <c r="I156" i="11"/>
  <c r="H138" i="11"/>
  <c r="H139" i="11"/>
  <c r="J137" i="11"/>
  <c r="G139" i="11"/>
  <c r="J138" i="11"/>
  <c r="F144" i="11"/>
  <c r="F139" i="11"/>
  <c r="F138" i="11"/>
  <c r="F137" i="11"/>
  <c r="H85" i="11"/>
  <c r="X85" i="11" s="1"/>
  <c r="H79" i="11"/>
  <c r="X79" i="11" s="1"/>
  <c r="I76" i="11"/>
  <c r="H61" i="11"/>
  <c r="H99" i="11"/>
  <c r="X99" i="11" s="1"/>
  <c r="Y138" i="11" l="1"/>
  <c r="X82" i="11"/>
  <c r="AE151" i="11"/>
  <c r="Z137" i="11"/>
  <c r="Z139" i="11"/>
  <c r="X139" i="11"/>
  <c r="X138" i="11"/>
  <c r="X137" i="11"/>
  <c r="I82" i="11"/>
  <c r="Y82" i="11" s="1"/>
  <c r="Y76" i="11"/>
  <c r="J158" i="11"/>
  <c r="Z156" i="11"/>
  <c r="AB151" i="11"/>
  <c r="V156" i="11"/>
  <c r="F158" i="11"/>
  <c r="V158" i="11" s="1"/>
  <c r="X106" i="11"/>
  <c r="Y137" i="11"/>
  <c r="Y106" i="11"/>
  <c r="N56" i="11"/>
  <c r="AC56" i="11"/>
  <c r="H158" i="11"/>
  <c r="X156" i="11"/>
  <c r="I158" i="11"/>
  <c r="Y156" i="11"/>
  <c r="Y139" i="11"/>
  <c r="G158" i="11"/>
  <c r="W156" i="11"/>
  <c r="AD151" i="11"/>
  <c r="N51" i="11"/>
  <c r="AC51" i="11"/>
  <c r="X47" i="11"/>
  <c r="H58" i="11"/>
  <c r="H55" i="11"/>
  <c r="H49" i="11"/>
  <c r="X49" i="11" s="1"/>
  <c r="X16" i="11"/>
  <c r="H73" i="11"/>
  <c r="X73" i="11" s="1"/>
  <c r="X61" i="11"/>
  <c r="Z138" i="11"/>
  <c r="AC151" i="11"/>
  <c r="W139" i="11"/>
  <c r="V139" i="11"/>
  <c r="V144" i="11"/>
  <c r="W138" i="11"/>
  <c r="V138" i="11"/>
  <c r="V137" i="11"/>
  <c r="W137" i="11"/>
  <c r="K138" i="11"/>
  <c r="AA138" i="11" s="1"/>
  <c r="K139" i="11"/>
  <c r="AA139" i="11" s="1"/>
  <c r="H69" i="11"/>
  <c r="K137" i="11"/>
  <c r="AA137" i="11" s="1"/>
  <c r="L138" i="11"/>
  <c r="O138" i="11"/>
  <c r="M138" i="11"/>
  <c r="N138" i="11"/>
  <c r="L139" i="11"/>
  <c r="O139" i="11"/>
  <c r="M139" i="11"/>
  <c r="N139" i="11"/>
  <c r="I79" i="11"/>
  <c r="I85" i="11"/>
  <c r="Y85" i="11" s="1"/>
  <c r="H63" i="11"/>
  <c r="I61" i="11"/>
  <c r="J76" i="11"/>
  <c r="I99" i="11"/>
  <c r="H144" i="11"/>
  <c r="G144" i="11"/>
  <c r="G147" i="11" s="1"/>
  <c r="I144" i="11"/>
  <c r="J144" i="11"/>
  <c r="F147" i="11"/>
  <c r="F133" i="5"/>
  <c r="G133" i="5"/>
  <c r="F108" i="5"/>
  <c r="F96" i="5"/>
  <c r="F145" i="5"/>
  <c r="F142" i="11" s="1"/>
  <c r="G145" i="5"/>
  <c r="G142" i="11" s="1"/>
  <c r="G96" i="5"/>
  <c r="G108" i="5"/>
  <c r="H133" i="5"/>
  <c r="H108" i="5"/>
  <c r="I108" i="5"/>
  <c r="J108" i="5"/>
  <c r="J96" i="5"/>
  <c r="I96" i="5"/>
  <c r="H96" i="5"/>
  <c r="X63" i="11" l="1"/>
  <c r="Z144" i="11"/>
  <c r="E22" i="2"/>
  <c r="J147" i="11"/>
  <c r="E46" i="1"/>
  <c r="Y158" i="11"/>
  <c r="AD139" i="11"/>
  <c r="X69" i="11"/>
  <c r="AC138" i="11"/>
  <c r="X55" i="11"/>
  <c r="AB139" i="11"/>
  <c r="X158" i="11"/>
  <c r="AE138" i="11"/>
  <c r="AB138" i="11"/>
  <c r="I147" i="11"/>
  <c r="Y144" i="11"/>
  <c r="F143" i="11"/>
  <c r="V143" i="11" s="1"/>
  <c r="V142" i="11"/>
  <c r="I73" i="11"/>
  <c r="Y73" i="11" s="1"/>
  <c r="Y61" i="11"/>
  <c r="I47" i="11"/>
  <c r="X58" i="11"/>
  <c r="O51" i="11"/>
  <c r="AE51" i="11" s="1"/>
  <c r="AD51" i="11"/>
  <c r="Y99" i="11"/>
  <c r="Z99" i="11"/>
  <c r="AC139" i="11"/>
  <c r="W144" i="11"/>
  <c r="O56" i="11"/>
  <c r="AE56" i="11" s="1"/>
  <c r="AD56" i="11"/>
  <c r="Z158" i="11"/>
  <c r="Y79" i="11"/>
  <c r="W158" i="11"/>
  <c r="H147" i="11"/>
  <c r="X147" i="11" s="1"/>
  <c r="X144" i="11"/>
  <c r="G143" i="11"/>
  <c r="W142" i="11"/>
  <c r="J82" i="11"/>
  <c r="M82" i="11" s="1"/>
  <c r="Z76" i="11"/>
  <c r="AA76" i="11"/>
  <c r="AE139" i="11"/>
  <c r="W147" i="11"/>
  <c r="V147" i="11"/>
  <c r="AD138" i="11"/>
  <c r="I63" i="11"/>
  <c r="Y63" i="11" s="1"/>
  <c r="I69" i="11"/>
  <c r="Y69" i="11" s="1"/>
  <c r="E14" i="1"/>
  <c r="J79" i="11"/>
  <c r="K79" i="11" s="1"/>
  <c r="K78" i="11" s="1"/>
  <c r="J85" i="11"/>
  <c r="L137" i="11"/>
  <c r="AB137" i="11" s="1"/>
  <c r="O137" i="11"/>
  <c r="M137" i="11"/>
  <c r="N137" i="11"/>
  <c r="AD137" i="11" s="1"/>
  <c r="G135" i="5"/>
  <c r="L82" i="11" l="1"/>
  <c r="AC82" i="11" s="1"/>
  <c r="O82" i="11"/>
  <c r="N82" i="11"/>
  <c r="K82" i="11"/>
  <c r="K81" i="11" s="1"/>
  <c r="W143" i="11"/>
  <c r="AE137" i="11"/>
  <c r="Z147" i="11"/>
  <c r="I58" i="11"/>
  <c r="Y47" i="11"/>
  <c r="I49" i="11"/>
  <c r="Y49" i="11" s="1"/>
  <c r="I55" i="11"/>
  <c r="AA85" i="11"/>
  <c r="Z85" i="11"/>
  <c r="Z79" i="11"/>
  <c r="J61" i="11"/>
  <c r="J69" i="11" s="1"/>
  <c r="AA79" i="11"/>
  <c r="AC137" i="11"/>
  <c r="Z82" i="11"/>
  <c r="Y147" i="11"/>
  <c r="O79" i="11"/>
  <c r="N79" i="11"/>
  <c r="M79" i="11"/>
  <c r="L79" i="11"/>
  <c r="AA69" i="11" l="1"/>
  <c r="AB69" i="11"/>
  <c r="AE82" i="11"/>
  <c r="AA82" i="11"/>
  <c r="AB82" i="11"/>
  <c r="AD82" i="11"/>
  <c r="Z69" i="11"/>
  <c r="Y55" i="11"/>
  <c r="J73" i="11"/>
  <c r="Z73" i="11" s="1"/>
  <c r="Z61" i="11"/>
  <c r="Y58" i="11"/>
  <c r="J47" i="11"/>
  <c r="AB79" i="11"/>
  <c r="K98" i="11"/>
  <c r="AA98" i="11" s="1"/>
  <c r="AA81" i="11"/>
  <c r="AC79" i="11"/>
  <c r="AE79" i="11"/>
  <c r="AD79" i="11"/>
  <c r="J63" i="11"/>
  <c r="K87" i="11"/>
  <c r="G38" i="8"/>
  <c r="G36" i="8"/>
  <c r="G45" i="8" s="1"/>
  <c r="E11" i="8"/>
  <c r="E10" i="8"/>
  <c r="F7" i="8"/>
  <c r="L63" i="11" l="1"/>
  <c r="M63" i="11"/>
  <c r="N63" i="11"/>
  <c r="O63" i="11"/>
  <c r="K63" i="11"/>
  <c r="Z63" i="11"/>
  <c r="AA63" i="11"/>
  <c r="AC69" i="11"/>
  <c r="J58" i="11"/>
  <c r="Z47" i="11"/>
  <c r="J49" i="11"/>
  <c r="J55" i="11"/>
  <c r="K55" i="11" s="1"/>
  <c r="K61" i="11"/>
  <c r="K92" i="11"/>
  <c r="AA92" i="11" s="1"/>
  <c r="AA78" i="11"/>
  <c r="AD69" i="11"/>
  <c r="AE69" i="11"/>
  <c r="K103" i="5"/>
  <c r="AA87" i="11"/>
  <c r="L76" i="11"/>
  <c r="E12" i="8"/>
  <c r="G63" i="8"/>
  <c r="G54" i="8"/>
  <c r="G72" i="8"/>
  <c r="K68" i="11" l="1"/>
  <c r="AD63" i="11"/>
  <c r="AE63" i="11"/>
  <c r="N55" i="11"/>
  <c r="Z55" i="11"/>
  <c r="M55" i="11"/>
  <c r="O55" i="11"/>
  <c r="L55" i="11"/>
  <c r="AB55" i="11" s="1"/>
  <c r="K62" i="11"/>
  <c r="K91" i="11" s="1"/>
  <c r="AB63" i="11"/>
  <c r="Z58" i="11"/>
  <c r="K47" i="11"/>
  <c r="AA61" i="11"/>
  <c r="K49" i="11"/>
  <c r="Z49" i="11"/>
  <c r="O49" i="11"/>
  <c r="L49" i="11"/>
  <c r="M49" i="11"/>
  <c r="N49" i="11"/>
  <c r="AC63" i="11"/>
  <c r="L81" i="11"/>
  <c r="AB81" i="11" s="1"/>
  <c r="AB76" i="11"/>
  <c r="K97" i="11"/>
  <c r="AA68" i="11"/>
  <c r="L78" i="11"/>
  <c r="AB78" i="11" s="1"/>
  <c r="K73" i="11" l="1"/>
  <c r="AB49" i="11"/>
  <c r="AE49" i="11"/>
  <c r="AE55" i="11"/>
  <c r="AA62" i="11"/>
  <c r="AD49" i="11"/>
  <c r="AA49" i="11"/>
  <c r="K48" i="11"/>
  <c r="AC55" i="11"/>
  <c r="AA47" i="11"/>
  <c r="K54" i="11"/>
  <c r="AA55" i="11"/>
  <c r="AC49" i="11"/>
  <c r="AD55" i="11"/>
  <c r="AA97" i="11"/>
  <c r="AA91" i="11"/>
  <c r="L92" i="11"/>
  <c r="AB92" i="11" s="1"/>
  <c r="E16" i="1"/>
  <c r="H145" i="5"/>
  <c r="H142" i="11" s="1"/>
  <c r="I145" i="5"/>
  <c r="I142" i="11" s="1"/>
  <c r="J145" i="5"/>
  <c r="J142" i="11" s="1"/>
  <c r="I35" i="5"/>
  <c r="I81" i="5" s="1"/>
  <c r="H35" i="5"/>
  <c r="H81" i="5" s="1"/>
  <c r="G35" i="5"/>
  <c r="G81" i="5" s="1"/>
  <c r="F35" i="5"/>
  <c r="F81" i="5" s="1"/>
  <c r="J35" i="5"/>
  <c r="J81" i="5" s="1"/>
  <c r="F26" i="5"/>
  <c r="F107" i="11" s="1"/>
  <c r="V107" i="11" s="1"/>
  <c r="J26" i="5"/>
  <c r="J107" i="11" s="1"/>
  <c r="F41" i="5"/>
  <c r="G41" i="5"/>
  <c r="H41" i="5"/>
  <c r="I41" i="5"/>
  <c r="J41" i="5"/>
  <c r="F22" i="5"/>
  <c r="F17" i="11" s="1"/>
  <c r="V17" i="11" s="1"/>
  <c r="H72" i="8"/>
  <c r="H63" i="8"/>
  <c r="H54" i="8"/>
  <c r="H38" i="8"/>
  <c r="H47" i="8" s="1"/>
  <c r="L28" i="8"/>
  <c r="K28" i="8"/>
  <c r="J28" i="8"/>
  <c r="I28" i="8"/>
  <c r="H28" i="8"/>
  <c r="L27" i="8"/>
  <c r="K27" i="8"/>
  <c r="J27" i="8"/>
  <c r="I27" i="8"/>
  <c r="H27" i="8"/>
  <c r="L26" i="8"/>
  <c r="H70" i="8" s="1"/>
  <c r="K26" i="8"/>
  <c r="H61" i="8" s="1"/>
  <c r="J26" i="8"/>
  <c r="H52" i="8" s="1"/>
  <c r="I26" i="8"/>
  <c r="H43" i="8" s="1"/>
  <c r="H26" i="8"/>
  <c r="H34" i="8" s="1"/>
  <c r="L25" i="8"/>
  <c r="G70" i="8" s="1"/>
  <c r="K25" i="8"/>
  <c r="G61" i="8" s="1"/>
  <c r="J25" i="8"/>
  <c r="G52" i="8" s="1"/>
  <c r="I25" i="8"/>
  <c r="G43" i="8" s="1"/>
  <c r="H25" i="8"/>
  <c r="G34" i="8" s="1"/>
  <c r="E13" i="1"/>
  <c r="E50" i="1" s="1"/>
  <c r="E12" i="1"/>
  <c r="E11" i="1"/>
  <c r="G31" i="1" s="1"/>
  <c r="E9" i="1"/>
  <c r="I133" i="5"/>
  <c r="J133" i="5"/>
  <c r="G3" i="5"/>
  <c r="H3" i="5" s="1"/>
  <c r="I3" i="5" s="1"/>
  <c r="J3" i="5" s="1"/>
  <c r="I26" i="5"/>
  <c r="I107" i="11" s="1"/>
  <c r="H26" i="5"/>
  <c r="H107" i="11" s="1"/>
  <c r="G26" i="5"/>
  <c r="G107" i="11" s="1"/>
  <c r="W107" i="11" s="1"/>
  <c r="G22" i="5"/>
  <c r="H22" i="5"/>
  <c r="I22" i="5"/>
  <c r="J22" i="5"/>
  <c r="E27" i="2" l="1"/>
  <c r="J49" i="1"/>
  <c r="I51" i="1"/>
  <c r="H51" i="1"/>
  <c r="I49" i="1"/>
  <c r="H49" i="1"/>
  <c r="J51" i="1"/>
  <c r="K58" i="11"/>
  <c r="Z107" i="11"/>
  <c r="K96" i="11"/>
  <c r="AA54" i="11"/>
  <c r="I143" i="11"/>
  <c r="Y142" i="11"/>
  <c r="X107" i="11"/>
  <c r="AA48" i="11"/>
  <c r="K90" i="11"/>
  <c r="J143" i="11"/>
  <c r="L143" i="11" s="1"/>
  <c r="Z142" i="11"/>
  <c r="H143" i="11"/>
  <c r="X143" i="11" s="1"/>
  <c r="X142" i="11"/>
  <c r="Y107" i="11"/>
  <c r="G39" i="11"/>
  <c r="G44" i="11"/>
  <c r="G127" i="11"/>
  <c r="G26" i="11"/>
  <c r="G29" i="11"/>
  <c r="I44" i="11"/>
  <c r="I39" i="11"/>
  <c r="I127" i="11"/>
  <c r="I29" i="11"/>
  <c r="I26" i="11"/>
  <c r="H44" i="11"/>
  <c r="H39" i="11"/>
  <c r="H127" i="11"/>
  <c r="H26" i="11"/>
  <c r="H29" i="11"/>
  <c r="F39" i="11"/>
  <c r="V39" i="11" s="1"/>
  <c r="F44" i="11"/>
  <c r="V44" i="11" s="1"/>
  <c r="F127" i="11"/>
  <c r="V127" i="11" s="1"/>
  <c r="F18" i="11"/>
  <c r="V18" i="11" s="1"/>
  <c r="F29" i="11"/>
  <c r="V29" i="11" s="1"/>
  <c r="F26" i="11"/>
  <c r="V26" i="11" s="1"/>
  <c r="J39" i="11"/>
  <c r="J44" i="11"/>
  <c r="Z44" i="11" s="1"/>
  <c r="J127" i="11"/>
  <c r="J26" i="11"/>
  <c r="Z26" i="11" s="1"/>
  <c r="J29" i="11"/>
  <c r="H116" i="11"/>
  <c r="H112" i="11"/>
  <c r="G112" i="11"/>
  <c r="G116" i="11"/>
  <c r="F116" i="11"/>
  <c r="F112" i="11"/>
  <c r="J116" i="11"/>
  <c r="J112" i="11"/>
  <c r="I112" i="11"/>
  <c r="I116" i="11"/>
  <c r="L98" i="11"/>
  <c r="AB98" i="11" s="1"/>
  <c r="L87" i="11"/>
  <c r="E29" i="2"/>
  <c r="M143" i="11"/>
  <c r="N143" i="11"/>
  <c r="J33" i="11"/>
  <c r="J108" i="11"/>
  <c r="I33" i="11"/>
  <c r="I108" i="11"/>
  <c r="H33" i="11"/>
  <c r="H108" i="11"/>
  <c r="K108" i="11" s="1"/>
  <c r="K107" i="11" s="1"/>
  <c r="F108" i="11"/>
  <c r="V108" i="11" s="1"/>
  <c r="F33" i="11"/>
  <c r="V33" i="11" s="1"/>
  <c r="G33" i="11"/>
  <c r="G108" i="11"/>
  <c r="G17" i="11"/>
  <c r="J17" i="11"/>
  <c r="I17" i="11"/>
  <c r="H17" i="11"/>
  <c r="H76" i="5"/>
  <c r="H78" i="5"/>
  <c r="H77" i="5"/>
  <c r="J77" i="5"/>
  <c r="J78" i="5"/>
  <c r="G76" i="5"/>
  <c r="G78" i="5"/>
  <c r="G77" i="5"/>
  <c r="I76" i="5"/>
  <c r="I78" i="5"/>
  <c r="I77" i="5"/>
  <c r="F76" i="5"/>
  <c r="F78" i="5"/>
  <c r="F77" i="5"/>
  <c r="J76" i="5"/>
  <c r="G71" i="8"/>
  <c r="G73" i="8" s="1"/>
  <c r="K22" i="1"/>
  <c r="F28" i="5"/>
  <c r="F43" i="5" s="1"/>
  <c r="J28" i="5"/>
  <c r="J43" i="5" s="1"/>
  <c r="H36" i="8"/>
  <c r="H45" i="8" s="1"/>
  <c r="E10" i="2"/>
  <c r="I22" i="1"/>
  <c r="L22" i="1"/>
  <c r="J22" i="1"/>
  <c r="G47" i="8"/>
  <c r="G56" i="8" s="1"/>
  <c r="H71" i="8"/>
  <c r="H73" i="8" s="1"/>
  <c r="H22" i="1"/>
  <c r="G28" i="5"/>
  <c r="H28" i="5"/>
  <c r="H29" i="5" s="1"/>
  <c r="I28" i="5"/>
  <c r="I29" i="5" s="1"/>
  <c r="K29" i="11" l="1"/>
  <c r="K44" i="11"/>
  <c r="K26" i="11"/>
  <c r="K39" i="11"/>
  <c r="K33" i="11"/>
  <c r="AA33" i="11" s="1"/>
  <c r="Z39" i="11"/>
  <c r="O143" i="11"/>
  <c r="AE143" i="11" s="1"/>
  <c r="W29" i="11"/>
  <c r="X44" i="11"/>
  <c r="W127" i="11"/>
  <c r="Y108" i="11"/>
  <c r="Y127" i="11"/>
  <c r="Y39" i="11"/>
  <c r="AD143" i="11"/>
  <c r="Y33" i="11"/>
  <c r="X127" i="11"/>
  <c r="W108" i="11"/>
  <c r="Z108" i="11"/>
  <c r="Y44" i="11"/>
  <c r="AA90" i="11"/>
  <c r="K93" i="11"/>
  <c r="K164" i="11" s="1"/>
  <c r="K167" i="11" s="1"/>
  <c r="AA29" i="11"/>
  <c r="X29" i="11"/>
  <c r="J18" i="11"/>
  <c r="Z17" i="11"/>
  <c r="F117" i="11"/>
  <c r="V117" i="11" s="1"/>
  <c r="V116" i="11"/>
  <c r="Z127" i="11"/>
  <c r="Y29" i="11"/>
  <c r="W39" i="11"/>
  <c r="AA58" i="11"/>
  <c r="L47" i="11"/>
  <c r="K101" i="5"/>
  <c r="G113" i="11"/>
  <c r="W112" i="11"/>
  <c r="W33" i="11"/>
  <c r="I117" i="11"/>
  <c r="Y116" i="11"/>
  <c r="AA26" i="11"/>
  <c r="X26" i="11"/>
  <c r="I113" i="11"/>
  <c r="Y112" i="11"/>
  <c r="H117" i="11"/>
  <c r="X116" i="11"/>
  <c r="J113" i="11"/>
  <c r="Z112" i="11"/>
  <c r="AA39" i="11"/>
  <c r="X39" i="11"/>
  <c r="W26" i="11"/>
  <c r="Y143" i="11"/>
  <c r="X108" i="11"/>
  <c r="G18" i="11"/>
  <c r="W18" i="11" s="1"/>
  <c r="W17" i="11"/>
  <c r="G117" i="11"/>
  <c r="W116" i="11"/>
  <c r="Z33" i="11"/>
  <c r="H113" i="11"/>
  <c r="X112" i="11"/>
  <c r="H18" i="11"/>
  <c r="X17" i="11"/>
  <c r="J117" i="11"/>
  <c r="Z117" i="11" s="1"/>
  <c r="Z116" i="11"/>
  <c r="Z29" i="11"/>
  <c r="I18" i="11"/>
  <c r="Y17" i="11"/>
  <c r="X33" i="11"/>
  <c r="AC143" i="11"/>
  <c r="F113" i="11"/>
  <c r="V113" i="11" s="1"/>
  <c r="V112" i="11"/>
  <c r="Y26" i="11"/>
  <c r="AA44" i="11"/>
  <c r="W44" i="11"/>
  <c r="K143" i="11"/>
  <c r="AA143" i="11" s="1"/>
  <c r="Z143" i="11"/>
  <c r="AA96" i="11"/>
  <c r="K99" i="11"/>
  <c r="L103" i="5"/>
  <c r="AB87" i="11"/>
  <c r="L26" i="11"/>
  <c r="AB26" i="11" s="1"/>
  <c r="M26" i="11"/>
  <c r="N26" i="11"/>
  <c r="O26" i="11"/>
  <c r="L29" i="11"/>
  <c r="M29" i="11"/>
  <c r="N29" i="11"/>
  <c r="O29" i="11"/>
  <c r="O127" i="11"/>
  <c r="L127" i="11"/>
  <c r="K127" i="11"/>
  <c r="N127" i="11"/>
  <c r="M127" i="11"/>
  <c r="N44" i="11"/>
  <c r="L44" i="11"/>
  <c r="O44" i="11"/>
  <c r="M44" i="11"/>
  <c r="L39" i="11"/>
  <c r="O39" i="11"/>
  <c r="N39" i="11"/>
  <c r="M39" i="11"/>
  <c r="M76" i="11"/>
  <c r="AC76" i="11" s="1"/>
  <c r="M124" i="11"/>
  <c r="K124" i="11"/>
  <c r="AA124" i="11" s="1"/>
  <c r="N124" i="11"/>
  <c r="O124" i="11"/>
  <c r="L124" i="11"/>
  <c r="O121" i="11"/>
  <c r="M121" i="11"/>
  <c r="L121" i="11"/>
  <c r="N121" i="11"/>
  <c r="K121" i="11"/>
  <c r="AA121" i="11" s="1"/>
  <c r="J49" i="5"/>
  <c r="J57" i="5" s="1"/>
  <c r="O33" i="11"/>
  <c r="L33" i="11"/>
  <c r="M33" i="11"/>
  <c r="N33" i="11"/>
  <c r="M108" i="11"/>
  <c r="O108" i="11"/>
  <c r="L108" i="11"/>
  <c r="N108" i="11"/>
  <c r="L76" i="5"/>
  <c r="O76" i="5"/>
  <c r="N76" i="5"/>
  <c r="N25" i="5" s="1"/>
  <c r="N26" i="5" s="1"/>
  <c r="N28" i="5" s="1"/>
  <c r="K76" i="5"/>
  <c r="K25" i="5" s="1"/>
  <c r="M76" i="5"/>
  <c r="M25" i="5" s="1"/>
  <c r="M26" i="5" s="1"/>
  <c r="M28" i="5" s="1"/>
  <c r="L77" i="5"/>
  <c r="M77" i="5"/>
  <c r="N77" i="5"/>
  <c r="O77" i="5"/>
  <c r="K77" i="5"/>
  <c r="L78" i="5"/>
  <c r="M78" i="5"/>
  <c r="N78" i="5"/>
  <c r="O78" i="5"/>
  <c r="K78" i="5"/>
  <c r="G42" i="8"/>
  <c r="G33" i="8"/>
  <c r="J29" i="5"/>
  <c r="F29" i="5"/>
  <c r="F49" i="5"/>
  <c r="F57" i="5" s="1"/>
  <c r="I43" i="5"/>
  <c r="J45" i="5" s="1"/>
  <c r="H43" i="5"/>
  <c r="G29" i="5"/>
  <c r="G43" i="5"/>
  <c r="G49" i="5" s="1"/>
  <c r="G57" i="5" s="1"/>
  <c r="H56" i="8"/>
  <c r="H65" i="8" s="1"/>
  <c r="G65" i="8"/>
  <c r="J30" i="5"/>
  <c r="G30" i="5"/>
  <c r="I30" i="5"/>
  <c r="H30" i="5"/>
  <c r="AD121" i="11" l="1"/>
  <c r="AC124" i="11"/>
  <c r="AD124" i="11"/>
  <c r="X18" i="11"/>
  <c r="K117" i="11"/>
  <c r="K116" i="11" s="1"/>
  <c r="AB29" i="11"/>
  <c r="K28" i="11"/>
  <c r="AA28" i="11" s="1"/>
  <c r="W113" i="11"/>
  <c r="Y18" i="11"/>
  <c r="M117" i="11"/>
  <c r="M116" i="11" s="1"/>
  <c r="AB33" i="11"/>
  <c r="K43" i="11"/>
  <c r="AA43" i="11" s="1"/>
  <c r="Y117" i="11"/>
  <c r="Y113" i="11"/>
  <c r="K32" i="11"/>
  <c r="AA32" i="11" s="1"/>
  <c r="AE124" i="11"/>
  <c r="L107" i="11"/>
  <c r="AB108" i="11"/>
  <c r="M38" i="11"/>
  <c r="AC39" i="11"/>
  <c r="N28" i="11"/>
  <c r="AD29" i="11"/>
  <c r="O107" i="11"/>
  <c r="AE108" i="11"/>
  <c r="N38" i="11"/>
  <c r="AD39" i="11"/>
  <c r="M28" i="11"/>
  <c r="AC29" i="11"/>
  <c r="O38" i="11"/>
  <c r="AE39" i="11"/>
  <c r="N107" i="11"/>
  <c r="N106" i="11" s="1"/>
  <c r="AD108" i="11"/>
  <c r="AB124" i="11"/>
  <c r="N117" i="11"/>
  <c r="AB44" i="11"/>
  <c r="O28" i="11"/>
  <c r="AE29" i="11"/>
  <c r="M25" i="11"/>
  <c r="AC26" i="11"/>
  <c r="X113" i="11"/>
  <c r="O32" i="11"/>
  <c r="AE33" i="11"/>
  <c r="AA107" i="11"/>
  <c r="AA108" i="11"/>
  <c r="O113" i="11"/>
  <c r="W117" i="11"/>
  <c r="Z18" i="11"/>
  <c r="M107" i="11"/>
  <c r="AC107" i="11" s="1"/>
  <c r="AC108" i="11"/>
  <c r="M113" i="11"/>
  <c r="N126" i="11"/>
  <c r="AD127" i="11"/>
  <c r="AB121" i="11"/>
  <c r="N113" i="11"/>
  <c r="AB39" i="11"/>
  <c r="K126" i="11"/>
  <c r="AA126" i="11" s="1"/>
  <c r="AA127" i="11"/>
  <c r="O25" i="11"/>
  <c r="AE26" i="11"/>
  <c r="AA99" i="11"/>
  <c r="H24" i="1"/>
  <c r="AB143" i="11"/>
  <c r="M126" i="11"/>
  <c r="M123" i="11" s="1"/>
  <c r="AC127" i="11"/>
  <c r="Z113" i="11"/>
  <c r="K18" i="11"/>
  <c r="M32" i="11"/>
  <c r="AC33" i="11"/>
  <c r="L117" i="11"/>
  <c r="L113" i="11"/>
  <c r="M43" i="11"/>
  <c r="AC44" i="11"/>
  <c r="AB127" i="11"/>
  <c r="K25" i="11"/>
  <c r="AA25" i="11" s="1"/>
  <c r="H26" i="1"/>
  <c r="K161" i="5"/>
  <c r="K162" i="5" s="1"/>
  <c r="AA93" i="11"/>
  <c r="N43" i="11"/>
  <c r="AD44" i="11"/>
  <c r="N18" i="11"/>
  <c r="AB47" i="11"/>
  <c r="L48" i="11"/>
  <c r="L54" i="11"/>
  <c r="O18" i="11"/>
  <c r="K38" i="11"/>
  <c r="K100" i="5" s="1"/>
  <c r="N32" i="11"/>
  <c r="AD33" i="11"/>
  <c r="L18" i="11"/>
  <c r="AC121" i="11"/>
  <c r="M18" i="11"/>
  <c r="AE121" i="11"/>
  <c r="O117" i="11"/>
  <c r="K113" i="11"/>
  <c r="O43" i="11"/>
  <c r="AE44" i="11"/>
  <c r="O126" i="11"/>
  <c r="AE127" i="11"/>
  <c r="N25" i="11"/>
  <c r="AD26" i="11"/>
  <c r="X117" i="11"/>
  <c r="K105" i="5"/>
  <c r="O25" i="5"/>
  <c r="K26" i="5"/>
  <c r="M78" i="11"/>
  <c r="M81" i="11"/>
  <c r="AC81" i="11" s="1"/>
  <c r="F82" i="5"/>
  <c r="AA164" i="11"/>
  <c r="M34" i="5"/>
  <c r="M33" i="5"/>
  <c r="N33" i="5"/>
  <c r="N29" i="5"/>
  <c r="N30" i="5"/>
  <c r="N34" i="5"/>
  <c r="M29" i="5"/>
  <c r="G62" i="5"/>
  <c r="G64" i="5" s="1"/>
  <c r="G171" i="11" s="1"/>
  <c r="G82" i="5"/>
  <c r="G35" i="8"/>
  <c r="H33" i="8"/>
  <c r="H35" i="8" s="1"/>
  <c r="G44" i="8"/>
  <c r="G60" i="8" s="1"/>
  <c r="H42" i="8"/>
  <c r="H44" i="8" s="1"/>
  <c r="G44" i="5"/>
  <c r="F44" i="5"/>
  <c r="H44" i="5"/>
  <c r="H49" i="5"/>
  <c r="H57" i="5" s="1"/>
  <c r="I44" i="5"/>
  <c r="I49" i="5"/>
  <c r="J44" i="5"/>
  <c r="G74" i="8"/>
  <c r="G75" i="8" s="1"/>
  <c r="H74" i="8"/>
  <c r="H75" i="8" s="1"/>
  <c r="F50" i="5"/>
  <c r="G45" i="5"/>
  <c r="H45" i="5"/>
  <c r="I45" i="5"/>
  <c r="M35" i="5" l="1"/>
  <c r="K94" i="5"/>
  <c r="K91" i="5"/>
  <c r="K92" i="5"/>
  <c r="AA117" i="11"/>
  <c r="AE107" i="11"/>
  <c r="M106" i="11"/>
  <c r="AD106" i="11" s="1"/>
  <c r="K156" i="5"/>
  <c r="M120" i="11"/>
  <c r="M120" i="5" s="1"/>
  <c r="AD126" i="11"/>
  <c r="K120" i="11"/>
  <c r="AA120" i="11" s="1"/>
  <c r="N120" i="11"/>
  <c r="N120" i="5" s="1"/>
  <c r="AA38" i="11"/>
  <c r="N123" i="11"/>
  <c r="N131" i="5" s="1"/>
  <c r="AE126" i="11"/>
  <c r="K123" i="11"/>
  <c r="AA123" i="11" s="1"/>
  <c r="L17" i="11"/>
  <c r="AB18" i="11"/>
  <c r="M131" i="5"/>
  <c r="L96" i="11"/>
  <c r="AB96" i="11" s="1"/>
  <c r="AB54" i="11"/>
  <c r="M115" i="11"/>
  <c r="L112" i="11"/>
  <c r="AB113" i="11"/>
  <c r="N112" i="11"/>
  <c r="AD113" i="11"/>
  <c r="M91" i="5"/>
  <c r="L90" i="11"/>
  <c r="AB90" i="11" s="1"/>
  <c r="AB48" i="11"/>
  <c r="O112" i="11"/>
  <c r="AE113" i="11"/>
  <c r="N92" i="5"/>
  <c r="AD28" i="11"/>
  <c r="N116" i="11"/>
  <c r="AD117" i="11"/>
  <c r="O105" i="5"/>
  <c r="AE43" i="11"/>
  <c r="N94" i="5"/>
  <c r="AD32" i="11"/>
  <c r="O94" i="5"/>
  <c r="AE32" i="11"/>
  <c r="N100" i="5"/>
  <c r="AD38" i="11"/>
  <c r="M100" i="5"/>
  <c r="L58" i="11"/>
  <c r="M92" i="5"/>
  <c r="K120" i="5"/>
  <c r="K17" i="11"/>
  <c r="AA18" i="11"/>
  <c r="O91" i="5"/>
  <c r="AE25" i="11"/>
  <c r="M112" i="11"/>
  <c r="AC113" i="11"/>
  <c r="O120" i="11"/>
  <c r="K112" i="11"/>
  <c r="AA113" i="11"/>
  <c r="N105" i="5"/>
  <c r="AD43" i="11"/>
  <c r="N91" i="5"/>
  <c r="AD25" i="11"/>
  <c r="M17" i="11"/>
  <c r="AC18" i="11"/>
  <c r="L116" i="11"/>
  <c r="AB116" i="11" s="1"/>
  <c r="AB117" i="11"/>
  <c r="O100" i="5"/>
  <c r="AE38" i="11"/>
  <c r="O92" i="5"/>
  <c r="AE28" i="11"/>
  <c r="M94" i="5"/>
  <c r="N17" i="11"/>
  <c r="AD18" i="11"/>
  <c r="O123" i="11"/>
  <c r="O116" i="11"/>
  <c r="AE117" i="11"/>
  <c r="O17" i="11"/>
  <c r="AE18" i="11"/>
  <c r="AC117" i="11"/>
  <c r="M105" i="5"/>
  <c r="AD107" i="11"/>
  <c r="K115" i="11"/>
  <c r="AA116" i="11"/>
  <c r="AB107" i="11"/>
  <c r="M92" i="11"/>
  <c r="AC92" i="11" s="1"/>
  <c r="AC78" i="11"/>
  <c r="O26" i="5"/>
  <c r="N35" i="5"/>
  <c r="N39" i="5" s="1"/>
  <c r="N41" i="5" s="1"/>
  <c r="N43" i="5" s="1"/>
  <c r="K20" i="1" s="1"/>
  <c r="I57" i="5"/>
  <c r="I82" i="5" s="1"/>
  <c r="K28" i="5"/>
  <c r="K34" i="5"/>
  <c r="K33" i="5"/>
  <c r="K106" i="11"/>
  <c r="AA106" i="11" s="1"/>
  <c r="G173" i="11"/>
  <c r="G174" i="11"/>
  <c r="M87" i="11"/>
  <c r="M98" i="11"/>
  <c r="AC98" i="11" s="1"/>
  <c r="M39" i="5"/>
  <c r="M41" i="5" s="1"/>
  <c r="M43" i="5" s="1"/>
  <c r="J20" i="1" s="1"/>
  <c r="K153" i="5"/>
  <c r="AA73" i="11"/>
  <c r="J62" i="5"/>
  <c r="J64" i="5" s="1"/>
  <c r="J171" i="11" s="1"/>
  <c r="J82" i="5"/>
  <c r="H46" i="8"/>
  <c r="H48" i="8" s="1"/>
  <c r="H60" i="8"/>
  <c r="H62" i="8" s="1"/>
  <c r="H64" i="8" s="1"/>
  <c r="H66" i="8" s="1"/>
  <c r="G62" i="8"/>
  <c r="G64" i="8" s="1"/>
  <c r="G66" i="8" s="1"/>
  <c r="G46" i="8"/>
  <c r="G48" i="8" s="1"/>
  <c r="H51" i="8"/>
  <c r="H53" i="8" s="1"/>
  <c r="H55" i="8" s="1"/>
  <c r="H57" i="8" s="1"/>
  <c r="H37" i="8"/>
  <c r="H39" i="8" s="1"/>
  <c r="G51" i="8"/>
  <c r="G53" i="8" s="1"/>
  <c r="G55" i="8" s="1"/>
  <c r="G57" i="8" s="1"/>
  <c r="G37" i="8"/>
  <c r="G39" i="8" s="1"/>
  <c r="H50" i="5"/>
  <c r="H82" i="5"/>
  <c r="J51" i="5"/>
  <c r="J50" i="5"/>
  <c r="F58" i="5"/>
  <c r="G50" i="5"/>
  <c r="I50" i="5"/>
  <c r="J58" i="5"/>
  <c r="G51" i="5"/>
  <c r="I51" i="5"/>
  <c r="H51" i="5"/>
  <c r="J59" i="5" l="1"/>
  <c r="AD123" i="11"/>
  <c r="K131" i="5"/>
  <c r="AD120" i="11"/>
  <c r="O156" i="5"/>
  <c r="N16" i="11"/>
  <c r="AD17" i="11"/>
  <c r="M111" i="11"/>
  <c r="AC112" i="11"/>
  <c r="O131" i="5"/>
  <c r="AE123" i="11"/>
  <c r="L101" i="5"/>
  <c r="AB58" i="11"/>
  <c r="M47" i="11"/>
  <c r="AA17" i="11"/>
  <c r="K16" i="11"/>
  <c r="K127" i="5"/>
  <c r="AA115" i="11"/>
  <c r="M16" i="11"/>
  <c r="AC17" i="11"/>
  <c r="K111" i="11"/>
  <c r="AA112" i="11"/>
  <c r="N156" i="5"/>
  <c r="N115" i="11"/>
  <c r="AD116" i="11"/>
  <c r="O111" i="11"/>
  <c r="AE112" i="11"/>
  <c r="AB112" i="11"/>
  <c r="AB17" i="11"/>
  <c r="O115" i="11"/>
  <c r="AE116" i="11"/>
  <c r="O120" i="5"/>
  <c r="AE120" i="11"/>
  <c r="AC116" i="11"/>
  <c r="N111" i="11"/>
  <c r="AD112" i="11"/>
  <c r="O16" i="11"/>
  <c r="AE17" i="11"/>
  <c r="M127" i="5"/>
  <c r="M103" i="5"/>
  <c r="AC87" i="11"/>
  <c r="K140" i="5"/>
  <c r="K168" i="5" s="1"/>
  <c r="AA167" i="11"/>
  <c r="K105" i="11"/>
  <c r="AA105" i="11" s="1"/>
  <c r="L163" i="11"/>
  <c r="AB163" i="11" s="1"/>
  <c r="K35" i="5"/>
  <c r="O28" i="5"/>
  <c r="O34" i="5"/>
  <c r="O106" i="11"/>
  <c r="AE106" i="11" s="1"/>
  <c r="O33" i="5"/>
  <c r="K30" i="5"/>
  <c r="K29" i="5"/>
  <c r="L61" i="11"/>
  <c r="K102" i="5"/>
  <c r="K108" i="5" s="1"/>
  <c r="K48" i="5"/>
  <c r="J173" i="11"/>
  <c r="J174" i="11"/>
  <c r="N76" i="11"/>
  <c r="M44" i="5"/>
  <c r="F62" i="5"/>
  <c r="F64" i="5" s="1"/>
  <c r="F171" i="11" s="1"/>
  <c r="H62" i="5"/>
  <c r="H64" i="5" s="1"/>
  <c r="H171" i="11" s="1"/>
  <c r="X171" i="11" s="1"/>
  <c r="H59" i="5"/>
  <c r="H58" i="5"/>
  <c r="I59" i="5"/>
  <c r="I58" i="5"/>
  <c r="I62" i="5"/>
  <c r="I64" i="5" s="1"/>
  <c r="I171" i="11" s="1"/>
  <c r="G59" i="5"/>
  <c r="G58" i="5"/>
  <c r="K157" i="5" l="1"/>
  <c r="AE16" i="11"/>
  <c r="O115" i="5"/>
  <c r="AE111" i="11"/>
  <c r="Y171" i="11"/>
  <c r="K115" i="5"/>
  <c r="AA111" i="11"/>
  <c r="K15" i="11"/>
  <c r="AA16" i="11"/>
  <c r="M115" i="5"/>
  <c r="AC47" i="11"/>
  <c r="M48" i="11"/>
  <c r="M54" i="11"/>
  <c r="AA174" i="11"/>
  <c r="AD16" i="11"/>
  <c r="N127" i="5"/>
  <c r="N157" i="5" s="1"/>
  <c r="AD115" i="11"/>
  <c r="V171" i="11"/>
  <c r="W171" i="11"/>
  <c r="O127" i="5"/>
  <c r="AE115" i="11"/>
  <c r="N115" i="5"/>
  <c r="AD111" i="11"/>
  <c r="Z171" i="11"/>
  <c r="N81" i="11"/>
  <c r="AD81" i="11" s="1"/>
  <c r="AD76" i="11"/>
  <c r="AB61" i="11"/>
  <c r="K39" i="5"/>
  <c r="K41" i="5" s="1"/>
  <c r="K43" i="5" s="1"/>
  <c r="H20" i="1" s="1"/>
  <c r="K113" i="5"/>
  <c r="O35" i="5"/>
  <c r="O30" i="5"/>
  <c r="O29" i="5"/>
  <c r="L68" i="11"/>
  <c r="AB68" i="11" s="1"/>
  <c r="L62" i="11"/>
  <c r="AB62" i="11" s="1"/>
  <c r="I173" i="11"/>
  <c r="Z173" i="11" s="1"/>
  <c r="I174" i="11"/>
  <c r="H173" i="11"/>
  <c r="X173" i="11" s="1"/>
  <c r="H174" i="11"/>
  <c r="X174" i="11" s="1"/>
  <c r="N44" i="5"/>
  <c r="N45" i="5"/>
  <c r="F173" i="11"/>
  <c r="F174" i="11"/>
  <c r="N78" i="11"/>
  <c r="AD78" i="11" s="1"/>
  <c r="E46" i="2"/>
  <c r="E15" i="2" s="1"/>
  <c r="E40" i="2"/>
  <c r="E14" i="2" s="1"/>
  <c r="E30" i="2"/>
  <c r="F110" i="5"/>
  <c r="I31" i="1"/>
  <c r="H32" i="1"/>
  <c r="K173" i="11" l="1"/>
  <c r="L73" i="11"/>
  <c r="M58" i="11"/>
  <c r="N47" i="11" s="1"/>
  <c r="Y173" i="11"/>
  <c r="Y174" i="11"/>
  <c r="Z174" i="11"/>
  <c r="O157" i="5"/>
  <c r="V173" i="11"/>
  <c r="W173" i="11"/>
  <c r="M90" i="11"/>
  <c r="AC90" i="11" s="1"/>
  <c r="AC48" i="11"/>
  <c r="V174" i="11"/>
  <c r="W174" i="11"/>
  <c r="AA15" i="11"/>
  <c r="L14" i="11"/>
  <c r="AB14" i="11" s="1"/>
  <c r="K88" i="5"/>
  <c r="K154" i="5" s="1"/>
  <c r="M96" i="11"/>
  <c r="AC96" i="11" s="1"/>
  <c r="AC54" i="11"/>
  <c r="K155" i="5"/>
  <c r="AA173" i="11"/>
  <c r="O39" i="5"/>
  <c r="L173" i="11"/>
  <c r="O173" i="11"/>
  <c r="N173" i="11"/>
  <c r="M173" i="11"/>
  <c r="N98" i="11"/>
  <c r="AD98" i="11" s="1"/>
  <c r="N92" i="11"/>
  <c r="AD92" i="11" s="1"/>
  <c r="E16" i="2"/>
  <c r="J135" i="5"/>
  <c r="F135" i="5"/>
  <c r="G110" i="5"/>
  <c r="H110" i="5"/>
  <c r="J110" i="5"/>
  <c r="I135" i="5"/>
  <c r="I110" i="5"/>
  <c r="H135" i="5"/>
  <c r="E23" i="2"/>
  <c r="H33" i="1"/>
  <c r="I32" i="1"/>
  <c r="I33" i="1" s="1"/>
  <c r="J31" i="1"/>
  <c r="AC58" i="11" l="1"/>
  <c r="M101" i="5"/>
  <c r="AB173" i="11"/>
  <c r="AD173" i="11"/>
  <c r="H25" i="1"/>
  <c r="AC173" i="11"/>
  <c r="AD47" i="11"/>
  <c r="N54" i="11"/>
  <c r="N58" i="11" s="1"/>
  <c r="N48" i="11"/>
  <c r="AE173" i="11"/>
  <c r="O41" i="5"/>
  <c r="N87" i="11"/>
  <c r="AD87" i="11" s="1"/>
  <c r="J137" i="5"/>
  <c r="J147" i="5" s="1"/>
  <c r="G137" i="5"/>
  <c r="G147" i="5" s="1"/>
  <c r="F137" i="5"/>
  <c r="F147" i="5" s="1"/>
  <c r="H137" i="5"/>
  <c r="H147" i="5" s="1"/>
  <c r="I137" i="5"/>
  <c r="I147" i="5" s="1"/>
  <c r="J32" i="1"/>
  <c r="J33" i="1" s="1"/>
  <c r="K31" i="1"/>
  <c r="N90" i="11" l="1"/>
  <c r="AD90" i="11" s="1"/>
  <c r="AD48" i="11"/>
  <c r="N101" i="5"/>
  <c r="AD58" i="11"/>
  <c r="O47" i="11"/>
  <c r="N96" i="11"/>
  <c r="AD96" i="11" s="1"/>
  <c r="AD54" i="11"/>
  <c r="K49" i="5"/>
  <c r="H21" i="1" s="1"/>
  <c r="H23" i="1" s="1"/>
  <c r="H28" i="1" s="1"/>
  <c r="K44" i="5"/>
  <c r="K45" i="5"/>
  <c r="O43" i="5"/>
  <c r="L20" i="1" s="1"/>
  <c r="O76" i="11"/>
  <c r="AE76" i="11" s="1"/>
  <c r="N103" i="5"/>
  <c r="K32" i="1"/>
  <c r="K33" i="1" s="1"/>
  <c r="L31" i="1"/>
  <c r="AE47" i="11" l="1"/>
  <c r="O54" i="11"/>
  <c r="O48" i="11"/>
  <c r="O58" i="11"/>
  <c r="K50" i="5"/>
  <c r="K51" i="5"/>
  <c r="O44" i="5"/>
  <c r="O45" i="5"/>
  <c r="O78" i="11"/>
  <c r="O81" i="11"/>
  <c r="L32" i="1"/>
  <c r="L33" i="1" s="1"/>
  <c r="O101" i="5" l="1"/>
  <c r="AE58" i="11"/>
  <c r="AE48" i="11"/>
  <c r="O90" i="11"/>
  <c r="AE90" i="11" s="1"/>
  <c r="O96" i="11"/>
  <c r="AE96" i="11" s="1"/>
  <c r="AE54" i="11"/>
  <c r="O98" i="11"/>
  <c r="AE98" i="11" s="1"/>
  <c r="AE81" i="11"/>
  <c r="O92" i="11"/>
  <c r="AE92" i="11" s="1"/>
  <c r="AE78" i="11"/>
  <c r="E15" i="1"/>
  <c r="O87" i="11"/>
  <c r="L104" i="11"/>
  <c r="AB104" i="11" s="1"/>
  <c r="O103" i="5" l="1"/>
  <c r="AE87" i="11"/>
  <c r="L126" i="11"/>
  <c r="L25" i="11"/>
  <c r="L43" i="11"/>
  <c r="L28" i="11"/>
  <c r="L38" i="11"/>
  <c r="L115" i="11"/>
  <c r="L111" i="11"/>
  <c r="L32" i="11"/>
  <c r="L25" i="5"/>
  <c r="L26" i="5" s="1"/>
  <c r="L28" i="5" s="1"/>
  <c r="L16" i="11"/>
  <c r="L100" i="5" l="1"/>
  <c r="AB38" i="11"/>
  <c r="AC38" i="11"/>
  <c r="L127" i="5"/>
  <c r="AB115" i="11"/>
  <c r="AC115" i="11"/>
  <c r="L92" i="5"/>
  <c r="AB28" i="11"/>
  <c r="AC28" i="11"/>
  <c r="L105" i="5"/>
  <c r="AB43" i="11"/>
  <c r="AC43" i="11"/>
  <c r="L15" i="11"/>
  <c r="M14" i="11" s="1"/>
  <c r="AB16" i="11"/>
  <c r="AC16" i="11"/>
  <c r="L91" i="5"/>
  <c r="AB25" i="11"/>
  <c r="AC25" i="11"/>
  <c r="AB126" i="11"/>
  <c r="AC126" i="11"/>
  <c r="L94" i="5"/>
  <c r="AB32" i="11"/>
  <c r="AC32" i="11"/>
  <c r="L115" i="5"/>
  <c r="AB111" i="11"/>
  <c r="AC111" i="11"/>
  <c r="L106" i="11"/>
  <c r="L123" i="11"/>
  <c r="L120" i="11"/>
  <c r="L91" i="11"/>
  <c r="L97" i="11"/>
  <c r="L29" i="5"/>
  <c r="L30" i="5"/>
  <c r="M30" i="5"/>
  <c r="L33" i="5"/>
  <c r="L34" i="5"/>
  <c r="L156" i="5" l="1"/>
  <c r="M156" i="5"/>
  <c r="L120" i="5"/>
  <c r="AB120" i="11"/>
  <c r="AC120" i="11"/>
  <c r="L88" i="5"/>
  <c r="L154" i="5" s="1"/>
  <c r="AB15" i="11"/>
  <c r="M15" i="11"/>
  <c r="AC14" i="11"/>
  <c r="L131" i="5"/>
  <c r="M157" i="5" s="1"/>
  <c r="AB123" i="11"/>
  <c r="AC123" i="11"/>
  <c r="AB106" i="11"/>
  <c r="AC106" i="11"/>
  <c r="L99" i="11"/>
  <c r="I24" i="1" s="1"/>
  <c r="AB97" i="11"/>
  <c r="L93" i="11"/>
  <c r="AB91" i="11"/>
  <c r="L35" i="5"/>
  <c r="L39" i="5" s="1"/>
  <c r="L41" i="5" s="1"/>
  <c r="M88" i="5" l="1"/>
  <c r="M154" i="5" s="1"/>
  <c r="AC15" i="11"/>
  <c r="N14" i="11"/>
  <c r="L157" i="5"/>
  <c r="AB93" i="11"/>
  <c r="I26" i="1"/>
  <c r="L48" i="5"/>
  <c r="L164" i="11"/>
  <c r="AB164" i="11" s="1"/>
  <c r="L161" i="5"/>
  <c r="L162" i="5" s="1"/>
  <c r="L102" i="5"/>
  <c r="L108" i="5" s="1"/>
  <c r="AB73" i="11"/>
  <c r="L153" i="5"/>
  <c r="AB99" i="11"/>
  <c r="L43" i="5"/>
  <c r="I20" i="1" s="1"/>
  <c r="M61" i="11"/>
  <c r="L49" i="5" l="1"/>
  <c r="I21" i="1" s="1"/>
  <c r="L167" i="11"/>
  <c r="M163" i="11" s="1"/>
  <c r="AC163" i="11" s="1"/>
  <c r="N15" i="11"/>
  <c r="AD14" i="11"/>
  <c r="M68" i="11"/>
  <c r="AC68" i="11" s="1"/>
  <c r="AC61" i="11"/>
  <c r="M45" i="5"/>
  <c r="L44" i="5"/>
  <c r="L45" i="5"/>
  <c r="M62" i="11"/>
  <c r="AC62" i="11" s="1"/>
  <c r="L51" i="5" l="1"/>
  <c r="AB167" i="11"/>
  <c r="L140" i="5"/>
  <c r="L168" i="5" s="1"/>
  <c r="N88" i="5"/>
  <c r="N154" i="5" s="1"/>
  <c r="AD15" i="11"/>
  <c r="O14" i="11"/>
  <c r="M73" i="11"/>
  <c r="L50" i="5"/>
  <c r="I23" i="1"/>
  <c r="M91" i="11"/>
  <c r="O15" i="11" l="1"/>
  <c r="AE14" i="11"/>
  <c r="M93" i="11"/>
  <c r="M164" i="11" s="1"/>
  <c r="AC91" i="11"/>
  <c r="M97" i="11"/>
  <c r="M161" i="5" l="1"/>
  <c r="M162" i="5" s="1"/>
  <c r="AC93" i="11"/>
  <c r="J26" i="1"/>
  <c r="O88" i="5"/>
  <c r="O154" i="5" s="1"/>
  <c r="AE15" i="11"/>
  <c r="M102" i="5"/>
  <c r="M108" i="5" s="1"/>
  <c r="AC73" i="11"/>
  <c r="M99" i="11"/>
  <c r="J24" i="1" s="1"/>
  <c r="AC97" i="11"/>
  <c r="M167" i="11"/>
  <c r="N163" i="11" s="1"/>
  <c r="AD163" i="11" s="1"/>
  <c r="AC164" i="11"/>
  <c r="N61" i="11"/>
  <c r="M48" i="5" l="1"/>
  <c r="M49" i="5" s="1"/>
  <c r="J21" i="1" s="1"/>
  <c r="N68" i="11"/>
  <c r="AD68" i="11" s="1"/>
  <c r="AD61" i="11"/>
  <c r="M140" i="5"/>
  <c r="M168" i="5" s="1"/>
  <c r="AC167" i="11"/>
  <c r="M153" i="5"/>
  <c r="AC99" i="11"/>
  <c r="N62" i="11"/>
  <c r="AD62" i="11" s="1"/>
  <c r="N73" i="11" l="1"/>
  <c r="M51" i="5"/>
  <c r="M50" i="5"/>
  <c r="J23" i="1"/>
  <c r="N91" i="11"/>
  <c r="N97" i="11"/>
  <c r="N99" i="11" l="1"/>
  <c r="K24" i="1" s="1"/>
  <c r="AD97" i="11"/>
  <c r="N93" i="11"/>
  <c r="N164" i="11" s="1"/>
  <c r="AD91" i="11"/>
  <c r="AD93" i="11" l="1"/>
  <c r="K26" i="1"/>
  <c r="N48" i="5"/>
  <c r="N49" i="5" s="1"/>
  <c r="N161" i="5"/>
  <c r="N162" i="5" s="1"/>
  <c r="N102" i="5"/>
  <c r="N108" i="5" s="1"/>
  <c r="AD73" i="11"/>
  <c r="N167" i="11"/>
  <c r="O163" i="11" s="1"/>
  <c r="AE163" i="11" s="1"/>
  <c r="AD164" i="11"/>
  <c r="N153" i="5"/>
  <c r="AD99" i="11"/>
  <c r="O61" i="11"/>
  <c r="N50" i="5" l="1"/>
  <c r="K21" i="1"/>
  <c r="K23" i="1" s="1"/>
  <c r="O68" i="11"/>
  <c r="AE68" i="11" s="1"/>
  <c r="AE61" i="11"/>
  <c r="N140" i="5"/>
  <c r="N168" i="5" s="1"/>
  <c r="AD167" i="11"/>
  <c r="N51" i="5"/>
  <c r="O62" i="11"/>
  <c r="AE62" i="11" s="1"/>
  <c r="O73" i="11" l="1"/>
  <c r="O91" i="11"/>
  <c r="O93" i="11" l="1"/>
  <c r="AE91" i="11"/>
  <c r="O97" i="11"/>
  <c r="AE73" i="11"/>
  <c r="AE93" i="11" l="1"/>
  <c r="L26" i="1"/>
  <c r="O164" i="11"/>
  <c r="O167" i="11" s="1"/>
  <c r="O161" i="5"/>
  <c r="O162" i="5" s="1"/>
  <c r="O99" i="11"/>
  <c r="L24" i="1" s="1"/>
  <c r="AE97" i="11"/>
  <c r="O102" i="5"/>
  <c r="AE164" i="11" l="1"/>
  <c r="O153" i="5"/>
  <c r="AE99" i="11"/>
  <c r="O48" i="5"/>
  <c r="O49" i="5" s="1"/>
  <c r="L21" i="1" s="1"/>
  <c r="O140" i="5"/>
  <c r="O168" i="5" s="1"/>
  <c r="AE167" i="11"/>
  <c r="O108" i="5"/>
  <c r="O50" i="5" l="1"/>
  <c r="O51" i="5"/>
  <c r="L23" i="1"/>
  <c r="L105" i="11"/>
  <c r="AB105" i="11" s="1"/>
  <c r="L113" i="5" l="1"/>
  <c r="M104" i="11"/>
  <c r="AC104" i="11" s="1"/>
  <c r="M105" i="11" l="1"/>
  <c r="AC105" i="11" s="1"/>
  <c r="L155" i="5"/>
  <c r="M113" i="5" l="1"/>
  <c r="M155" i="5" s="1"/>
  <c r="I25" i="1"/>
  <c r="I28" i="1" s="1"/>
  <c r="N104" i="11"/>
  <c r="AD104" i="11" s="1"/>
  <c r="J25" i="1" l="1"/>
  <c r="J28" i="1" s="1"/>
  <c r="N105" i="11"/>
  <c r="AD105" i="11" s="1"/>
  <c r="N113" i="5" l="1"/>
  <c r="O104" i="11"/>
  <c r="AE104" i="11" s="1"/>
  <c r="O105" i="11" l="1"/>
  <c r="AE105" i="11" s="1"/>
  <c r="N155" i="5"/>
  <c r="K25" i="1" l="1"/>
  <c r="K28" i="1" s="1"/>
  <c r="O113" i="5"/>
  <c r="O155" i="5" l="1"/>
  <c r="L25" i="1" l="1"/>
  <c r="L28" i="1" s="1"/>
  <c r="E39" i="1" s="1"/>
  <c r="H41" i="1" l="1"/>
  <c r="H42" i="1"/>
  <c r="H44" i="1"/>
  <c r="H45" i="1"/>
  <c r="E8" i="1"/>
  <c r="H35" i="1"/>
  <c r="I35" i="1"/>
  <c r="J35" i="1"/>
  <c r="K35" i="1"/>
  <c r="L35" i="1"/>
  <c r="E40" i="1"/>
  <c r="H40" i="1"/>
  <c r="E41" i="1"/>
  <c r="E42" i="1"/>
  <c r="E43" i="1"/>
  <c r="E48" i="1"/>
  <c r="E51" i="1"/>
  <c r="E52" i="1"/>
  <c r="K54" i="5"/>
  <c r="L54" i="5"/>
  <c r="M54" i="5"/>
  <c r="N54" i="5"/>
  <c r="O54" i="5"/>
  <c r="K57" i="5"/>
  <c r="L57" i="5"/>
  <c r="M57" i="5"/>
  <c r="N57" i="5"/>
  <c r="O57" i="5"/>
  <c r="K58" i="5"/>
  <c r="L58" i="5"/>
  <c r="M58" i="5"/>
  <c r="N58" i="5"/>
  <c r="O58" i="5"/>
  <c r="K59" i="5"/>
  <c r="L59" i="5"/>
  <c r="M59" i="5"/>
  <c r="N59" i="5"/>
  <c r="O59" i="5"/>
  <c r="K61" i="5"/>
  <c r="L61" i="5"/>
  <c r="M61" i="5"/>
  <c r="N61" i="5"/>
  <c r="O61" i="5"/>
  <c r="K62" i="5"/>
  <c r="L62" i="5"/>
  <c r="M62" i="5"/>
  <c r="N62" i="5"/>
  <c r="O62" i="5"/>
  <c r="K64" i="5"/>
  <c r="L64" i="5"/>
  <c r="M64" i="5"/>
  <c r="N64" i="5"/>
  <c r="O64" i="5"/>
  <c r="K87" i="5"/>
  <c r="L87" i="5"/>
  <c r="M87" i="5"/>
  <c r="N87" i="5"/>
  <c r="O87" i="5"/>
  <c r="K96" i="5"/>
  <c r="L96" i="5"/>
  <c r="M96" i="5"/>
  <c r="N96" i="5"/>
  <c r="O96" i="5"/>
  <c r="K110" i="5"/>
  <c r="L110" i="5"/>
  <c r="M110" i="5"/>
  <c r="N110" i="5"/>
  <c r="O110" i="5"/>
  <c r="K119" i="5"/>
  <c r="L119" i="5"/>
  <c r="M119" i="5"/>
  <c r="N119" i="5"/>
  <c r="O119" i="5"/>
  <c r="K122" i="5"/>
  <c r="L122" i="5"/>
  <c r="M122" i="5"/>
  <c r="N122" i="5"/>
  <c r="O122" i="5"/>
  <c r="K126" i="5"/>
  <c r="L126" i="5"/>
  <c r="M126" i="5"/>
  <c r="N126" i="5"/>
  <c r="O126" i="5"/>
  <c r="K130" i="5"/>
  <c r="L130" i="5"/>
  <c r="M130" i="5"/>
  <c r="N130" i="5"/>
  <c r="O130" i="5"/>
  <c r="K133" i="5"/>
  <c r="L133" i="5"/>
  <c r="M133" i="5"/>
  <c r="N133" i="5"/>
  <c r="O133" i="5"/>
  <c r="K135" i="5"/>
  <c r="L135" i="5"/>
  <c r="M135" i="5"/>
  <c r="N135" i="5"/>
  <c r="O135" i="5"/>
  <c r="K137" i="5"/>
  <c r="L137" i="5"/>
  <c r="M137" i="5"/>
  <c r="N137" i="5"/>
  <c r="O137" i="5"/>
  <c r="K141" i="5"/>
  <c r="L141" i="5"/>
  <c r="M141" i="5"/>
  <c r="N141" i="5"/>
  <c r="O141" i="5"/>
  <c r="K145" i="5"/>
  <c r="L145" i="5"/>
  <c r="M145" i="5"/>
  <c r="N145" i="5"/>
  <c r="O145" i="5"/>
  <c r="K147" i="5"/>
  <c r="L147" i="5"/>
  <c r="M147" i="5"/>
  <c r="N147" i="5"/>
  <c r="O147" i="5"/>
  <c r="K152" i="5"/>
  <c r="L152" i="5"/>
  <c r="M152" i="5"/>
  <c r="N152" i="5"/>
  <c r="O152" i="5"/>
  <c r="K158" i="5"/>
  <c r="L158" i="5"/>
  <c r="M158" i="5"/>
  <c r="N158" i="5"/>
  <c r="O158" i="5"/>
  <c r="K165" i="5"/>
  <c r="L165" i="5"/>
  <c r="M165" i="5"/>
  <c r="N165" i="5"/>
  <c r="O165" i="5"/>
  <c r="K166" i="5"/>
  <c r="L166" i="5"/>
  <c r="M166" i="5"/>
  <c r="N166" i="5"/>
  <c r="O166" i="5"/>
  <c r="K167" i="5"/>
  <c r="L167" i="5"/>
  <c r="M167" i="5"/>
  <c r="N167" i="5"/>
  <c r="O167" i="5"/>
  <c r="K169" i="5"/>
  <c r="L169" i="5"/>
  <c r="M169" i="5"/>
  <c r="N169" i="5"/>
  <c r="O169" i="5"/>
  <c r="K171" i="5"/>
  <c r="L171" i="5"/>
  <c r="M171" i="5"/>
  <c r="N171" i="5"/>
  <c r="O171" i="5"/>
  <c r="L172" i="5"/>
  <c r="M172" i="5"/>
  <c r="N172" i="5"/>
  <c r="O172" i="5"/>
  <c r="K173" i="5"/>
  <c r="L173" i="5"/>
  <c r="M173" i="5"/>
  <c r="N173" i="5"/>
  <c r="O173" i="5"/>
  <c r="F10" i="8"/>
  <c r="F11" i="8"/>
  <c r="F12" i="8"/>
  <c r="V13" i="11"/>
  <c r="K131" i="11"/>
  <c r="L131" i="11"/>
  <c r="M131" i="11"/>
  <c r="N131" i="11"/>
  <c r="O131" i="11"/>
  <c r="AA131" i="11"/>
  <c r="AB131" i="11"/>
  <c r="AC131" i="11"/>
  <c r="AD131" i="11"/>
  <c r="AE131" i="11"/>
  <c r="K132" i="11"/>
  <c r="L132" i="11"/>
  <c r="M132" i="11"/>
  <c r="N132" i="11"/>
  <c r="O132" i="11"/>
  <c r="AA132" i="11"/>
  <c r="AB132" i="11"/>
  <c r="AC132" i="11"/>
  <c r="AD132" i="11"/>
  <c r="AE132" i="11"/>
  <c r="K133" i="11"/>
  <c r="L133" i="11"/>
  <c r="M133" i="11"/>
  <c r="N133" i="11"/>
  <c r="O133" i="11"/>
  <c r="AA133" i="11"/>
  <c r="AB133" i="11"/>
  <c r="AC133" i="11"/>
  <c r="AD133" i="11"/>
  <c r="AE133" i="11"/>
  <c r="K135" i="11"/>
  <c r="L135" i="11"/>
  <c r="M135" i="11"/>
  <c r="N135" i="11"/>
  <c r="O135" i="11"/>
  <c r="AA135" i="11"/>
  <c r="AB135" i="11"/>
  <c r="AC135" i="11"/>
  <c r="AD135" i="11"/>
  <c r="AE135" i="11"/>
  <c r="K142" i="11"/>
  <c r="L142" i="11"/>
  <c r="M142" i="11"/>
  <c r="N142" i="11"/>
  <c r="O142" i="11"/>
  <c r="AA142" i="11"/>
  <c r="AB142" i="11"/>
  <c r="AC142" i="11"/>
  <c r="AD142" i="11"/>
  <c r="AE142" i="11"/>
  <c r="K144" i="11"/>
  <c r="L144" i="11"/>
  <c r="M144" i="11"/>
  <c r="N144" i="11"/>
  <c r="O144" i="11"/>
  <c r="AA144" i="11"/>
  <c r="AB144" i="11"/>
  <c r="AC144" i="11"/>
  <c r="AD144" i="11"/>
  <c r="AE144" i="11"/>
  <c r="K146" i="11"/>
  <c r="L146" i="11"/>
  <c r="M146" i="11"/>
  <c r="N146" i="11"/>
  <c r="O146" i="11"/>
  <c r="AA146" i="11"/>
  <c r="AB146" i="11"/>
  <c r="AC146" i="11"/>
  <c r="AD146" i="11"/>
  <c r="AE146" i="11"/>
  <c r="K147" i="11"/>
  <c r="L147" i="11"/>
  <c r="M147" i="11"/>
  <c r="N147" i="11"/>
  <c r="O147" i="11"/>
  <c r="AA147" i="11"/>
  <c r="AB147" i="11"/>
  <c r="AC147" i="11"/>
  <c r="AD147" i="11"/>
  <c r="AE147" i="11"/>
  <c r="K150" i="11"/>
  <c r="L150" i="11"/>
  <c r="M150" i="11"/>
  <c r="N150" i="11"/>
  <c r="O150" i="11"/>
  <c r="AA150" i="11"/>
  <c r="AB150" i="11"/>
  <c r="AC150" i="11"/>
  <c r="AD150" i="11"/>
  <c r="AE150" i="11"/>
  <c r="K153" i="11"/>
  <c r="L153" i="11"/>
  <c r="M153" i="11"/>
  <c r="N153" i="11"/>
  <c r="O153" i="11"/>
  <c r="AA153" i="11"/>
  <c r="AB153" i="11"/>
  <c r="AC153" i="11"/>
  <c r="AD153" i="11"/>
  <c r="AE153" i="11"/>
  <c r="K156" i="11"/>
  <c r="L156" i="11"/>
  <c r="M156" i="11"/>
  <c r="N156" i="11"/>
  <c r="O156" i="11"/>
  <c r="AA156" i="11"/>
  <c r="AB156" i="11"/>
  <c r="AC156" i="11"/>
  <c r="AD156" i="11"/>
  <c r="AE156" i="11"/>
  <c r="K157" i="11"/>
  <c r="L157" i="11"/>
  <c r="M157" i="11"/>
  <c r="N157" i="11"/>
  <c r="O157" i="11"/>
  <c r="AA157" i="11"/>
  <c r="AB157" i="11"/>
  <c r="AC157" i="11"/>
  <c r="AD157" i="11"/>
  <c r="AE157" i="11"/>
  <c r="K158" i="11"/>
  <c r="L158" i="11"/>
  <c r="M158" i="11"/>
  <c r="N158" i="11"/>
  <c r="O158" i="11"/>
  <c r="AA158" i="11"/>
  <c r="AB158" i="11"/>
  <c r="AC158" i="11"/>
  <c r="AD158" i="11"/>
  <c r="AE158" i="11"/>
  <c r="L170" i="11"/>
  <c r="M170" i="11"/>
  <c r="N170" i="11"/>
  <c r="O170" i="11"/>
  <c r="AB170" i="11"/>
  <c r="AC170" i="11"/>
  <c r="AD170" i="11"/>
  <c r="AE170" i="11"/>
  <c r="K171" i="11"/>
  <c r="L171" i="11"/>
  <c r="M171" i="11"/>
  <c r="N171" i="11"/>
  <c r="O171" i="11"/>
  <c r="AA171" i="11"/>
  <c r="AB171" i="11"/>
  <c r="AC171" i="11"/>
  <c r="AD171" i="11"/>
  <c r="AE171" i="11"/>
  <c r="K172" i="11"/>
  <c r="L172" i="11"/>
  <c r="M172" i="11"/>
  <c r="N172" i="11"/>
  <c r="O172" i="11"/>
  <c r="AA172" i="11"/>
  <c r="AB172" i="11"/>
  <c r="AC172" i="11"/>
  <c r="AD172" i="11"/>
  <c r="AE172" i="11"/>
  <c r="K176" i="11"/>
  <c r="L176" i="11"/>
  <c r="M176" i="11"/>
  <c r="N176" i="11"/>
  <c r="O176" i="11"/>
  <c r="AA176" i="11"/>
  <c r="AB176" i="11"/>
  <c r="AC176" i="11"/>
  <c r="AD176" i="11"/>
  <c r="AE176" i="11"/>
  <c r="E9" i="2"/>
  <c r="E11" i="2"/>
  <c r="E3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85" authorId="0" shapeId="0" xr:uid="{B4B56DBF-E653-FD4A-8C4C-2A3B8AE417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can't find more information in the annual reports about these adjustments</t>
        </r>
      </text>
    </comment>
    <comment ref="D150" authorId="0" shapeId="0" xr:uid="{975FB1FE-E647-D341-BDE6-238E415BD3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expenses under finance costs, 
</t>
        </r>
        <r>
          <rPr>
            <sz val="10"/>
            <color rgb="FF000000"/>
            <rFont val="Tahoma"/>
            <family val="2"/>
          </rPr>
          <t>not sure if this is the right one</t>
        </r>
      </text>
    </comment>
    <comment ref="D169" authorId="0" shapeId="0" xr:uid="{D81CB38E-CEFE-8546-A5E2-544F62B245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used the updated net income values from fy24 but dividends from each year's annual report. then used the adjustment to account for any differences wrt the balance sheet - ??</t>
        </r>
      </text>
    </comment>
    <comment ref="D174" authorId="0" shapeId="0" xr:uid="{0C7F3E2C-A56D-6548-A411-15A3A9FD8D3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due to the change in accounting method that recognises a different retained earnings in the 2024 annual</t>
        </r>
      </text>
    </comment>
  </commentList>
</comments>
</file>

<file path=xl/sharedStrings.xml><?xml version="1.0" encoding="utf-8"?>
<sst xmlns="http://schemas.openxmlformats.org/spreadsheetml/2006/main" count="630" uniqueCount="383">
  <si>
    <t>NIB Holdings Ltd: NHF</t>
  </si>
  <si>
    <t>Historical Data</t>
  </si>
  <si>
    <t>Forecast Stage 1</t>
  </si>
  <si>
    <t>Year</t>
  </si>
  <si>
    <t>FY20A</t>
  </si>
  <si>
    <t>FY21A</t>
  </si>
  <si>
    <t>FY22A</t>
  </si>
  <si>
    <t>FY23A</t>
  </si>
  <si>
    <t>FY24A</t>
  </si>
  <si>
    <t>FY25E</t>
  </si>
  <si>
    <t>FY26E</t>
  </si>
  <si>
    <t>FY27E</t>
  </si>
  <si>
    <t>FY28E</t>
  </si>
  <si>
    <t>FY29E</t>
  </si>
  <si>
    <t>Notes</t>
  </si>
  <si>
    <t>Fiscal Year End Date</t>
  </si>
  <si>
    <t>$ AUD in millions, except per share items</t>
  </si>
  <si>
    <t>x</t>
  </si>
  <si>
    <t>Financial Statement</t>
  </si>
  <si>
    <t>Valuation Date</t>
  </si>
  <si>
    <t>Days in a Year</t>
  </si>
  <si>
    <t>Share Price</t>
  </si>
  <si>
    <t>Shares Outstanding</t>
  </si>
  <si>
    <t>Terminal Growth Rate</t>
  </si>
  <si>
    <t>Circuit Breaker</t>
  </si>
  <si>
    <t>On</t>
  </si>
  <si>
    <t>Tax Rate</t>
  </si>
  <si>
    <t>Income Statement</t>
  </si>
  <si>
    <t>Revenue</t>
  </si>
  <si>
    <t>Insurance Revenue</t>
  </si>
  <si>
    <t>forecasts from capIQ</t>
  </si>
  <si>
    <t>Other Underwriting Revenue</t>
  </si>
  <si>
    <t>straight line</t>
  </si>
  <si>
    <t>Total Revenue</t>
  </si>
  <si>
    <t>Cost of Goods Sold</t>
  </si>
  <si>
    <t>Insurance Service Costs - Incurred Claims</t>
  </si>
  <si>
    <t>% of revenue</t>
  </si>
  <si>
    <t>Total Cost of Goods Sold</t>
  </si>
  <si>
    <t>`</t>
  </si>
  <si>
    <t>Gross Profit</t>
  </si>
  <si>
    <t>Gross Margin</t>
  </si>
  <si>
    <t>%</t>
  </si>
  <si>
    <t>Gross Profit Growth</t>
  </si>
  <si>
    <t>Operating Expenses</t>
  </si>
  <si>
    <t>Net Reinsurance Costs</t>
  </si>
  <si>
    <t>% of cogs</t>
  </si>
  <si>
    <t>Insurance Service Costs - Other Service Expenses</t>
  </si>
  <si>
    <t>Total Operating Expenses</t>
  </si>
  <si>
    <t>Other Operating Income (Expenses)</t>
  </si>
  <si>
    <t>Other Income</t>
  </si>
  <si>
    <t>straight line ?</t>
  </si>
  <si>
    <t>Other Expenses</t>
  </si>
  <si>
    <t>% of operating expenses?</t>
  </si>
  <si>
    <t>Share of Net Profit/(Loss) of Associates and Joint Ventures</t>
  </si>
  <si>
    <t>Net Other Income (Expenses)</t>
  </si>
  <si>
    <t>EBITDA</t>
  </si>
  <si>
    <t>EBITDA Margin</t>
  </si>
  <si>
    <t>EBITDA Growth</t>
  </si>
  <si>
    <t>One off Transactions, M&amp;A and New Business Implementation Costs</t>
  </si>
  <si>
    <t>bc it's not rly tied to anything ?</t>
  </si>
  <si>
    <t>Depreciation and Amortisation</t>
  </si>
  <si>
    <t>D&amp;A Schedule</t>
  </si>
  <si>
    <t>EBIT</t>
  </si>
  <si>
    <t>EBIT Margin</t>
  </si>
  <si>
    <t>EBIT Growth</t>
  </si>
  <si>
    <t>Finance Income</t>
  </si>
  <si>
    <t>I think the finance income is linked to finance lease receivables?</t>
  </si>
  <si>
    <t>Finance Costs</t>
  </si>
  <si>
    <t>financing schedule</t>
  </si>
  <si>
    <t>Investment Income</t>
  </si>
  <si>
    <t>on financial assets</t>
  </si>
  <si>
    <t>Investment Expenses</t>
  </si>
  <si>
    <t>??</t>
  </si>
  <si>
    <t>EBT</t>
  </si>
  <si>
    <t>EBT Margin</t>
  </si>
  <si>
    <t>EBT Growth</t>
  </si>
  <si>
    <t>Income tax expense/(benefit)</t>
  </si>
  <si>
    <t>apply 30% tax</t>
  </si>
  <si>
    <t>NPAT from Continuing Operations</t>
  </si>
  <si>
    <t>Profit/(Loss) from Discontinued Operations</t>
  </si>
  <si>
    <t>straight line at zero</t>
  </si>
  <si>
    <t>NPAT</t>
  </si>
  <si>
    <t>EPS</t>
  </si>
  <si>
    <t>Basic EPS</t>
  </si>
  <si>
    <t>cents</t>
  </si>
  <si>
    <t>Diluted EPS</t>
  </si>
  <si>
    <t>Key Drivers and Metrics</t>
  </si>
  <si>
    <t>Income Statement Items</t>
  </si>
  <si>
    <t>Revenue Growth - CapIQ</t>
  </si>
  <si>
    <t>COGS % Revenue</t>
  </si>
  <si>
    <t>5 Yr Average</t>
  </si>
  <si>
    <t>Net Reinsurance Costs % COGS</t>
  </si>
  <si>
    <t>Other Services % COGS</t>
  </si>
  <si>
    <t>Other Operating Expenses % OPEX</t>
  </si>
  <si>
    <t>Effective Tax Rate</t>
  </si>
  <si>
    <t>Balance Sheet</t>
  </si>
  <si>
    <t>Current Assets</t>
  </si>
  <si>
    <t>Cash and cash equivalents</t>
  </si>
  <si>
    <t>Receivables</t>
  </si>
  <si>
    <t>receivables schedule</t>
  </si>
  <si>
    <t>Financial Assets at Amortised Cost</t>
  </si>
  <si>
    <t>straight line?</t>
  </si>
  <si>
    <t>Financial Assets at Fair Value through P/L</t>
  </si>
  <si>
    <t>Insurance Contracts Assets</t>
  </si>
  <si>
    <t>contract asset schedule</t>
  </si>
  <si>
    <t>Reinsurance Contracts Assets</t>
  </si>
  <si>
    <t>Current Tax Assets</t>
  </si>
  <si>
    <t>Finance Lease Receivable</t>
  </si>
  <si>
    <t>finance receivables schedule</t>
  </si>
  <si>
    <t>Deferred Acquisition Costs</t>
  </si>
  <si>
    <t>Total Current Assets</t>
  </si>
  <si>
    <t>Non-Current Assets</t>
  </si>
  <si>
    <t>Investments Accounted for Using the Equity Method</t>
  </si>
  <si>
    <t>Insurance Contract Assets</t>
  </si>
  <si>
    <t>contract asset scheduke</t>
  </si>
  <si>
    <t>Property, Plant and Equipment (PP&amp;E)</t>
  </si>
  <si>
    <t>ppe schedule</t>
  </si>
  <si>
    <t>Intangible Assets</t>
  </si>
  <si>
    <t>intangible assets schedule</t>
  </si>
  <si>
    <t>Right-of-Use Assets</t>
  </si>
  <si>
    <t>right of use schedule</t>
  </si>
  <si>
    <t>finance lease schedule</t>
  </si>
  <si>
    <t>Deferred Tax Assets</t>
  </si>
  <si>
    <t>Deferred Acqusition Costs</t>
  </si>
  <si>
    <t>Total Non-Current Assets</t>
  </si>
  <si>
    <t>Total Assets</t>
  </si>
  <si>
    <t>Current Liabilities</t>
  </si>
  <si>
    <t>Payables</t>
  </si>
  <si>
    <t>payables schedule</t>
  </si>
  <si>
    <t>Borrowings</t>
  </si>
  <si>
    <t>Insurance Contracts Liabilities</t>
  </si>
  <si>
    <t>insurance contract schedule</t>
  </si>
  <si>
    <t>Claims Liabilities</t>
  </si>
  <si>
    <t>Unearned Premium Liability</t>
  </si>
  <si>
    <t>Premium Payback Liability</t>
  </si>
  <si>
    <t>Lease Liabilities</t>
  </si>
  <si>
    <t>debt schedule</t>
  </si>
  <si>
    <t>Provision for Employee Entitlements</t>
  </si>
  <si>
    <t>provisions schedule</t>
  </si>
  <si>
    <t>Deferred Tax Liabilities</t>
  </si>
  <si>
    <t>Total Current Liabilities</t>
  </si>
  <si>
    <t>Non-Current Liabilities</t>
  </si>
  <si>
    <t>Provisions for Employee Entitlements</t>
  </si>
  <si>
    <t>Total Non-Current Liabilities</t>
  </si>
  <si>
    <t>Total Liabilities</t>
  </si>
  <si>
    <t>Net Assets</t>
  </si>
  <si>
    <t>Equity</t>
  </si>
  <si>
    <t>Contributed Equity</t>
  </si>
  <si>
    <t>contributed equity schedule</t>
  </si>
  <si>
    <t>Retained Profits</t>
  </si>
  <si>
    <t>retained profits schedule</t>
  </si>
  <si>
    <t>Reserves</t>
  </si>
  <si>
    <t>Charitable Foundation</t>
  </si>
  <si>
    <t>Non-controlling Interests</t>
  </si>
  <si>
    <t>Total Equity</t>
  </si>
  <si>
    <t>Balance Check</t>
  </si>
  <si>
    <t>Cash Flow Statement</t>
  </si>
  <si>
    <t>Cash Flows From Operating Activities</t>
  </si>
  <si>
    <t>Net Income</t>
  </si>
  <si>
    <t>Add: Depreciation and Amortisation</t>
  </si>
  <si>
    <t>Decreases / (Increases) in Working Capital Assets</t>
  </si>
  <si>
    <t>Increases / (Decreases) in Working Capital Liabilities</t>
  </si>
  <si>
    <t>Decreases / (Increases) in Non Current Assets</t>
  </si>
  <si>
    <t>Increases / (Decreases) in Non Current Liabilities</t>
  </si>
  <si>
    <t>Net Cash Flows from Operating Activities</t>
  </si>
  <si>
    <t>Cash Flows From Investing Activities</t>
  </si>
  <si>
    <t>Capital Expenditures</t>
  </si>
  <si>
    <t>Net Cash Flows from Investing Activities</t>
  </si>
  <si>
    <t>Cash Flows From Financing Activities</t>
  </si>
  <si>
    <t>Change in Long Term Debt</t>
  </si>
  <si>
    <t>Change in Lease Liabilities</t>
  </si>
  <si>
    <t>Dividends Paid</t>
  </si>
  <si>
    <t>Change in Contributed Equity</t>
  </si>
  <si>
    <t>Net Cash Flows from Financing Activities</t>
  </si>
  <si>
    <t>Net Change in Cash During Period</t>
  </si>
  <si>
    <t>Net Cash and Cash Equivalent at BOP</t>
  </si>
  <si>
    <t>Net Cash and Cash Equivalent at EOP</t>
  </si>
  <si>
    <t>Minor Assumptions</t>
  </si>
  <si>
    <t>Days in Year</t>
  </si>
  <si>
    <t>Balance Sheet Forecasting Schedules</t>
  </si>
  <si>
    <t>Beginning Balance</t>
  </si>
  <si>
    <t>Ending Balance</t>
  </si>
  <si>
    <t>Assume constant DSO, forecast on three year average DSO</t>
  </si>
  <si>
    <t>Average</t>
  </si>
  <si>
    <t>% of Revenue</t>
  </si>
  <si>
    <t>DSO</t>
  </si>
  <si>
    <t>Financial Assets</t>
  </si>
  <si>
    <t>Contract Assets</t>
  </si>
  <si>
    <t>Finance Lease Receivables</t>
  </si>
  <si>
    <t>Forecast on four year average % of revenue</t>
  </si>
  <si>
    <t>Beginning balance</t>
  </si>
  <si>
    <t>Property, Plant and Equipment</t>
  </si>
  <si>
    <t>% of Beginning PPE</t>
  </si>
  <si>
    <t>Average excl 2023</t>
  </si>
  <si>
    <t>Acquisition of Business</t>
  </si>
  <si>
    <t>Straightline at zero</t>
  </si>
  <si>
    <t>Disposals</t>
  </si>
  <si>
    <t>3 Yr Average</t>
  </si>
  <si>
    <t>Other Adjustments</t>
  </si>
  <si>
    <t>made consistent with FY24 report</t>
  </si>
  <si>
    <t>% of Beginning Intangibles</t>
  </si>
  <si>
    <t>Impairment Charge</t>
  </si>
  <si>
    <t>Right of Use Assets</t>
  </si>
  <si>
    <t>Adoption of AASB 16</t>
  </si>
  <si>
    <t>% of Beginning Right-of-Use Assets</t>
  </si>
  <si>
    <t>2 Yr Average</t>
  </si>
  <si>
    <t>4 Yr Average</t>
  </si>
  <si>
    <t>Lease Surrendered</t>
  </si>
  <si>
    <t>Total CAPEX</t>
  </si>
  <si>
    <t>PP&amp;E CAPEX</t>
  </si>
  <si>
    <t>Intangible Asset CAPEX</t>
  </si>
  <si>
    <t>Right of Use Asset CAPEX</t>
  </si>
  <si>
    <t>Total Depreciation and Amortisation Expense</t>
  </si>
  <si>
    <t>PP&amp;E D&amp;A</t>
  </si>
  <si>
    <t>Intangible Asset D&amp;A</t>
  </si>
  <si>
    <t>Right of Use Asset D&amp;A</t>
  </si>
  <si>
    <t>Total D&amp;A Expense</t>
  </si>
  <si>
    <t>Liabilities</t>
  </si>
  <si>
    <t>% of COGS</t>
  </si>
  <si>
    <t>Insurance Contract Liabilities</t>
  </si>
  <si>
    <t>Current Insurance Contracts Liabilities</t>
  </si>
  <si>
    <t>Assume constant DSO, forecast on 3yr average DSO</t>
  </si>
  <si>
    <t>Non-Current Insurance Contracts Liabilities</t>
  </si>
  <si>
    <t>Provisions</t>
  </si>
  <si>
    <t>Current Provisions</t>
  </si>
  <si>
    <t>% of Total Provisions</t>
  </si>
  <si>
    <t>Non-Current Provisions</t>
  </si>
  <si>
    <t>Total Provisions</t>
  </si>
  <si>
    <t>Debt</t>
  </si>
  <si>
    <t>Current Borrowings (Bank Overdraft)</t>
  </si>
  <si>
    <t>Non-Current Borrowings (Bank Loans)</t>
  </si>
  <si>
    <t>Current Lease Liabilities</t>
  </si>
  <si>
    <t>Non-Current Lease Liabilities</t>
  </si>
  <si>
    <t>Total Debt</t>
  </si>
  <si>
    <t>Non-Current Borrowings % of Debt</t>
  </si>
  <si>
    <t>5 Yr average</t>
  </si>
  <si>
    <t>Current Lease Liabilities % of Total Lease Liabilities</t>
  </si>
  <si>
    <t>5 YR Average</t>
  </si>
  <si>
    <t>Non-Current Lease Liabilities % of of Total Lease Liabilities</t>
  </si>
  <si>
    <t>Beginning Debt Balance</t>
  </si>
  <si>
    <t>Book Value of Equity</t>
  </si>
  <si>
    <t>Debt / Book Value of Equity</t>
  </si>
  <si>
    <t>Ending Debt Balance</t>
  </si>
  <si>
    <t>Cash and Cash Equivalents</t>
  </si>
  <si>
    <t>Net Debt</t>
  </si>
  <si>
    <t>Finance Charges</t>
  </si>
  <si>
    <t>Interest Expense on Borrowings</t>
  </si>
  <si>
    <t>Implied Borrowings Interest Rate</t>
  </si>
  <si>
    <t>Interest Expense on Lease Liabilities</t>
  </si>
  <si>
    <t>Implied Lease Liabilities Interest Rate</t>
  </si>
  <si>
    <t>Implied Cost of Debt</t>
  </si>
  <si>
    <t>Issue of Shares</t>
  </si>
  <si>
    <t>Ratio to Capex</t>
  </si>
  <si>
    <t>Average excl. 2023</t>
  </si>
  <si>
    <t>Retained Earnings</t>
  </si>
  <si>
    <t>Beginning Period</t>
  </si>
  <si>
    <t>Dividends</t>
  </si>
  <si>
    <t>Dividend Payout Ratio</t>
  </si>
  <si>
    <t>Average excluding FY23</t>
  </si>
  <si>
    <t>End of Period</t>
  </si>
  <si>
    <t>This page has been left intentionally blank</t>
  </si>
  <si>
    <t>$ AUD in millions, except share price</t>
  </si>
  <si>
    <t>Assumptions</t>
  </si>
  <si>
    <t>WACC</t>
  </si>
  <si>
    <t>TGR</t>
  </si>
  <si>
    <t>Current Price</t>
  </si>
  <si>
    <t>NTM EBIT</t>
  </si>
  <si>
    <t>Cash</t>
  </si>
  <si>
    <t>Discounted Free Cash Flows</t>
  </si>
  <si>
    <t>NOPAT</t>
  </si>
  <si>
    <t>Plus: Depreciation and amortisation</t>
  </si>
  <si>
    <t>Less: Increase/(Decrease) net working capital</t>
  </si>
  <si>
    <t>Less: CAPEX</t>
  </si>
  <si>
    <t>Unlevered Free Cash Flow</t>
  </si>
  <si>
    <t>Growth</t>
  </si>
  <si>
    <t>Date</t>
  </si>
  <si>
    <t>Difference in days</t>
  </si>
  <si>
    <t>Discount Period</t>
  </si>
  <si>
    <t>Discounted FCF</t>
  </si>
  <si>
    <t>Perpetuity Method</t>
  </si>
  <si>
    <t>Perpetuity Method Sensitivity</t>
  </si>
  <si>
    <t>Long Term Growth Rate</t>
  </si>
  <si>
    <t>FCF(t+1)</t>
  </si>
  <si>
    <t>Terminal Value</t>
  </si>
  <si>
    <t>PV of Terminal Value</t>
  </si>
  <si>
    <t>PV of Cash Flows</t>
  </si>
  <si>
    <t>Enterprise Value</t>
  </si>
  <si>
    <t>Net debt</t>
  </si>
  <si>
    <t>Low</t>
  </si>
  <si>
    <t>Mean</t>
  </si>
  <si>
    <t>High</t>
  </si>
  <si>
    <t>Equity value</t>
  </si>
  <si>
    <t>WACC Sensitivity</t>
  </si>
  <si>
    <t>Upside</t>
  </si>
  <si>
    <t>TGR Sensitivity</t>
  </si>
  <si>
    <t>Implied Share price</t>
  </si>
  <si>
    <t>Implied Upside (Downside)</t>
  </si>
  <si>
    <t xml:space="preserve">Cost of Capital </t>
  </si>
  <si>
    <t>Cost of Debt</t>
  </si>
  <si>
    <t>Cost of Debt (After Tax)</t>
  </si>
  <si>
    <t>Risk Free Rate</t>
  </si>
  <si>
    <t>30Y AUS Gov. Bond as of 11/04/2025</t>
  </si>
  <si>
    <t>Beta</t>
  </si>
  <si>
    <t>Market Risk Premium</t>
  </si>
  <si>
    <t>Average Expert MRP</t>
  </si>
  <si>
    <t>Cost of Equity</t>
  </si>
  <si>
    <t>Capital Structure</t>
  </si>
  <si>
    <t>Debt Value</t>
  </si>
  <si>
    <t>Debt Outstanding</t>
  </si>
  <si>
    <t>Debt Weighting</t>
  </si>
  <si>
    <t>Equity Value</t>
  </si>
  <si>
    <t>Market Cap</t>
  </si>
  <si>
    <t>Equity Weighting</t>
  </si>
  <si>
    <t>5-year weekly</t>
  </si>
  <si>
    <t>5-year monthly</t>
  </si>
  <si>
    <t>10-year weekly</t>
  </si>
  <si>
    <t>10-year monthly</t>
  </si>
  <si>
    <t>Damodaran</t>
  </si>
  <si>
    <t>Australia (Stern School of Business, NYU; 2025)</t>
  </si>
  <si>
    <t>KPMG</t>
  </si>
  <si>
    <t>Published December 2024</t>
  </si>
  <si>
    <t>SFG analysts implied method</t>
  </si>
  <si>
    <t>96 country survery, n=34, Australia average (2024)</t>
  </si>
  <si>
    <t>NHF Terminal Growth Rate</t>
  </si>
  <si>
    <t>Method</t>
  </si>
  <si>
    <t>Weighting</t>
  </si>
  <si>
    <t>GDP Growth Forecasts</t>
  </si>
  <si>
    <t>Inflation Forecasts</t>
  </si>
  <si>
    <t>Policyholder Data</t>
  </si>
  <si>
    <t>Insurance Policy</t>
  </si>
  <si>
    <t>Total Persons Covered</t>
  </si>
  <si>
    <t>% of total persons</t>
  </si>
  <si>
    <t>Australian residents health insurance</t>
  </si>
  <si>
    <t>International (inbound) health insurance</t>
  </si>
  <si>
    <t>New Zealand</t>
  </si>
  <si>
    <t>Total</t>
  </si>
  <si>
    <t>GDP Growth Forecast</t>
  </si>
  <si>
    <t>Australian GDP Growth Rate</t>
  </si>
  <si>
    <t>NZ GDP Growth Rate</t>
  </si>
  <si>
    <t>Weighted GDP Growth Rate</t>
  </si>
  <si>
    <t>International Monetary Fund (IMF, 2025)</t>
  </si>
  <si>
    <t>Inflation Forecast</t>
  </si>
  <si>
    <t>Australian Inflation Rate</t>
  </si>
  <si>
    <t>NZ Inflation Rate</t>
  </si>
  <si>
    <t>Weighted Inflation Rate</t>
  </si>
  <si>
    <t>LTM</t>
  </si>
  <si>
    <t>NTM</t>
  </si>
  <si>
    <t>Market Data</t>
  </si>
  <si>
    <t>Company</t>
  </si>
  <si>
    <t>Ticker</t>
  </si>
  <si>
    <t>2Yr Correlation</t>
  </si>
  <si>
    <t>Market Cap ($bn)</t>
  </si>
  <si>
    <t>LTM EV/EBITDA</t>
  </si>
  <si>
    <t>NTM EV/EBITDA</t>
  </si>
  <si>
    <t>LTM EV/REV</t>
  </si>
  <si>
    <t>NTM EV/REV</t>
  </si>
  <si>
    <t>LTM P/BV</t>
  </si>
  <si>
    <t>Medibank Private Ltd</t>
  </si>
  <si>
    <t>MPL AU</t>
  </si>
  <si>
    <t>Generation Development Group Ltd</t>
  </si>
  <si>
    <t>GDG AU</t>
  </si>
  <si>
    <t>ClearView Wealth Ltd</t>
  </si>
  <si>
    <t>CVW AU</t>
  </si>
  <si>
    <t>Japan Post Insurance Co Ltd</t>
  </si>
  <si>
    <t>TSE: 7181</t>
  </si>
  <si>
    <t>T&amp;D Holdings Inc</t>
  </si>
  <si>
    <t>TSE: 8795</t>
  </si>
  <si>
    <t>Hanwha Life Insurance Co Ltd</t>
  </si>
  <si>
    <t>KOSE: A088350</t>
  </si>
  <si>
    <t>Min</t>
  </si>
  <si>
    <t>Max</t>
  </si>
  <si>
    <t>Median</t>
  </si>
  <si>
    <t>Output Summary</t>
  </si>
  <si>
    <t>LTM EBITDA</t>
  </si>
  <si>
    <t>EV</t>
  </si>
  <si>
    <t>Net debt (exlcuding leases)</t>
  </si>
  <si>
    <t>Shares Oustanding ('000)</t>
  </si>
  <si>
    <t>NTM EBITDA</t>
  </si>
  <si>
    <t>Pricing Date</t>
  </si>
  <si>
    <t>Volume</t>
  </si>
  <si>
    <t xml:space="preserve">Shares outstanding </t>
  </si>
  <si>
    <t>Other Operating Income % of Rev</t>
  </si>
  <si>
    <t>2 Yr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</si>
</sst>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;[Red]\-&quot;$&quot;#,##0.00"/>
    <numFmt numFmtId="165" formatCode="#,##0.0_);\(#,##0.0\)"/>
    <numFmt numFmtId="166" formatCode="#,##0.00\x;\(#,##0.00\)\x"/>
    <numFmt numFmtId="167" formatCode="#,##0.0;\(#,##0.0\)"/>
    <numFmt numFmtId="168" formatCode="#,##0.0"/>
    <numFmt numFmtId="169" formatCode="0.000"/>
    <numFmt numFmtId="170" formatCode="#,##0.000_);\(#,##0.000\)"/>
    <numFmt numFmtId="171" formatCode="0.00_);\(0.00\)"/>
    <numFmt numFmtId="172" formatCode="[$-409]mmm\-dd\-yyyy;@"/>
    <numFmt numFmtId="173" formatCode="#,##0.00_ ;\-#,##0.00\ "/>
    <numFmt numFmtId="174" formatCode="#,##0.00000000;\-#,##0.00000000"/>
    <numFmt numFmtId="175" formatCode="#,##0.0000000000;\-#,##0.0000000000"/>
  </numFmts>
  <fonts count="45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Aptos Narrow"/>
      <family val="2"/>
    </font>
    <font>
      <sz val="10"/>
      <color rgb="FF000000"/>
      <name val="Aptos Narrow"/>
      <family val="2"/>
    </font>
    <font>
      <i/>
      <sz val="10"/>
      <color rgb="FF000000"/>
      <name val="Calibri"/>
      <family val="2"/>
      <scheme val="minor"/>
    </font>
    <font>
      <i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9B00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7F7F7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Aptos Narrow"/>
      <family val="2"/>
    </font>
    <font>
      <sz val="11"/>
      <color rgb="FF009B00"/>
      <name val="Calibri"/>
      <family val="2"/>
      <scheme val="minor"/>
    </font>
    <font>
      <sz val="10"/>
      <color indexed="9"/>
      <name val="Arial"/>
      <family val="2"/>
    </font>
    <font>
      <sz val="10"/>
      <color theme="4"/>
      <name val="Calibri"/>
      <family val="2"/>
      <scheme val="minor"/>
    </font>
    <font>
      <sz val="10"/>
      <color theme="1"/>
      <name val="Aptos Display"/>
      <family val="2"/>
    </font>
    <font>
      <sz val="11"/>
      <color theme="1"/>
      <name val="Calibri"/>
      <family val="2"/>
      <scheme val="minor"/>
    </font>
    <font>
      <sz val="10"/>
      <color rgb="FF1000F5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ptos Display"/>
      <family val="2"/>
    </font>
    <font>
      <sz val="10"/>
      <color rgb="FF009B00"/>
      <name val="Aptos Display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lightUp"/>
    </fill>
    <fill>
      <patternFill patternType="solid">
        <fgColor rgb="FF13584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" fillId="0" borderId="0"/>
    <xf numFmtId="37" fontId="7" fillId="6" borderId="0" applyBorder="0"/>
  </cellStyleXfs>
  <cellXfs count="290">
    <xf numFmtId="0" fontId="0" fillId="0" borderId="0" xfId="0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37" fontId="0" fillId="0" borderId="2" xfId="0" applyNumberFormat="1" applyBorder="1"/>
    <xf numFmtId="10" fontId="0" fillId="0" borderId="0" xfId="0" applyNumberFormat="1"/>
    <xf numFmtId="14" fontId="0" fillId="0" borderId="0" xfId="0" applyNumberFormat="1"/>
    <xf numFmtId="2" fontId="0" fillId="0" borderId="0" xfId="0" applyNumberFormat="1"/>
    <xf numFmtId="37" fontId="0" fillId="0" borderId="0" xfId="0" applyNumberFormat="1"/>
    <xf numFmtId="0" fontId="0" fillId="2" borderId="0" xfId="0" applyFill="1"/>
    <xf numFmtId="10" fontId="0" fillId="2" borderId="0" xfId="2" applyNumberFormat="1" applyFont="1" applyFill="1" applyBorder="1"/>
    <xf numFmtId="44" fontId="0" fillId="2" borderId="0" xfId="1" applyFont="1" applyFill="1" applyBorder="1"/>
    <xf numFmtId="44" fontId="0" fillId="2" borderId="0" xfId="1" applyFont="1" applyFill="1"/>
    <xf numFmtId="44" fontId="0" fillId="0" borderId="0" xfId="1" applyFont="1"/>
    <xf numFmtId="10" fontId="0" fillId="2" borderId="0" xfId="1" applyNumberFormat="1" applyFont="1" applyFill="1" applyBorder="1"/>
    <xf numFmtId="10" fontId="0" fillId="0" borderId="0" xfId="2" applyNumberFormat="1" applyFont="1"/>
    <xf numFmtId="0" fontId="0" fillId="0" borderId="3" xfId="0" applyBorder="1"/>
    <xf numFmtId="10" fontId="6" fillId="0" borderId="0" xfId="0" applyNumberFormat="1" applyFont="1"/>
    <xf numFmtId="0" fontId="0" fillId="0" borderId="4" xfId="0" applyBorder="1"/>
    <xf numFmtId="0" fontId="0" fillId="0" borderId="5" xfId="0" applyBorder="1"/>
    <xf numFmtId="2" fontId="6" fillId="0" borderId="0" xfId="0" applyNumberFormat="1" applyFont="1"/>
    <xf numFmtId="0" fontId="6" fillId="0" borderId="0" xfId="0" applyFont="1"/>
    <xf numFmtId="37" fontId="10" fillId="0" borderId="0" xfId="0" applyNumberFormat="1" applyFont="1"/>
    <xf numFmtId="37" fontId="7" fillId="0" borderId="0" xfId="0" applyNumberFormat="1" applyFont="1"/>
    <xf numFmtId="39" fontId="11" fillId="0" borderId="0" xfId="0" applyNumberFormat="1" applyFont="1"/>
    <xf numFmtId="37" fontId="11" fillId="0" borderId="0" xfId="0" applyNumberFormat="1" applyFont="1"/>
    <xf numFmtId="10" fontId="12" fillId="0" borderId="0" xfId="0" applyNumberFormat="1" applyFont="1"/>
    <xf numFmtId="165" fontId="7" fillId="0" borderId="0" xfId="0" applyNumberFormat="1" applyFont="1"/>
    <xf numFmtId="10" fontId="7" fillId="0" borderId="0" xfId="0" applyNumberFormat="1" applyFont="1"/>
    <xf numFmtId="37" fontId="14" fillId="0" borderId="7" xfId="0" applyNumberFormat="1" applyFont="1" applyBorder="1"/>
    <xf numFmtId="37" fontId="10" fillId="0" borderId="8" xfId="0" applyNumberFormat="1" applyFont="1" applyBorder="1"/>
    <xf numFmtId="37" fontId="14" fillId="0" borderId="0" xfId="0" applyNumberFormat="1" applyFont="1"/>
    <xf numFmtId="37" fontId="15" fillId="0" borderId="0" xfId="0" applyNumberFormat="1" applyFont="1"/>
    <xf numFmtId="37" fontId="16" fillId="3" borderId="1" xfId="0" applyNumberFormat="1" applyFont="1" applyFill="1" applyBorder="1"/>
    <xf numFmtId="37" fontId="7" fillId="0" borderId="1" xfId="0" applyNumberFormat="1" applyFont="1" applyBorder="1"/>
    <xf numFmtId="37" fontId="17" fillId="3" borderId="0" xfId="0" applyNumberFormat="1" applyFont="1" applyFill="1"/>
    <xf numFmtId="37" fontId="17" fillId="3" borderId="1" xfId="0" applyNumberFormat="1" applyFont="1" applyFill="1" applyBorder="1"/>
    <xf numFmtId="37" fontId="16" fillId="3" borderId="10" xfId="0" applyNumberFormat="1" applyFont="1" applyFill="1" applyBorder="1"/>
    <xf numFmtId="37" fontId="7" fillId="0" borderId="10" xfId="0" applyNumberFormat="1" applyFont="1" applyBorder="1"/>
    <xf numFmtId="37" fontId="16" fillId="3" borderId="11" xfId="0" applyNumberFormat="1" applyFont="1" applyFill="1" applyBorder="1"/>
    <xf numFmtId="37" fontId="7" fillId="0" borderId="11" xfId="0" applyNumberFormat="1" applyFont="1" applyBorder="1"/>
    <xf numFmtId="37" fontId="13" fillId="0" borderId="0" xfId="0" applyNumberFormat="1" applyFont="1"/>
    <xf numFmtId="39" fontId="7" fillId="0" borderId="0" xfId="0" applyNumberFormat="1" applyFont="1"/>
    <xf numFmtId="2" fontId="7" fillId="0" borderId="0" xfId="0" applyNumberFormat="1" applyFont="1"/>
    <xf numFmtId="0" fontId="20" fillId="2" borderId="0" xfId="0" applyFont="1" applyFill="1"/>
    <xf numFmtId="10" fontId="22" fillId="2" borderId="0" xfId="0" applyNumberFormat="1" applyFont="1" applyFill="1"/>
    <xf numFmtId="0" fontId="23" fillId="2" borderId="8" xfId="0" applyFont="1" applyFill="1" applyBorder="1"/>
    <xf numFmtId="10" fontId="23" fillId="2" borderId="8" xfId="0" applyNumberFormat="1" applyFont="1" applyFill="1" applyBorder="1"/>
    <xf numFmtId="2" fontId="25" fillId="0" borderId="0" xfId="0" applyNumberFormat="1" applyFont="1"/>
    <xf numFmtId="10" fontId="20" fillId="2" borderId="0" xfId="2" applyNumberFormat="1" applyFont="1" applyFill="1"/>
    <xf numFmtId="0" fontId="23" fillId="2" borderId="12" xfId="0" applyFont="1" applyFill="1" applyBorder="1"/>
    <xf numFmtId="0" fontId="20" fillId="2" borderId="12" xfId="0" applyFont="1" applyFill="1" applyBorder="1"/>
    <xf numFmtId="3" fontId="22" fillId="2" borderId="0" xfId="0" applyNumberFormat="1" applyFont="1" applyFill="1"/>
    <xf numFmtId="10" fontId="20" fillId="2" borderId="0" xfId="0" applyNumberFormat="1" applyFont="1" applyFill="1"/>
    <xf numFmtId="164" fontId="22" fillId="2" borderId="0" xfId="0" applyNumberFormat="1" applyFont="1" applyFill="1"/>
    <xf numFmtId="168" fontId="22" fillId="2" borderId="0" xfId="0" applyNumberFormat="1" applyFont="1" applyFill="1"/>
    <xf numFmtId="3" fontId="20" fillId="2" borderId="0" xfId="0" applyNumberFormat="1" applyFont="1" applyFill="1"/>
    <xf numFmtId="0" fontId="20" fillId="2" borderId="13" xfId="0" applyFont="1" applyFill="1" applyBorder="1"/>
    <xf numFmtId="0" fontId="23" fillId="2" borderId="14" xfId="0" applyFont="1" applyFill="1" applyBorder="1"/>
    <xf numFmtId="10" fontId="23" fillId="0" borderId="15" xfId="2" applyNumberFormat="1" applyFont="1" applyBorder="1"/>
    <xf numFmtId="0" fontId="3" fillId="0" borderId="7" xfId="0" applyFont="1" applyBorder="1"/>
    <xf numFmtId="169" fontId="0" fillId="0" borderId="7" xfId="0" applyNumberFormat="1" applyBorder="1"/>
    <xf numFmtId="10" fontId="0" fillId="0" borderId="7" xfId="0" applyNumberFormat="1" applyBorder="1"/>
    <xf numFmtId="16" fontId="0" fillId="0" borderId="0" xfId="0" applyNumberFormat="1"/>
    <xf numFmtId="37" fontId="28" fillId="0" borderId="0" xfId="3" applyNumberFormat="1"/>
    <xf numFmtId="37" fontId="28" fillId="0" borderId="7" xfId="3" applyNumberFormat="1" applyBorder="1"/>
    <xf numFmtId="37" fontId="28" fillId="0" borderId="8" xfId="3" applyNumberFormat="1" applyBorder="1"/>
    <xf numFmtId="37" fontId="28" fillId="0" borderId="3" xfId="3" applyNumberFormat="1" applyBorder="1"/>
    <xf numFmtId="37" fontId="28" fillId="0" borderId="9" xfId="3" applyNumberFormat="1" applyBorder="1"/>
    <xf numFmtId="37" fontId="28" fillId="0" borderId="1" xfId="3" applyNumberFormat="1" applyBorder="1"/>
    <xf numFmtId="37" fontId="28" fillId="0" borderId="10" xfId="3" applyNumberFormat="1" applyBorder="1"/>
    <xf numFmtId="37" fontId="28" fillId="0" borderId="11" xfId="3" applyNumberFormat="1" applyBorder="1"/>
    <xf numFmtId="9" fontId="15" fillId="0" borderId="0" xfId="2" applyFont="1"/>
    <xf numFmtId="10" fontId="15" fillId="0" borderId="0" xfId="2" applyNumberFormat="1" applyFont="1"/>
    <xf numFmtId="10" fontId="7" fillId="0" borderId="0" xfId="2" applyNumberFormat="1" applyFont="1"/>
    <xf numFmtId="37" fontId="28" fillId="0" borderId="12" xfId="3" applyNumberFormat="1" applyBorder="1"/>
    <xf numFmtId="37" fontId="28" fillId="0" borderId="0" xfId="3" applyNumberFormat="1" applyBorder="1"/>
    <xf numFmtId="10" fontId="15" fillId="0" borderId="0" xfId="2" applyNumberFormat="1" applyFont="1" applyBorder="1"/>
    <xf numFmtId="37" fontId="28" fillId="0" borderId="16" xfId="3" applyNumberFormat="1" applyBorder="1"/>
    <xf numFmtId="37" fontId="15" fillId="0" borderId="16" xfId="0" applyNumberFormat="1" applyFont="1" applyBorder="1"/>
    <xf numFmtId="39" fontId="0" fillId="0" borderId="0" xfId="0" applyNumberFormat="1"/>
    <xf numFmtId="170" fontId="10" fillId="0" borderId="0" xfId="0" applyNumberFormat="1" applyFont="1"/>
    <xf numFmtId="37" fontId="7" fillId="0" borderId="12" xfId="0" applyNumberFormat="1" applyFont="1" applyBorder="1"/>
    <xf numFmtId="10" fontId="15" fillId="0" borderId="16" xfId="2" applyNumberFormat="1" applyFont="1" applyBorder="1"/>
    <xf numFmtId="37" fontId="7" fillId="0" borderId="0" xfId="0" applyNumberFormat="1" applyFont="1" applyAlignment="1">
      <alignment horizontal="left"/>
    </xf>
    <xf numFmtId="39" fontId="29" fillId="0" borderId="0" xfId="0" applyNumberFormat="1" applyFont="1"/>
    <xf numFmtId="165" fontId="29" fillId="0" borderId="16" xfId="0" applyNumberFormat="1" applyFont="1" applyBorder="1"/>
    <xf numFmtId="39" fontId="29" fillId="0" borderId="7" xfId="0" applyNumberFormat="1" applyFont="1" applyBorder="1"/>
    <xf numFmtId="39" fontId="29" fillId="0" borderId="12" xfId="0" applyNumberFormat="1" applyFont="1" applyBorder="1"/>
    <xf numFmtId="170" fontId="29" fillId="0" borderId="8" xfId="0" applyNumberFormat="1" applyFont="1" applyBorder="1"/>
    <xf numFmtId="39" fontId="7" fillId="0" borderId="9" xfId="0" applyNumberFormat="1" applyFont="1" applyBorder="1"/>
    <xf numFmtId="166" fontId="6" fillId="0" borderId="0" xfId="0" applyNumberFormat="1" applyFont="1"/>
    <xf numFmtId="166" fontId="0" fillId="0" borderId="0" xfId="0" applyNumberFormat="1"/>
    <xf numFmtId="0" fontId="3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/>
    </xf>
    <xf numFmtId="0" fontId="0" fillId="0" borderId="12" xfId="0" applyBorder="1"/>
    <xf numFmtId="37" fontId="7" fillId="4" borderId="0" xfId="0" applyNumberFormat="1" applyFont="1" applyFill="1"/>
    <xf numFmtId="0" fontId="30" fillId="4" borderId="0" xfId="0" applyFont="1" applyFill="1"/>
    <xf numFmtId="37" fontId="9" fillId="4" borderId="0" xfId="0" applyNumberFormat="1" applyFont="1" applyFill="1"/>
    <xf numFmtId="0" fontId="0" fillId="4" borderId="0" xfId="0" applyFill="1"/>
    <xf numFmtId="37" fontId="10" fillId="4" borderId="0" xfId="0" applyNumberFormat="1" applyFont="1" applyFill="1"/>
    <xf numFmtId="14" fontId="8" fillId="4" borderId="0" xfId="0" applyNumberFormat="1" applyFont="1" applyFill="1" applyAlignment="1">
      <alignment horizontal="center"/>
    </xf>
    <xf numFmtId="37" fontId="8" fillId="4" borderId="0" xfId="0" applyNumberFormat="1" applyFont="1" applyFill="1"/>
    <xf numFmtId="0" fontId="19" fillId="4" borderId="0" xfId="0" applyFont="1" applyFill="1"/>
    <xf numFmtId="39" fontId="29" fillId="0" borderId="16" xfId="0" applyNumberFormat="1" applyFont="1" applyBorder="1"/>
    <xf numFmtId="37" fontId="10" fillId="0" borderId="16" xfId="0" applyNumberFormat="1" applyFont="1" applyBorder="1"/>
    <xf numFmtId="0" fontId="3" fillId="4" borderId="0" xfId="0" applyFont="1" applyFill="1"/>
    <xf numFmtId="0" fontId="4" fillId="4" borderId="0" xfId="0" applyFont="1" applyFill="1"/>
    <xf numFmtId="0" fontId="21" fillId="4" borderId="0" xfId="0" applyFont="1" applyFill="1"/>
    <xf numFmtId="0" fontId="20" fillId="4" borderId="0" xfId="0" applyFont="1" applyFill="1"/>
    <xf numFmtId="0" fontId="23" fillId="4" borderId="0" xfId="0" applyFont="1" applyFill="1"/>
    <xf numFmtId="10" fontId="24" fillId="3" borderId="0" xfId="0" applyNumberFormat="1" applyFont="1" applyFill="1"/>
    <xf numFmtId="0" fontId="31" fillId="0" borderId="0" xfId="0" applyFont="1"/>
    <xf numFmtId="0" fontId="31" fillId="5" borderId="0" xfId="0" applyFont="1" applyFill="1"/>
    <xf numFmtId="2" fontId="32" fillId="0" borderId="0" xfId="0" applyNumberFormat="1" applyFont="1"/>
    <xf numFmtId="2" fontId="32" fillId="0" borderId="12" xfId="0" applyNumberFormat="1" applyFont="1" applyBorder="1"/>
    <xf numFmtId="171" fontId="0" fillId="0" borderId="0" xfId="0" applyNumberFormat="1"/>
    <xf numFmtId="172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37" fontId="7" fillId="6" borderId="0" xfId="5"/>
    <xf numFmtId="37" fontId="7" fillId="6" borderId="1" xfId="5" applyBorder="1"/>
    <xf numFmtId="37" fontId="7" fillId="6" borderId="10" xfId="5" applyBorder="1"/>
    <xf numFmtId="37" fontId="7" fillId="6" borderId="11" xfId="5" applyBorder="1"/>
    <xf numFmtId="37" fontId="10" fillId="0" borderId="2" xfId="0" applyNumberFormat="1" applyFont="1" applyBorder="1"/>
    <xf numFmtId="37" fontId="28" fillId="0" borderId="2" xfId="3" applyNumberFormat="1" applyBorder="1"/>
    <xf numFmtId="170" fontId="29" fillId="0" borderId="2" xfId="0" applyNumberFormat="1" applyFont="1" applyBorder="1"/>
    <xf numFmtId="170" fontId="11" fillId="0" borderId="0" xfId="0" applyNumberFormat="1" applyFont="1"/>
    <xf numFmtId="1" fontId="0" fillId="0" borderId="0" xfId="0" applyNumberFormat="1" applyAlignment="1">
      <alignment vertical="center"/>
    </xf>
    <xf numFmtId="1" fontId="33" fillId="0" borderId="0" xfId="0" applyNumberFormat="1" applyFont="1" applyAlignment="1">
      <alignment vertical="center"/>
    </xf>
    <xf numFmtId="39" fontId="0" fillId="0" borderId="12" xfId="0" applyNumberFormat="1" applyBorder="1"/>
    <xf numFmtId="39" fontId="10" fillId="0" borderId="7" xfId="0" applyNumberFormat="1" applyFont="1" applyBorder="1"/>
    <xf numFmtId="39" fontId="29" fillId="0" borderId="3" xfId="0" applyNumberFormat="1" applyFont="1" applyBorder="1"/>
    <xf numFmtId="39" fontId="10" fillId="0" borderId="3" xfId="0" applyNumberFormat="1" applyFont="1" applyBorder="1"/>
    <xf numFmtId="39" fontId="29" fillId="0" borderId="9" xfId="0" applyNumberFormat="1" applyFont="1" applyBorder="1"/>
    <xf numFmtId="39" fontId="0" fillId="0" borderId="9" xfId="0" applyNumberFormat="1" applyBorder="1"/>
    <xf numFmtId="39" fontId="10" fillId="0" borderId="0" xfId="0" applyNumberFormat="1" applyFont="1"/>
    <xf numFmtId="170" fontId="29" fillId="0" borderId="0" xfId="0" applyNumberFormat="1" applyFont="1"/>
    <xf numFmtId="165" fontId="10" fillId="0" borderId="0" xfId="0" applyNumberFormat="1" applyFont="1"/>
    <xf numFmtId="39" fontId="10" fillId="0" borderId="12" xfId="0" applyNumberFormat="1" applyFont="1" applyBorder="1"/>
    <xf numFmtId="170" fontId="10" fillId="0" borderId="2" xfId="0" applyNumberFormat="1" applyFont="1" applyBorder="1"/>
    <xf numFmtId="170" fontId="10" fillId="0" borderId="8" xfId="0" applyNumberFormat="1" applyFont="1" applyBorder="1"/>
    <xf numFmtId="0" fontId="13" fillId="0" borderId="0" xfId="0" applyFont="1"/>
    <xf numFmtId="166" fontId="11" fillId="0" borderId="0" xfId="0" applyNumberFormat="1" applyFont="1"/>
    <xf numFmtId="39" fontId="12" fillId="0" borderId="0" xfId="0" applyNumberFormat="1" applyFont="1"/>
    <xf numFmtId="0" fontId="12" fillId="0" borderId="0" xfId="0" applyFont="1"/>
    <xf numFmtId="37" fontId="12" fillId="0" borderId="0" xfId="0" applyNumberFormat="1" applyFont="1"/>
    <xf numFmtId="44" fontId="10" fillId="0" borderId="7" xfId="1" applyFont="1" applyBorder="1"/>
    <xf numFmtId="14" fontId="11" fillId="0" borderId="0" xfId="0" applyNumberFormat="1" applyFont="1"/>
    <xf numFmtId="37" fontId="7" fillId="0" borderId="0" xfId="0" applyNumberFormat="1" applyFont="1" applyAlignment="1">
      <alignment horizontal="right"/>
    </xf>
    <xf numFmtId="9" fontId="7" fillId="0" borderId="0" xfId="0" applyNumberFormat="1" applyFont="1"/>
    <xf numFmtId="39" fontId="11" fillId="0" borderId="12" xfId="0" applyNumberFormat="1" applyFont="1" applyBorder="1"/>
    <xf numFmtId="37" fontId="10" fillId="0" borderId="12" xfId="0" applyNumberFormat="1" applyFont="1" applyBorder="1"/>
    <xf numFmtId="165" fontId="11" fillId="0" borderId="0" xfId="0" applyNumberFormat="1" applyFont="1"/>
    <xf numFmtId="39" fontId="11" fillId="0" borderId="1" xfId="0" applyNumberFormat="1" applyFont="1" applyBorder="1"/>
    <xf numFmtId="37" fontId="10" fillId="0" borderId="7" xfId="0" applyNumberFormat="1" applyFont="1" applyBorder="1"/>
    <xf numFmtId="37" fontId="10" fillId="0" borderId="3" xfId="0" applyNumberFormat="1" applyFont="1" applyBorder="1"/>
    <xf numFmtId="37" fontId="10" fillId="0" borderId="9" xfId="0" applyNumberFormat="1" applyFont="1" applyBorder="1"/>
    <xf numFmtId="37" fontId="14" fillId="0" borderId="1" xfId="0" applyNumberFormat="1" applyFont="1" applyBorder="1"/>
    <xf numFmtId="10" fontId="7" fillId="0" borderId="12" xfId="2" applyNumberFormat="1" applyFont="1" applyBorder="1"/>
    <xf numFmtId="10" fontId="0" fillId="0" borderId="12" xfId="0" applyNumberFormat="1" applyBorder="1"/>
    <xf numFmtId="9" fontId="7" fillId="0" borderId="0" xfId="2" applyFont="1"/>
    <xf numFmtId="37" fontId="7" fillId="0" borderId="16" xfId="0" applyNumberFormat="1" applyFont="1" applyBorder="1"/>
    <xf numFmtId="10" fontId="7" fillId="0" borderId="16" xfId="2" applyNumberFormat="1" applyFont="1" applyBorder="1"/>
    <xf numFmtId="9" fontId="0" fillId="0" borderId="16" xfId="0" applyNumberFormat="1" applyBorder="1"/>
    <xf numFmtId="37" fontId="8" fillId="7" borderId="0" xfId="0" applyNumberFormat="1" applyFont="1" applyFill="1"/>
    <xf numFmtId="37" fontId="28" fillId="7" borderId="0" xfId="3" applyNumberFormat="1" applyFill="1"/>
    <xf numFmtId="37" fontId="7" fillId="7" borderId="0" xfId="0" applyNumberFormat="1" applyFont="1" applyFill="1"/>
    <xf numFmtId="0" fontId="0" fillId="7" borderId="0" xfId="0" applyFill="1"/>
    <xf numFmtId="37" fontId="0" fillId="4" borderId="0" xfId="0" applyNumberFormat="1" applyFill="1"/>
    <xf numFmtId="37" fontId="0" fillId="0" borderId="0" xfId="0" applyNumberFormat="1" applyAlignment="1">
      <alignment horizontal="left" indent="1"/>
    </xf>
    <xf numFmtId="37" fontId="34" fillId="0" borderId="0" xfId="0" applyNumberFormat="1" applyFont="1"/>
    <xf numFmtId="10" fontId="15" fillId="0" borderId="0" xfId="2" applyNumberFormat="1" applyFont="1" applyFill="1"/>
    <xf numFmtId="37" fontId="15" fillId="0" borderId="0" xfId="0" applyNumberFormat="1" applyFont="1" applyAlignment="1">
      <alignment horizontal="left" indent="1"/>
    </xf>
    <xf numFmtId="9" fontId="0" fillId="0" borderId="0" xfId="2" applyFont="1"/>
    <xf numFmtId="37" fontId="28" fillId="0" borderId="1" xfId="0" applyNumberFormat="1" applyFont="1" applyBorder="1"/>
    <xf numFmtId="37" fontId="13" fillId="0" borderId="1" xfId="0" applyNumberFormat="1" applyFont="1" applyBorder="1"/>
    <xf numFmtId="0" fontId="13" fillId="0" borderId="12" xfId="0" applyFont="1" applyBorder="1"/>
    <xf numFmtId="37" fontId="28" fillId="0" borderId="0" xfId="0" applyNumberFormat="1" applyFont="1"/>
    <xf numFmtId="165" fontId="13" fillId="0" borderId="0" xfId="0" applyNumberFormat="1" applyFont="1"/>
    <xf numFmtId="37" fontId="15" fillId="0" borderId="0" xfId="0" applyNumberFormat="1" applyFont="1" applyAlignment="1">
      <alignment horizontal="left" indent="2"/>
    </xf>
    <xf numFmtId="10" fontId="15" fillId="0" borderId="0" xfId="0" applyNumberFormat="1" applyFont="1"/>
    <xf numFmtId="0" fontId="0" fillId="0" borderId="0" xfId="0" applyAlignment="1">
      <alignment horizontal="left" indent="1"/>
    </xf>
    <xf numFmtId="37" fontId="7" fillId="0" borderId="0" xfId="0" applyNumberFormat="1" applyFont="1" applyAlignment="1">
      <alignment horizontal="left" indent="1"/>
    </xf>
    <xf numFmtId="37" fontId="18" fillId="0" borderId="0" xfId="0" applyNumberFormat="1" applyFont="1" applyAlignment="1">
      <alignment horizontal="left" indent="1"/>
    </xf>
    <xf numFmtId="37" fontId="18" fillId="0" borderId="0" xfId="0" applyNumberFormat="1" applyFont="1" applyAlignment="1">
      <alignment horizontal="left" indent="2"/>
    </xf>
    <xf numFmtId="0" fontId="11" fillId="0" borderId="0" xfId="0" applyFont="1"/>
    <xf numFmtId="37" fontId="13" fillId="0" borderId="0" xfId="0" applyNumberFormat="1" applyFont="1" applyAlignment="1">
      <alignment horizontal="left" indent="1"/>
    </xf>
    <xf numFmtId="37" fontId="10" fillId="0" borderId="0" xfId="0" applyNumberFormat="1" applyFont="1" applyAlignment="1">
      <alignment horizontal="left" indent="1"/>
    </xf>
    <xf numFmtId="0" fontId="9" fillId="7" borderId="0" xfId="0" applyFont="1" applyFill="1"/>
    <xf numFmtId="0" fontId="8" fillId="7" borderId="0" xfId="0" applyFont="1" applyFill="1"/>
    <xf numFmtId="2" fontId="13" fillId="0" borderId="0" xfId="0" applyNumberFormat="1" applyFont="1"/>
    <xf numFmtId="39" fontId="10" fillId="0" borderId="16" xfId="0" applyNumberFormat="1" applyFont="1" applyBorder="1"/>
    <xf numFmtId="171" fontId="0" fillId="0" borderId="12" xfId="0" applyNumberFormat="1" applyBorder="1"/>
    <xf numFmtId="171" fontId="10" fillId="0" borderId="16" xfId="0" applyNumberFormat="1" applyFont="1" applyBorder="1"/>
    <xf numFmtId="2" fontId="10" fillId="0" borderId="12" xfId="0" applyNumberFormat="1" applyFont="1" applyBorder="1"/>
    <xf numFmtId="14" fontId="35" fillId="0" borderId="0" xfId="4" applyNumberFormat="1" applyFont="1"/>
    <xf numFmtId="171" fontId="11" fillId="0" borderId="0" xfId="0" applyNumberFormat="1" applyFont="1"/>
    <xf numFmtId="171" fontId="7" fillId="0" borderId="0" xfId="0" applyNumberFormat="1" applyFont="1"/>
    <xf numFmtId="171" fontId="13" fillId="0" borderId="0" xfId="0" applyNumberFormat="1" applyFont="1"/>
    <xf numFmtId="171" fontId="14" fillId="0" borderId="0" xfId="0" applyNumberFormat="1" applyFont="1"/>
    <xf numFmtId="10" fontId="18" fillId="0" borderId="0" xfId="2" applyNumberFormat="1" applyFont="1"/>
    <xf numFmtId="171" fontId="10" fillId="0" borderId="0" xfId="0" applyNumberFormat="1" applyFont="1"/>
    <xf numFmtId="171" fontId="7" fillId="0" borderId="12" xfId="0" applyNumberFormat="1" applyFont="1" applyBorder="1"/>
    <xf numFmtId="166" fontId="15" fillId="0" borderId="0" xfId="0" applyNumberFormat="1" applyFont="1"/>
    <xf numFmtId="171" fontId="7" fillId="0" borderId="10" xfId="0" applyNumberFormat="1" applyFont="1" applyBorder="1"/>
    <xf numFmtId="0" fontId="36" fillId="0" borderId="0" xfId="0" applyFont="1"/>
    <xf numFmtId="0" fontId="14" fillId="3" borderId="12" xfId="0" applyFont="1" applyFill="1" applyBorder="1"/>
    <xf numFmtId="0" fontId="13" fillId="3" borderId="12" xfId="0" applyFont="1" applyFill="1" applyBorder="1"/>
    <xf numFmtId="0" fontId="13" fillId="3" borderId="0" xfId="0" applyFont="1" applyFill="1"/>
    <xf numFmtId="3" fontId="37" fillId="3" borderId="0" xfId="0" applyNumberFormat="1" applyFont="1" applyFill="1"/>
    <xf numFmtId="167" fontId="11" fillId="3" borderId="0" xfId="0" applyNumberFormat="1" applyFont="1" applyFill="1"/>
    <xf numFmtId="167" fontId="13" fillId="3" borderId="0" xfId="0" applyNumberFormat="1" applyFont="1" applyFill="1"/>
    <xf numFmtId="3" fontId="13" fillId="3" borderId="0" xfId="0" applyNumberFormat="1" applyFont="1" applyFill="1"/>
    <xf numFmtId="167" fontId="37" fillId="3" borderId="0" xfId="0" applyNumberFormat="1" applyFont="1" applyFill="1"/>
    <xf numFmtId="0" fontId="18" fillId="3" borderId="0" xfId="0" applyFont="1" applyFill="1" applyAlignment="1">
      <alignment horizontal="left" indent="1"/>
    </xf>
    <xf numFmtId="10" fontId="18" fillId="3" borderId="0" xfId="0" applyNumberFormat="1" applyFont="1" applyFill="1" applyAlignment="1">
      <alignment horizontal="right"/>
    </xf>
    <xf numFmtId="10" fontId="18" fillId="3" borderId="0" xfId="2" applyNumberFormat="1" applyFont="1" applyFill="1"/>
    <xf numFmtId="0" fontId="37" fillId="3" borderId="0" xfId="0" applyFont="1" applyFill="1"/>
    <xf numFmtId="168" fontId="13" fillId="3" borderId="0" xfId="0" applyNumberFormat="1" applyFont="1" applyFill="1"/>
    <xf numFmtId="9" fontId="38" fillId="0" borderId="0" xfId="2" applyFont="1" applyAlignment="1">
      <alignment horizontal="right"/>
    </xf>
    <xf numFmtId="9" fontId="38" fillId="0" borderId="0" xfId="2" applyFont="1" applyBorder="1" applyAlignment="1">
      <alignment horizontal="right"/>
    </xf>
    <xf numFmtId="10" fontId="0" fillId="0" borderId="2" xfId="0" applyNumberFormat="1" applyBorder="1"/>
    <xf numFmtId="0" fontId="39" fillId="0" borderId="2" xfId="0" applyFont="1" applyBorder="1"/>
    <xf numFmtId="10" fontId="39" fillId="0" borderId="2" xfId="0" applyNumberFormat="1" applyFont="1" applyBorder="1"/>
    <xf numFmtId="0" fontId="39" fillId="0" borderId="0" xfId="0" applyFont="1"/>
    <xf numFmtId="10" fontId="39" fillId="0" borderId="0" xfId="0" applyNumberFormat="1" applyFont="1"/>
    <xf numFmtId="0" fontId="40" fillId="7" borderId="12" xfId="0" applyFont="1" applyFill="1" applyBorder="1"/>
    <xf numFmtId="9" fontId="12" fillId="0" borderId="0" xfId="0" applyNumberFormat="1" applyFont="1"/>
    <xf numFmtId="14" fontId="12" fillId="0" borderId="0" xfId="0" applyNumberFormat="1" applyFont="1"/>
    <xf numFmtId="165" fontId="12" fillId="0" borderId="0" xfId="0" applyNumberFormat="1" applyFont="1"/>
    <xf numFmtId="0" fontId="35" fillId="0" borderId="0" xfId="4" applyFont="1"/>
    <xf numFmtId="0" fontId="41" fillId="0" borderId="0" xfId="4" applyFont="1"/>
    <xf numFmtId="2" fontId="41" fillId="0" borderId="0" xfId="4" applyNumberFormat="1" applyFont="1"/>
    <xf numFmtId="0" fontId="41" fillId="0" borderId="2" xfId="4" applyFont="1" applyBorder="1"/>
    <xf numFmtId="0" fontId="8" fillId="4" borderId="0" xfId="0" applyFont="1" applyFill="1"/>
    <xf numFmtId="10" fontId="0" fillId="2" borderId="0" xfId="0" applyNumberFormat="1" applyFill="1"/>
    <xf numFmtId="10" fontId="10" fillId="2" borderId="0" xfId="0" applyNumberFormat="1" applyFont="1" applyFill="1"/>
    <xf numFmtId="44" fontId="0" fillId="2" borderId="0" xfId="0" applyNumberFormat="1" applyFill="1"/>
    <xf numFmtId="10" fontId="0" fillId="2" borderId="0" xfId="0" applyNumberForma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7" fontId="0" fillId="0" borderId="0" xfId="0" applyNumberFormat="1" applyAlignment="1">
      <alignment horizontal="right"/>
    </xf>
    <xf numFmtId="0" fontId="10" fillId="2" borderId="0" xfId="0" applyFont="1" applyFill="1"/>
    <xf numFmtId="0" fontId="10" fillId="0" borderId="0" xfId="0" applyFont="1"/>
    <xf numFmtId="3" fontId="10" fillId="0" borderId="0" xfId="0" applyNumberFormat="1" applyFont="1"/>
    <xf numFmtId="0" fontId="0" fillId="0" borderId="0" xfId="4" applyFont="1" applyAlignment="1">
      <alignment vertical="center"/>
    </xf>
    <xf numFmtId="37" fontId="42" fillId="0" borderId="0" xfId="4" applyNumberFormat="1" applyFont="1"/>
    <xf numFmtId="0" fontId="0" fillId="2" borderId="0" xfId="4" applyFont="1" applyFill="1" applyAlignment="1">
      <alignment vertical="center"/>
    </xf>
    <xf numFmtId="0" fontId="10" fillId="2" borderId="0" xfId="4" applyFont="1" applyFill="1" applyAlignment="1">
      <alignment vertical="center"/>
    </xf>
    <xf numFmtId="37" fontId="41" fillId="2" borderId="0" xfId="4" applyNumberFormat="1" applyFont="1" applyFill="1"/>
    <xf numFmtId="4" fontId="0" fillId="0" borderId="0" xfId="0" applyNumberFormat="1"/>
    <xf numFmtId="0" fontId="15" fillId="2" borderId="0" xfId="0" applyFont="1" applyFill="1"/>
    <xf numFmtId="10" fontId="15" fillId="2" borderId="0" xfId="0" applyNumberFormat="1" applyFont="1" applyFill="1"/>
    <xf numFmtId="3" fontId="0" fillId="0" borderId="0" xfId="0" applyNumberFormat="1"/>
    <xf numFmtId="0" fontId="13" fillId="2" borderId="0" xfId="0" applyFont="1" applyFill="1"/>
    <xf numFmtId="44" fontId="10" fillId="0" borderId="0" xfId="1" applyFont="1"/>
    <xf numFmtId="0" fontId="43" fillId="0" borderId="0" xfId="0" applyFont="1"/>
    <xf numFmtId="39" fontId="44" fillId="3" borderId="0" xfId="0" applyNumberFormat="1" applyFont="1" applyFill="1" applyAlignment="1">
      <alignment horizontal="right"/>
    </xf>
    <xf numFmtId="37" fontId="18" fillId="0" borderId="0" xfId="0" applyNumberFormat="1" applyFont="1"/>
    <xf numFmtId="10" fontId="18" fillId="3" borderId="0" xfId="2" applyNumberFormat="1" applyFont="1" applyFill="1" applyAlignment="1">
      <alignment horizontal="right"/>
    </xf>
    <xf numFmtId="171" fontId="7" fillId="0" borderId="0" xfId="2" applyNumberFormat="1" applyFont="1"/>
    <xf numFmtId="171" fontId="7" fillId="0" borderId="0" xfId="2" applyNumberFormat="1" applyFont="1" applyBorder="1"/>
    <xf numFmtId="37" fontId="28" fillId="0" borderId="0" xfId="3" applyNumberFormat="1" applyAlignment="1">
      <alignment horizontal="left" indent="1"/>
    </xf>
    <xf numFmtId="2" fontId="11" fillId="0" borderId="0" xfId="0" applyNumberFormat="1" applyFont="1"/>
    <xf numFmtId="37" fontId="14" fillId="0" borderId="0" xfId="0" applyNumberFormat="1" applyFont="1" applyAlignment="1">
      <alignment horizontal="left"/>
    </xf>
    <xf numFmtId="0" fontId="15" fillId="0" borderId="0" xfId="0" applyFont="1"/>
    <xf numFmtId="39" fontId="7" fillId="0" borderId="16" xfId="0" applyNumberFormat="1" applyFont="1" applyBorder="1"/>
    <xf numFmtId="0" fontId="5" fillId="0" borderId="0" xfId="0" applyFont="1"/>
    <xf numFmtId="10" fontId="18" fillId="0" borderId="0" xfId="2" applyNumberFormat="1" applyFont="1" applyBorder="1"/>
    <xf numFmtId="37" fontId="7" fillId="6" borderId="0" xfId="5" applyBorder="1"/>
    <xf numFmtId="171" fontId="7" fillId="0" borderId="11" xfId="0" applyNumberFormat="1" applyFont="1" applyBorder="1"/>
    <xf numFmtId="171" fontId="0" fillId="0" borderId="0" xfId="0" applyNumberFormat="1" applyAlignment="1">
      <alignment horizontal="right"/>
    </xf>
    <xf numFmtId="0" fontId="10" fillId="0" borderId="12" xfId="0" applyFont="1" applyBorder="1"/>
    <xf numFmtId="173" fontId="0" fillId="0" borderId="0" xfId="0" applyNumberFormat="1"/>
    <xf numFmtId="173" fontId="0" fillId="7" borderId="0" xfId="0" applyNumberFormat="1" applyFill="1"/>
    <xf numFmtId="10" fontId="13" fillId="0" borderId="0" xfId="2" applyNumberFormat="1" applyFont="1"/>
    <xf numFmtId="174" fontId="0" fillId="0" borderId="0" xfId="0" applyNumberFormat="1"/>
    <xf numFmtId="175" fontId="0" fillId="0" borderId="0" xfId="0" applyNumberFormat="1"/>
    <xf numFmtId="0" fontId="1" fillId="0" borderId="0" xfId="0" applyFont="1"/>
    <xf numFmtId="9" fontId="1" fillId="0" borderId="2" xfId="0" applyNumberFormat="1" applyFont="1" applyBorder="1"/>
    <xf numFmtId="37" fontId="8" fillId="4" borderId="0" xfId="0" applyNumberFormat="1" applyFont="1" applyFill="1" applyAlignment="1">
      <alignment horizontal="center"/>
    </xf>
    <xf numFmtId="37" fontId="8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37" fontId="0" fillId="0" borderId="0" xfId="0" applyNumberFormat="1" applyFont="1"/>
    <xf numFmtId="171" fontId="0" fillId="0" borderId="0" xfId="0" applyNumberFormat="1" applyFont="1"/>
  </cellXfs>
  <cellStyles count="6">
    <cellStyle name="Blank" xfId="5" xr:uid="{2C3625AB-4B09-F942-A872-912B9B1C12E0}"/>
    <cellStyle name="Currency" xfId="1" builtinId="4"/>
    <cellStyle name="Explanatory Text" xfId="3" builtinId="53" customBuiltin="1"/>
    <cellStyle name="Normal" xfId="0" builtinId="0" customBuiltin="1"/>
    <cellStyle name="Normal 2" xfId="4" xr:uid="{46E1A0A5-EBEB-EA4A-A4B3-D5609E33E934}"/>
    <cellStyle name="Per cent" xfId="2" builtinId="5"/>
  </cellStyles>
  <dxfs count="2"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  <color rgb="FF135847"/>
      <color rgb="FF2B772F"/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3FDC-5BCC-0F47-B66F-A11D172654DF}">
  <dimension ref="A1:U174"/>
  <sheetViews>
    <sheetView showGridLines="0" topLeftCell="A119" zoomScale="118" zoomScaleNormal="67" workbookViewId="0">
      <selection activeCell="K88" sqref="K88:O90"/>
    </sheetView>
  </sheetViews>
  <sheetFormatPr baseColWidth="10" defaultColWidth="11.3984375" defaultRowHeight="14" x14ac:dyDescent="0.2"/>
  <cols>
    <col min="1" max="3" width="2" style="24" customWidth="1"/>
    <col min="4" max="4" width="42" style="24" customWidth="1"/>
    <col min="5" max="5" width="14" style="65" customWidth="1"/>
    <col min="6" max="10" width="11" style="24"/>
    <col min="11" max="15" width="16" bestFit="1" customWidth="1"/>
    <col min="18" max="18" width="17.3984375" bestFit="1" customWidth="1"/>
  </cols>
  <sheetData>
    <row r="1" spans="1:19" s="103" customFormat="1" ht="21" x14ac:dyDescent="0.25">
      <c r="A1" s="100"/>
      <c r="B1" s="100"/>
      <c r="C1" s="100"/>
      <c r="D1" s="101" t="s">
        <v>0</v>
      </c>
      <c r="E1" s="102"/>
      <c r="F1" s="284" t="s">
        <v>1</v>
      </c>
      <c r="G1" s="284"/>
      <c r="H1" s="284"/>
      <c r="I1" s="284"/>
      <c r="J1" s="284"/>
      <c r="K1" s="284" t="s">
        <v>2</v>
      </c>
      <c r="L1" s="284"/>
      <c r="M1" s="284"/>
      <c r="N1" s="284"/>
      <c r="O1" s="284"/>
    </row>
    <row r="2" spans="1:19" s="103" customFormat="1" x14ac:dyDescent="0.2">
      <c r="A2" s="104"/>
      <c r="B2" s="104"/>
      <c r="C2" s="104"/>
      <c r="D2" s="106" t="s">
        <v>3</v>
      </c>
      <c r="E2" s="106"/>
      <c r="F2" s="283" t="s">
        <v>4</v>
      </c>
      <c r="G2" s="283" t="s">
        <v>5</v>
      </c>
      <c r="H2" s="283" t="s">
        <v>6</v>
      </c>
      <c r="I2" s="283" t="s">
        <v>7</v>
      </c>
      <c r="J2" s="283" t="s">
        <v>8</v>
      </c>
      <c r="K2" s="283" t="s">
        <v>9</v>
      </c>
      <c r="L2" s="283" t="s">
        <v>10</v>
      </c>
      <c r="M2" s="283" t="s">
        <v>11</v>
      </c>
      <c r="N2" s="283" t="s">
        <v>12</v>
      </c>
      <c r="O2" s="283" t="s">
        <v>13</v>
      </c>
      <c r="Q2" s="283" t="s">
        <v>14</v>
      </c>
    </row>
    <row r="3" spans="1:19" s="103" customFormat="1" x14ac:dyDescent="0.2">
      <c r="A3" s="104"/>
      <c r="B3" s="104"/>
      <c r="C3" s="104"/>
      <c r="D3" s="106" t="s">
        <v>15</v>
      </c>
      <c r="E3" s="106"/>
      <c r="F3" s="105">
        <v>44012</v>
      </c>
      <c r="G3" s="105">
        <f>F3+$E$10</f>
        <v>44377.25</v>
      </c>
      <c r="H3" s="105">
        <f t="shared" ref="H3:J3" si="0">G3+$E$10</f>
        <v>44742.5</v>
      </c>
      <c r="I3" s="105">
        <f t="shared" si="0"/>
        <v>45107.75</v>
      </c>
      <c r="J3" s="105">
        <f t="shared" si="0"/>
        <v>45473</v>
      </c>
    </row>
    <row r="4" spans="1:19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9" x14ac:dyDescent="0.2">
      <c r="A5"/>
      <c r="B5"/>
      <c r="C5" s="107" t="s">
        <v>16</v>
      </c>
      <c r="D5" s="107"/>
      <c r="E5" s="107"/>
      <c r="F5"/>
      <c r="G5"/>
      <c r="H5"/>
      <c r="I5"/>
      <c r="J5"/>
    </row>
    <row r="6" spans="1:19" x14ac:dyDescent="0.2">
      <c r="A6"/>
      <c r="B6"/>
      <c r="C6"/>
      <c r="D6"/>
      <c r="E6"/>
      <c r="F6"/>
      <c r="G6"/>
      <c r="H6"/>
      <c r="I6"/>
      <c r="J6"/>
    </row>
    <row r="7" spans="1:19" x14ac:dyDescent="0.2">
      <c r="A7" s="24" t="s">
        <v>17</v>
      </c>
      <c r="B7" s="106" t="s">
        <v>18</v>
      </c>
      <c r="C7" s="106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</row>
    <row r="8" spans="1:19" x14ac:dyDescent="0.2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9" x14ac:dyDescent="0.2">
      <c r="A9" s="23"/>
      <c r="B9" s="23"/>
      <c r="C9" s="23"/>
      <c r="D9" s="24" t="s">
        <v>19</v>
      </c>
      <c r="E9" s="151">
        <v>45758</v>
      </c>
      <c r="F9" s="23"/>
      <c r="G9" s="23"/>
      <c r="H9" s="23"/>
      <c r="I9" s="23"/>
      <c r="J9" s="23"/>
    </row>
    <row r="10" spans="1:19" x14ac:dyDescent="0.2">
      <c r="A10" s="23"/>
      <c r="B10" s="23"/>
      <c r="C10" s="23"/>
      <c r="D10" s="24" t="s">
        <v>20</v>
      </c>
      <c r="E10" s="25">
        <v>365.25</v>
      </c>
      <c r="F10" s="23"/>
      <c r="G10" s="23"/>
      <c r="H10" s="23"/>
      <c r="I10" s="23"/>
      <c r="J10" s="23"/>
    </row>
    <row r="11" spans="1:19" x14ac:dyDescent="0.2">
      <c r="A11" s="23"/>
      <c r="B11" s="23"/>
      <c r="C11" s="23"/>
      <c r="D11" s="24" t="s">
        <v>21</v>
      </c>
      <c r="E11" s="25">
        <v>6.75</v>
      </c>
      <c r="F11" s="23"/>
      <c r="G11" s="23"/>
      <c r="H11" s="23"/>
      <c r="I11" s="23"/>
      <c r="J11" s="23"/>
    </row>
    <row r="12" spans="1:19" x14ac:dyDescent="0.2">
      <c r="A12" s="23"/>
      <c r="B12" s="23"/>
      <c r="C12" s="23"/>
      <c r="D12" s="24" t="s">
        <v>22</v>
      </c>
      <c r="E12" s="26">
        <v>485.1</v>
      </c>
      <c r="F12" s="23"/>
      <c r="G12" s="23"/>
      <c r="H12" s="23"/>
      <c r="I12" s="23"/>
      <c r="J12" s="23"/>
    </row>
    <row r="13" spans="1:19" x14ac:dyDescent="0.2">
      <c r="A13" s="23"/>
      <c r="B13" s="23"/>
      <c r="C13" s="23"/>
      <c r="D13" s="24" t="s">
        <v>23</v>
      </c>
      <c r="E13" s="27">
        <f>TGR!F10</f>
        <v>2.8587222373902599E-2</v>
      </c>
      <c r="F13" s="23"/>
      <c r="G13" s="23"/>
      <c r="H13" s="23"/>
      <c r="I13" s="23"/>
      <c r="J13" s="23"/>
    </row>
    <row r="14" spans="1:19" x14ac:dyDescent="0.2">
      <c r="A14" s="23"/>
      <c r="B14" s="23"/>
      <c r="C14" s="23"/>
      <c r="D14" s="24" t="s">
        <v>24</v>
      </c>
      <c r="E14" s="152" t="s">
        <v>25</v>
      </c>
      <c r="F14" s="23"/>
      <c r="G14" s="23"/>
      <c r="H14" s="23"/>
      <c r="I14" s="23"/>
      <c r="J14" s="23"/>
    </row>
    <row r="15" spans="1:19" x14ac:dyDescent="0.2">
      <c r="A15" s="23"/>
      <c r="B15" s="23"/>
      <c r="C15" s="23"/>
      <c r="D15" s="24" t="s">
        <v>26</v>
      </c>
      <c r="E15" s="153">
        <v>0.3</v>
      </c>
      <c r="F15" s="23"/>
      <c r="G15" s="23"/>
      <c r="H15" s="23"/>
      <c r="I15" s="23"/>
      <c r="J15" s="23"/>
    </row>
    <row r="16" spans="1:19" x14ac:dyDescent="0.2">
      <c r="E16" s="24"/>
    </row>
    <row r="17" spans="1:21" x14ac:dyDescent="0.2">
      <c r="A17" s="24" t="s">
        <v>17</v>
      </c>
      <c r="B17" s="106" t="s">
        <v>27</v>
      </c>
      <c r="C17" s="106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</row>
    <row r="18" spans="1:21" x14ac:dyDescent="0.2">
      <c r="A18"/>
      <c r="B18"/>
      <c r="C18"/>
      <c r="D18"/>
      <c r="E18"/>
      <c r="F18"/>
      <c r="G18"/>
      <c r="H18"/>
      <c r="I18"/>
      <c r="J18"/>
    </row>
    <row r="19" spans="1:21" x14ac:dyDescent="0.2">
      <c r="D19" s="23" t="s">
        <v>28</v>
      </c>
      <c r="E19" s="24"/>
      <c r="G19" s="177"/>
      <c r="H19" s="177"/>
      <c r="I19" s="177"/>
      <c r="J19" s="164"/>
    </row>
    <row r="20" spans="1:21" x14ac:dyDescent="0.2">
      <c r="D20" s="24" t="s">
        <v>29</v>
      </c>
      <c r="F20" s="25">
        <v>2479.8000000000002</v>
      </c>
      <c r="G20" s="25">
        <v>2574.1</v>
      </c>
      <c r="H20" s="25">
        <v>2753.9</v>
      </c>
      <c r="I20" s="25">
        <v>2939.3</v>
      </c>
      <c r="J20" s="25">
        <v>3211.6</v>
      </c>
      <c r="K20" s="25">
        <v>3452.42</v>
      </c>
      <c r="L20" s="189">
        <v>3687.51</v>
      </c>
      <c r="M20" s="189">
        <v>3910.97</v>
      </c>
      <c r="N20" s="266">
        <v>4088</v>
      </c>
      <c r="O20" s="266">
        <v>4298</v>
      </c>
      <c r="P20" s="276"/>
      <c r="Q20" t="s">
        <v>30</v>
      </c>
      <c r="U20" s="276"/>
    </row>
    <row r="21" spans="1:21" x14ac:dyDescent="0.2">
      <c r="D21" s="83" t="s">
        <v>31</v>
      </c>
      <c r="E21" s="76"/>
      <c r="F21" s="154">
        <v>3.8</v>
      </c>
      <c r="G21" s="154">
        <v>3.9</v>
      </c>
      <c r="H21" s="154">
        <v>5.2</v>
      </c>
      <c r="I21" s="154">
        <v>4.8</v>
      </c>
      <c r="J21" s="154">
        <v>4.7</v>
      </c>
      <c r="K21" s="133">
        <f>$J$21</f>
        <v>4.7</v>
      </c>
      <c r="L21" s="133">
        <f t="shared" ref="L21:O21" si="1">$J$21</f>
        <v>4.7</v>
      </c>
      <c r="M21" s="133">
        <f t="shared" si="1"/>
        <v>4.7</v>
      </c>
      <c r="N21" s="133">
        <f t="shared" si="1"/>
        <v>4.7</v>
      </c>
      <c r="O21" s="133">
        <f t="shared" si="1"/>
        <v>4.7</v>
      </c>
      <c r="P21" s="276"/>
      <c r="Q21" t="s">
        <v>32</v>
      </c>
    </row>
    <row r="22" spans="1:21" x14ac:dyDescent="0.2">
      <c r="D22" s="23" t="s">
        <v>33</v>
      </c>
      <c r="E22" s="77"/>
      <c r="F22" s="86">
        <f t="shared" ref="F22:O22" si="2">SUM(F20:F21)</f>
        <v>2483.6000000000004</v>
      </c>
      <c r="G22" s="86">
        <f t="shared" si="2"/>
        <v>2578</v>
      </c>
      <c r="H22" s="86">
        <f t="shared" si="2"/>
        <v>2759.1</v>
      </c>
      <c r="I22" s="86">
        <f t="shared" si="2"/>
        <v>2944.1000000000004</v>
      </c>
      <c r="J22" s="86">
        <f t="shared" si="2"/>
        <v>3216.2999999999997</v>
      </c>
      <c r="K22" s="139">
        <f t="shared" si="2"/>
        <v>3457.12</v>
      </c>
      <c r="L22" s="139">
        <f t="shared" si="2"/>
        <v>3692.21</v>
      </c>
      <c r="M22" s="139">
        <f t="shared" si="2"/>
        <v>3915.6699999999996</v>
      </c>
      <c r="N22" s="139">
        <f t="shared" si="2"/>
        <v>4092.7</v>
      </c>
      <c r="O22" s="139">
        <f t="shared" si="2"/>
        <v>4302.7</v>
      </c>
      <c r="P22" s="276"/>
    </row>
    <row r="23" spans="1:21" x14ac:dyDescent="0.2">
      <c r="D23" s="23"/>
      <c r="E23" s="77"/>
      <c r="F23" s="25"/>
      <c r="G23" s="25"/>
      <c r="H23" s="25"/>
      <c r="I23" s="25"/>
      <c r="J23" s="25"/>
      <c r="P23" s="276"/>
    </row>
    <row r="24" spans="1:21" x14ac:dyDescent="0.2">
      <c r="D24" s="23" t="s">
        <v>34</v>
      </c>
      <c r="F24" s="25"/>
      <c r="G24" s="25"/>
      <c r="H24" s="25"/>
      <c r="I24" s="25"/>
      <c r="J24" s="25"/>
      <c r="P24" s="276"/>
    </row>
    <row r="25" spans="1:21" x14ac:dyDescent="0.2">
      <c r="D25" s="24" t="s">
        <v>35</v>
      </c>
      <c r="F25" s="25">
        <v>-1851.8</v>
      </c>
      <c r="G25" s="25">
        <v>-2065.8000000000002</v>
      </c>
      <c r="H25" s="25">
        <v>-2000.3</v>
      </c>
      <c r="I25" s="25">
        <v>-2330.5</v>
      </c>
      <c r="J25" s="25">
        <v>-2487.1999999999998</v>
      </c>
      <c r="K25" s="81">
        <f>K76*K22</f>
        <v>-2652.8604150225101</v>
      </c>
      <c r="L25" s="81">
        <f>L76*L22</f>
        <v>-2833.2594046345694</v>
      </c>
      <c r="M25" s="81">
        <f>M76*M22</f>
        <v>-3004.7339812593118</v>
      </c>
      <c r="N25" s="81">
        <f>N76*N22</f>
        <v>-3140.5799684600556</v>
      </c>
      <c r="O25" s="81">
        <f>O76*O22</f>
        <v>-3301.72586075038</v>
      </c>
      <c r="P25" s="276"/>
      <c r="Q25" t="s">
        <v>36</v>
      </c>
    </row>
    <row r="26" spans="1:21" x14ac:dyDescent="0.2">
      <c r="D26" s="109" t="s">
        <v>37</v>
      </c>
      <c r="E26" s="79"/>
      <c r="F26" s="108">
        <f>SUM(F25:F25)</f>
        <v>-1851.8</v>
      </c>
      <c r="G26" s="108">
        <f>SUM(G25:G25)</f>
        <v>-2065.8000000000002</v>
      </c>
      <c r="H26" s="108">
        <f>SUM(H25:H25)</f>
        <v>-2000.3</v>
      </c>
      <c r="I26" s="108">
        <f>SUM(I25:I25)</f>
        <v>-2330.5</v>
      </c>
      <c r="J26" s="108">
        <f>SUM(J25:J25)</f>
        <v>-2487.1999999999998</v>
      </c>
      <c r="K26" s="195">
        <f>SUM(K25)</f>
        <v>-2652.8604150225101</v>
      </c>
      <c r="L26" s="195">
        <f t="shared" ref="L26:O26" si="3">SUM(L25)</f>
        <v>-2833.2594046345694</v>
      </c>
      <c r="M26" s="195">
        <f t="shared" si="3"/>
        <v>-3004.7339812593118</v>
      </c>
      <c r="N26" s="195">
        <f t="shared" si="3"/>
        <v>-3140.5799684600556</v>
      </c>
      <c r="O26" s="195">
        <f t="shared" si="3"/>
        <v>-3301.72586075038</v>
      </c>
      <c r="P26" s="276"/>
    </row>
    <row r="27" spans="1:21" x14ac:dyDescent="0.2">
      <c r="D27" s="33"/>
      <c r="E27" s="77"/>
      <c r="F27" s="78"/>
      <c r="G27" s="78"/>
      <c r="H27" s="78"/>
      <c r="I27" s="78"/>
      <c r="J27" s="78"/>
      <c r="N27" t="s">
        <v>38</v>
      </c>
    </row>
    <row r="28" spans="1:21" x14ac:dyDescent="0.2">
      <c r="D28" s="155" t="s">
        <v>39</v>
      </c>
      <c r="E28" s="76"/>
      <c r="F28" s="89">
        <f t="shared" ref="F28:J28" si="4">SUM(F22,F26)</f>
        <v>631.80000000000041</v>
      </c>
      <c r="G28" s="89">
        <f t="shared" si="4"/>
        <v>512.19999999999982</v>
      </c>
      <c r="H28" s="89">
        <f t="shared" si="4"/>
        <v>758.8</v>
      </c>
      <c r="I28" s="89">
        <f t="shared" si="4"/>
        <v>613.60000000000036</v>
      </c>
      <c r="J28" s="89">
        <f t="shared" si="4"/>
        <v>729.09999999999991</v>
      </c>
      <c r="K28" s="142">
        <f>SUM(K22,K26)</f>
        <v>804.25958497748979</v>
      </c>
      <c r="L28" s="142">
        <f t="shared" ref="L28:O28" si="5">SUM(L22,L26)</f>
        <v>858.95059536543067</v>
      </c>
      <c r="M28" s="142">
        <f t="shared" si="5"/>
        <v>910.93601874068781</v>
      </c>
      <c r="N28" s="142">
        <f t="shared" si="5"/>
        <v>952.12003153994419</v>
      </c>
      <c r="O28" s="142">
        <f t="shared" si="5"/>
        <v>1000.9741392496198</v>
      </c>
      <c r="P28" s="276"/>
    </row>
    <row r="29" spans="1:21" x14ac:dyDescent="0.2">
      <c r="D29" s="73" t="s">
        <v>40</v>
      </c>
      <c r="E29" s="65" t="s">
        <v>41</v>
      </c>
      <c r="F29" s="74">
        <f>F28/$F$22</f>
        <v>0.25438879046545348</v>
      </c>
      <c r="G29" s="74">
        <f>G28/$G$22</f>
        <v>0.19868114817688123</v>
      </c>
      <c r="H29" s="74">
        <f>H28/$H$22</f>
        <v>0.27501721575876192</v>
      </c>
      <c r="I29" s="74">
        <f>I28/$I$22</f>
        <v>0.20841683366733477</v>
      </c>
      <c r="J29" s="74">
        <f>J28/$J$22</f>
        <v>0.22668905263812456</v>
      </c>
      <c r="K29" s="74">
        <f t="shared" ref="K29:O29" si="6">K28/$J$22</f>
        <v>0.25005739047274506</v>
      </c>
      <c r="L29" s="74">
        <f t="shared" si="6"/>
        <v>0.26706171543868135</v>
      </c>
      <c r="M29" s="74">
        <f t="shared" si="6"/>
        <v>0.28322482938180144</v>
      </c>
      <c r="N29" s="74">
        <f t="shared" si="6"/>
        <v>0.29602960903520947</v>
      </c>
      <c r="O29" s="74">
        <f t="shared" si="6"/>
        <v>0.31121914599061651</v>
      </c>
      <c r="P29" s="276"/>
    </row>
    <row r="30" spans="1:21" x14ac:dyDescent="0.2">
      <c r="D30" s="33" t="s">
        <v>42</v>
      </c>
      <c r="E30" s="65" t="s">
        <v>41</v>
      </c>
      <c r="F30" s="28"/>
      <c r="G30" s="74">
        <f>G28/F28-1</f>
        <v>-0.18930041152263455</v>
      </c>
      <c r="H30" s="74">
        <f t="shared" ref="H30:J30" si="7">H28/G28-1</f>
        <v>0.48145255759468997</v>
      </c>
      <c r="I30" s="74">
        <f t="shared" si="7"/>
        <v>-0.1913547706905635</v>
      </c>
      <c r="J30" s="74">
        <f t="shared" si="7"/>
        <v>0.18823337679269803</v>
      </c>
      <c r="K30" s="74">
        <f t="shared" ref="K30" si="8">K28/J28-1</f>
        <v>0.10308542720818803</v>
      </c>
      <c r="L30" s="74">
        <f t="shared" ref="L30" si="9">L28/K28-1</f>
        <v>6.800168926736716E-2</v>
      </c>
      <c r="M30" s="74">
        <f t="shared" ref="M30" si="10">M28/L28-1</f>
        <v>6.0522017978392073E-2</v>
      </c>
      <c r="N30" s="74">
        <f t="shared" ref="N30" si="11">N28/M28-1</f>
        <v>4.5210653604619511E-2</v>
      </c>
      <c r="O30" s="74">
        <f t="shared" ref="O30" si="12">O28/N28-1</f>
        <v>5.1310870574437839E-2</v>
      </c>
      <c r="P30" s="276"/>
    </row>
    <row r="31" spans="1:21" x14ac:dyDescent="0.2">
      <c r="D31" s="23"/>
      <c r="F31" s="28"/>
      <c r="G31" s="28"/>
      <c r="H31" s="28"/>
      <c r="I31" s="28"/>
      <c r="J31" s="28"/>
      <c r="P31" s="276"/>
    </row>
    <row r="32" spans="1:21" x14ac:dyDescent="0.2">
      <c r="D32" s="23" t="s">
        <v>43</v>
      </c>
      <c r="F32" s="28"/>
      <c r="G32" s="28"/>
      <c r="H32" s="28"/>
      <c r="I32" s="28"/>
      <c r="J32" s="28"/>
      <c r="P32" s="276"/>
    </row>
    <row r="33" spans="4:17" x14ac:dyDescent="0.2">
      <c r="D33" s="24" t="s">
        <v>44</v>
      </c>
      <c r="F33" s="25">
        <v>-17.100000000000001</v>
      </c>
      <c r="G33" s="25">
        <v>-16.100000000000001</v>
      </c>
      <c r="H33" s="25">
        <v>-10.5</v>
      </c>
      <c r="I33" s="25">
        <v>-14.9</v>
      </c>
      <c r="J33" s="25">
        <v>-16.600000000000001</v>
      </c>
      <c r="K33" s="120">
        <f>K77*K26</f>
        <v>-18.752917252509519</v>
      </c>
      <c r="L33" s="120">
        <f>L77*L26</f>
        <v>-20.02814730437132</v>
      </c>
      <c r="M33" s="120">
        <f>M77*M26</f>
        <v>-21.240291195600371</v>
      </c>
      <c r="N33" s="120">
        <f>N77*N26</f>
        <v>-22.200578643305906</v>
      </c>
      <c r="O33" s="120">
        <f>O77*O26</f>
        <v>-23.339709660750191</v>
      </c>
      <c r="P33" s="276"/>
      <c r="Q33" t="s">
        <v>45</v>
      </c>
    </row>
    <row r="34" spans="4:17" x14ac:dyDescent="0.2">
      <c r="D34" s="24" t="s">
        <v>46</v>
      </c>
      <c r="E34" s="76"/>
      <c r="F34" s="25">
        <v>-331.4</v>
      </c>
      <c r="G34" s="25">
        <v>-337.8</v>
      </c>
      <c r="H34" s="25">
        <v>-386.1</v>
      </c>
      <c r="I34" s="25">
        <v>-440.6</v>
      </c>
      <c r="J34" s="25">
        <v>-451.4</v>
      </c>
      <c r="K34" s="196">
        <f>K78*K26</f>
        <v>-480.72462914650583</v>
      </c>
      <c r="L34" s="196">
        <f>L78*L26</f>
        <v>-513.41471600089676</v>
      </c>
      <c r="M34" s="196">
        <f>M78*M26</f>
        <v>-544.4876106730743</v>
      </c>
      <c r="N34" s="196">
        <f>N78*N26</f>
        <v>-569.10425143122154</v>
      </c>
      <c r="O34" s="196">
        <f>O78*O26</f>
        <v>-598.30548601977091</v>
      </c>
      <c r="P34" s="276"/>
      <c r="Q34" t="s">
        <v>45</v>
      </c>
    </row>
    <row r="35" spans="4:17" x14ac:dyDescent="0.2">
      <c r="D35" s="109" t="s">
        <v>47</v>
      </c>
      <c r="F35" s="87">
        <f t="shared" ref="F35:O35" si="13">SUM(F33:F34)</f>
        <v>-348.5</v>
      </c>
      <c r="G35" s="87">
        <f t="shared" si="13"/>
        <v>-353.90000000000003</v>
      </c>
      <c r="H35" s="87">
        <f t="shared" si="13"/>
        <v>-396.6</v>
      </c>
      <c r="I35" s="87">
        <f t="shared" si="13"/>
        <v>-455.5</v>
      </c>
      <c r="J35" s="87">
        <f t="shared" si="13"/>
        <v>-468</v>
      </c>
      <c r="K35" s="141">
        <f t="shared" si="13"/>
        <v>-499.47754639901535</v>
      </c>
      <c r="L35" s="141">
        <f t="shared" si="13"/>
        <v>-533.44286330526813</v>
      </c>
      <c r="M35" s="141">
        <f t="shared" si="13"/>
        <v>-565.72790186867462</v>
      </c>
      <c r="N35" s="141">
        <f t="shared" si="13"/>
        <v>-591.30483007452744</v>
      </c>
      <c r="O35" s="141">
        <f t="shared" si="13"/>
        <v>-621.64519568052106</v>
      </c>
      <c r="P35" s="276"/>
    </row>
    <row r="36" spans="4:17" x14ac:dyDescent="0.2">
      <c r="F36" s="156"/>
      <c r="G36" s="156"/>
      <c r="H36" s="156"/>
      <c r="I36" s="156"/>
      <c r="J36" s="156"/>
      <c r="P36" s="276"/>
    </row>
    <row r="37" spans="4:17" x14ac:dyDescent="0.2">
      <c r="D37" s="23" t="s">
        <v>48</v>
      </c>
      <c r="F37" s="156"/>
      <c r="G37" s="156"/>
      <c r="H37" s="156"/>
      <c r="I37" s="156"/>
      <c r="J37" s="156"/>
      <c r="P37" s="276"/>
    </row>
    <row r="38" spans="4:17" x14ac:dyDescent="0.2">
      <c r="D38" s="24" t="s">
        <v>49</v>
      </c>
      <c r="F38" s="156">
        <v>60.1</v>
      </c>
      <c r="G38" s="156">
        <v>24.1</v>
      </c>
      <c r="H38" s="156">
        <v>51.5</v>
      </c>
      <c r="I38" s="156">
        <v>137.5</v>
      </c>
      <c r="J38" s="156">
        <v>153</v>
      </c>
      <c r="K38" s="2">
        <f>K80*K22</f>
        <v>162.95786094455522</v>
      </c>
      <c r="L38" s="2">
        <f t="shared" ref="L38:O38" si="14">L80*L22</f>
        <v>174.03927076818169</v>
      </c>
      <c r="M38" s="2">
        <f t="shared" si="14"/>
        <v>184.57247864255984</v>
      </c>
      <c r="N38" s="2">
        <f t="shared" si="14"/>
        <v>192.91712103941464</v>
      </c>
      <c r="O38" s="2">
        <f t="shared" si="14"/>
        <v>202.81586646866111</v>
      </c>
      <c r="P38" s="276"/>
      <c r="Q38" t="s">
        <v>50</v>
      </c>
    </row>
    <row r="39" spans="4:17" x14ac:dyDescent="0.2">
      <c r="D39" s="24" t="s">
        <v>51</v>
      </c>
      <c r="F39" s="156">
        <v>-86.7</v>
      </c>
      <c r="G39" s="156">
        <v>-44.1</v>
      </c>
      <c r="H39" s="156">
        <v>-68.2</v>
      </c>
      <c r="I39" s="156">
        <v>-146</v>
      </c>
      <c r="J39" s="156">
        <v>-152.80000000000001</v>
      </c>
      <c r="K39" s="120">
        <f>K81*K35</f>
        <v>-161.58663535595792</v>
      </c>
      <c r="L39" s="120">
        <f>L81*L35</f>
        <v>-172.57479952319315</v>
      </c>
      <c r="M39" s="120">
        <f>M81*M35</f>
        <v>-183.01937464255329</v>
      </c>
      <c r="N39" s="120">
        <f>N81*N35</f>
        <v>-191.29380019245184</v>
      </c>
      <c r="O39" s="120">
        <f>O81*O35</f>
        <v>-201.10925161581898</v>
      </c>
      <c r="P39" s="276"/>
      <c r="Q39" t="s">
        <v>52</v>
      </c>
    </row>
    <row r="40" spans="4:17" x14ac:dyDescent="0.2">
      <c r="D40" s="24" t="s">
        <v>53</v>
      </c>
      <c r="F40" s="156">
        <v>-4</v>
      </c>
      <c r="G40" s="156">
        <v>-4.8</v>
      </c>
      <c r="H40" s="156">
        <v>-5.6</v>
      </c>
      <c r="I40" s="156">
        <v>-4.4000000000000004</v>
      </c>
      <c r="J40" s="156">
        <v>-3.8</v>
      </c>
      <c r="K40" s="2">
        <f>AVERAGE($F$40:$J$40)</f>
        <v>-4.5200000000000005</v>
      </c>
      <c r="L40" s="2">
        <f t="shared" ref="L40:O40" si="15">AVERAGE($F$40:$J$40)</f>
        <v>-4.5200000000000005</v>
      </c>
      <c r="M40" s="2">
        <f t="shared" si="15"/>
        <v>-4.5200000000000005</v>
      </c>
      <c r="N40" s="2">
        <f t="shared" si="15"/>
        <v>-4.5200000000000005</v>
      </c>
      <c r="O40" s="2">
        <f t="shared" si="15"/>
        <v>-4.5200000000000005</v>
      </c>
      <c r="P40" s="276"/>
      <c r="Q40" t="s">
        <v>50</v>
      </c>
    </row>
    <row r="41" spans="4:17" x14ac:dyDescent="0.2">
      <c r="D41" s="109" t="s">
        <v>54</v>
      </c>
      <c r="E41" s="79"/>
      <c r="F41" s="87">
        <f>SUM(F38:F40)</f>
        <v>-30.6</v>
      </c>
      <c r="G41" s="87">
        <f t="shared" ref="G41:J41" si="16">SUM(G38:G40)</f>
        <v>-24.8</v>
      </c>
      <c r="H41" s="87">
        <f t="shared" si="16"/>
        <v>-22.300000000000004</v>
      </c>
      <c r="I41" s="87">
        <f t="shared" si="16"/>
        <v>-12.9</v>
      </c>
      <c r="J41" s="87">
        <f t="shared" si="16"/>
        <v>-3.6000000000000112</v>
      </c>
      <c r="K41" s="197">
        <f>SUM(K38:K40)</f>
        <v>-3.1487744114027025</v>
      </c>
      <c r="L41" s="197">
        <f t="shared" ref="L41:O41" si="17">SUM(L38:L40)</f>
        <v>-3.0555287550114558</v>
      </c>
      <c r="M41" s="197">
        <f t="shared" si="17"/>
        <v>-2.9668959999934446</v>
      </c>
      <c r="N41" s="197">
        <f t="shared" si="17"/>
        <v>-2.8966791530372022</v>
      </c>
      <c r="O41" s="197">
        <f t="shared" si="17"/>
        <v>-2.8133851471578639</v>
      </c>
      <c r="P41" s="276"/>
    </row>
    <row r="42" spans="4:17" x14ac:dyDescent="0.2">
      <c r="F42" s="156"/>
      <c r="G42" s="156"/>
      <c r="H42" s="156"/>
      <c r="I42" s="156"/>
      <c r="J42" s="156"/>
      <c r="P42" s="276"/>
    </row>
    <row r="43" spans="4:17" x14ac:dyDescent="0.2">
      <c r="D43" s="23" t="s">
        <v>55</v>
      </c>
      <c r="E43" s="76"/>
      <c r="F43" s="86">
        <f t="shared" ref="F43:J43" si="18">SUM(F28,F35,F41)</f>
        <v>252.70000000000041</v>
      </c>
      <c r="G43" s="86">
        <f t="shared" si="18"/>
        <v>133.49999999999977</v>
      </c>
      <c r="H43" s="86">
        <f t="shared" si="18"/>
        <v>339.89999999999992</v>
      </c>
      <c r="I43" s="86">
        <f t="shared" si="18"/>
        <v>145.20000000000036</v>
      </c>
      <c r="J43" s="86">
        <f t="shared" si="18"/>
        <v>257.49999999999989</v>
      </c>
      <c r="K43" s="198">
        <f>SUM(K28,K35,K41)</f>
        <v>301.63326416707173</v>
      </c>
      <c r="L43" s="198">
        <f t="shared" ref="L43:O43" si="19">SUM(L28,L35,L41)</f>
        <v>322.4522033051511</v>
      </c>
      <c r="M43" s="198">
        <f t="shared" si="19"/>
        <v>342.24122087201977</v>
      </c>
      <c r="N43" s="198">
        <f t="shared" si="19"/>
        <v>357.91852231237954</v>
      </c>
      <c r="O43" s="198">
        <f t="shared" si="19"/>
        <v>376.51555842194091</v>
      </c>
      <c r="P43" s="276"/>
    </row>
    <row r="44" spans="4:17" x14ac:dyDescent="0.2">
      <c r="D44" s="80" t="s">
        <v>56</v>
      </c>
      <c r="E44" s="79" t="s">
        <v>41</v>
      </c>
      <c r="F44" s="84">
        <f>F43/$F$22</f>
        <v>0.10174746335963938</v>
      </c>
      <c r="G44" s="84">
        <f>G43/$G$22</f>
        <v>5.17843289371605E-2</v>
      </c>
      <c r="H44" s="84">
        <f>H43/$H$22</f>
        <v>0.12319234532999888</v>
      </c>
      <c r="I44" s="84">
        <f>I43/$I$22</f>
        <v>4.9318976936924809E-2</v>
      </c>
      <c r="J44" s="84">
        <f>J43/$J$22</f>
        <v>8.0060939588968663E-2</v>
      </c>
      <c r="K44" s="84">
        <f t="shared" ref="K44:O44" si="20">K43/$J$22</f>
        <v>9.3782689477682979E-2</v>
      </c>
      <c r="L44" s="84">
        <f t="shared" si="20"/>
        <v>0.10025563638502351</v>
      </c>
      <c r="M44" s="84">
        <f t="shared" si="20"/>
        <v>0.10640836391879482</v>
      </c>
      <c r="N44" s="84">
        <f t="shared" si="20"/>
        <v>0.1112826920101917</v>
      </c>
      <c r="O44" s="84">
        <f t="shared" si="20"/>
        <v>0.11706481311505175</v>
      </c>
      <c r="P44" s="276"/>
    </row>
    <row r="45" spans="4:17" x14ac:dyDescent="0.2">
      <c r="D45" s="33" t="s">
        <v>57</v>
      </c>
      <c r="E45" s="65" t="s">
        <v>41</v>
      </c>
      <c r="F45" s="156"/>
      <c r="G45" s="74">
        <f>(G43/F43)-1</f>
        <v>-0.47170557973882254</v>
      </c>
      <c r="H45" s="74">
        <f t="shared" ref="H45:I45" si="21">(H43/G43)-1</f>
        <v>1.5460674157303407</v>
      </c>
      <c r="I45" s="74">
        <f t="shared" si="21"/>
        <v>-0.57281553398058138</v>
      </c>
      <c r="J45" s="74">
        <f>(J43/I43)-1</f>
        <v>0.77341597796142736</v>
      </c>
      <c r="K45" s="74">
        <f t="shared" ref="K45" si="22">(K43/J43)-1</f>
        <v>0.17139131715367717</v>
      </c>
      <c r="L45" s="74">
        <f t="shared" ref="L45" si="23">(L43/K43)-1</f>
        <v>6.9020700338103147E-2</v>
      </c>
      <c r="M45" s="74">
        <f t="shared" ref="M45" si="24">(M43/L43)-1</f>
        <v>6.1370390290499621E-2</v>
      </c>
      <c r="N45" s="74">
        <f t="shared" ref="N45" si="25">(N43/M43)-1</f>
        <v>4.5807753374694338E-2</v>
      </c>
      <c r="O45" s="74">
        <f t="shared" ref="O45" si="26">(O43/N43)-1</f>
        <v>5.1958853622362966E-2</v>
      </c>
      <c r="P45" s="276"/>
    </row>
    <row r="46" spans="4:17" x14ac:dyDescent="0.2">
      <c r="D46" s="33"/>
      <c r="E46" s="77"/>
      <c r="F46" s="156"/>
      <c r="G46" s="78"/>
      <c r="H46" s="78"/>
      <c r="I46" s="78"/>
      <c r="J46" s="78"/>
      <c r="P46" s="276"/>
    </row>
    <row r="47" spans="4:17" x14ac:dyDescent="0.2">
      <c r="D47" s="85" t="s">
        <v>58</v>
      </c>
      <c r="F47" s="25">
        <v>-13.6</v>
      </c>
      <c r="G47" s="25">
        <v>-2.1</v>
      </c>
      <c r="H47" s="25">
        <v>-0.1</v>
      </c>
      <c r="I47" s="25">
        <v>-8.9</v>
      </c>
      <c r="J47" s="25">
        <v>-21.7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276"/>
      <c r="Q47" t="s">
        <v>59</v>
      </c>
    </row>
    <row r="48" spans="4:17" x14ac:dyDescent="0.2">
      <c r="D48" s="35" t="s">
        <v>60</v>
      </c>
      <c r="E48" s="76"/>
      <c r="F48" s="157">
        <v>-18.399999999999999</v>
      </c>
      <c r="G48" s="157">
        <v>-16.8</v>
      </c>
      <c r="H48" s="157">
        <v>-7.7</v>
      </c>
      <c r="I48" s="157">
        <v>-10.7</v>
      </c>
      <c r="J48" s="157">
        <v>-14.3</v>
      </c>
      <c r="K48" s="196">
        <f>'Supporting Schedules'!K99</f>
        <v>-56.012804411049373</v>
      </c>
      <c r="L48" s="196">
        <f>'Supporting Schedules'!L99</f>
        <v>-55.989343536011766</v>
      </c>
      <c r="M48" s="196">
        <f>'Supporting Schedules'!M99</f>
        <v>-56.061332985724633</v>
      </c>
      <c r="N48" s="196">
        <f>'Supporting Schedules'!N99</f>
        <v>-56.2149160847815</v>
      </c>
      <c r="O48" s="196">
        <f>'Supporting Schedules'!O99</f>
        <v>-56.438404445430734</v>
      </c>
      <c r="P48" s="276"/>
      <c r="Q48" t="s">
        <v>61</v>
      </c>
    </row>
    <row r="49" spans="4:19" x14ac:dyDescent="0.2">
      <c r="D49" s="158" t="s">
        <v>62</v>
      </c>
      <c r="F49" s="88">
        <f t="shared" ref="F49:J49" si="27">SUM(F43,F47:F48)</f>
        <v>220.70000000000041</v>
      </c>
      <c r="G49" s="88">
        <f t="shared" si="27"/>
        <v>114.59999999999978</v>
      </c>
      <c r="H49" s="88">
        <f t="shared" si="27"/>
        <v>332.09999999999991</v>
      </c>
      <c r="I49" s="88">
        <f t="shared" si="27"/>
        <v>125.60000000000035</v>
      </c>
      <c r="J49" s="88">
        <f t="shared" si="27"/>
        <v>221.49999999999989</v>
      </c>
      <c r="K49" s="134">
        <f>SUM(K43,K47:K48)</f>
        <v>245.62045975602234</v>
      </c>
      <c r="L49" s="134">
        <f t="shared" ref="L49:O49" si="28">SUM(L43,L47:L48)</f>
        <v>266.46285976913936</v>
      </c>
      <c r="M49" s="134">
        <f t="shared" si="28"/>
        <v>286.17988788629515</v>
      </c>
      <c r="N49" s="134">
        <f t="shared" si="28"/>
        <v>301.70360622759802</v>
      </c>
      <c r="O49" s="134">
        <f t="shared" si="28"/>
        <v>320.0771539765102</v>
      </c>
      <c r="P49" s="276"/>
    </row>
    <row r="50" spans="4:19" x14ac:dyDescent="0.2">
      <c r="D50" s="80" t="s">
        <v>63</v>
      </c>
      <c r="E50" s="79" t="s">
        <v>41</v>
      </c>
      <c r="F50" s="84">
        <f>F49/$F$22</f>
        <v>8.8862940892253328E-2</v>
      </c>
      <c r="G50" s="84">
        <f>G49/$G$22</f>
        <v>4.4453064391000691E-2</v>
      </c>
      <c r="H50" s="84">
        <f>H49/$H$22</f>
        <v>0.12036533652277914</v>
      </c>
      <c r="I50" s="84">
        <f>I49/$I$22</f>
        <v>4.2661594375191174E-2</v>
      </c>
      <c r="J50" s="84">
        <f>J49/$J$22</f>
        <v>6.8867953860025463E-2</v>
      </c>
      <c r="K50" s="84">
        <f t="shared" ref="K50:O50" si="29">K49/$J$22</f>
        <v>7.6367397244045135E-2</v>
      </c>
      <c r="L50" s="84">
        <f t="shared" si="29"/>
        <v>8.2847638519149142E-2</v>
      </c>
      <c r="M50" s="84">
        <f t="shared" si="29"/>
        <v>8.8977983361718485E-2</v>
      </c>
      <c r="N50" s="84">
        <f t="shared" si="29"/>
        <v>9.3804559968783396E-2</v>
      </c>
      <c r="O50" s="84">
        <f t="shared" si="29"/>
        <v>9.9517194906106471E-2</v>
      </c>
      <c r="P50" s="276"/>
    </row>
    <row r="51" spans="4:19" x14ac:dyDescent="0.2">
      <c r="D51" s="33" t="s">
        <v>64</v>
      </c>
      <c r="E51" s="65" t="s">
        <v>41</v>
      </c>
      <c r="F51" s="156"/>
      <c r="G51" s="74">
        <f>G49/F49-1</f>
        <v>-0.48074309016765038</v>
      </c>
      <c r="H51" s="74">
        <f t="shared" ref="H51:J51" si="30">H49/G49-1</f>
        <v>1.8979057591623083</v>
      </c>
      <c r="I51" s="74">
        <f t="shared" si="30"/>
        <v>-0.6218006624510678</v>
      </c>
      <c r="J51" s="74">
        <f t="shared" si="30"/>
        <v>0.7635350318471279</v>
      </c>
      <c r="K51" s="74">
        <f t="shared" ref="K51" si="31">K49/J49-1</f>
        <v>0.10889598083983065</v>
      </c>
      <c r="L51" s="74">
        <f t="shared" ref="L51" si="32">L49/K49-1</f>
        <v>8.4856123279876572E-2</v>
      </c>
      <c r="M51" s="74">
        <f t="shared" ref="M51" si="33">M49/L49-1</f>
        <v>7.3995408344106339E-2</v>
      </c>
      <c r="N51" s="74">
        <f t="shared" ref="N51" si="34">N49/M49-1</f>
        <v>5.4244616754727248E-2</v>
      </c>
      <c r="O51" s="74">
        <f t="shared" ref="O51" si="35">O49/N49-1</f>
        <v>6.0899330898456672E-2</v>
      </c>
      <c r="P51" s="276"/>
    </row>
    <row r="52" spans="4:19" x14ac:dyDescent="0.2">
      <c r="D52" s="33"/>
      <c r="F52" s="156"/>
      <c r="G52" s="75"/>
      <c r="H52" s="75"/>
      <c r="I52" s="75"/>
      <c r="J52" s="75"/>
      <c r="P52" s="276"/>
    </row>
    <row r="53" spans="4:19" x14ac:dyDescent="0.2">
      <c r="D53" s="174" t="s">
        <v>65</v>
      </c>
      <c r="F53" s="156">
        <v>0</v>
      </c>
      <c r="G53" s="156">
        <v>0.2</v>
      </c>
      <c r="H53" s="156">
        <v>0.3</v>
      </c>
      <c r="I53" s="156">
        <v>0.2</v>
      </c>
      <c r="J53" s="156">
        <v>0.2</v>
      </c>
      <c r="K53" s="2">
        <f>$J$53</f>
        <v>0.2</v>
      </c>
      <c r="L53" s="2">
        <f t="shared" ref="L53:O53" si="36">$J$53</f>
        <v>0.2</v>
      </c>
      <c r="M53" s="2">
        <f t="shared" si="36"/>
        <v>0.2</v>
      </c>
      <c r="N53" s="2">
        <f t="shared" si="36"/>
        <v>0.2</v>
      </c>
      <c r="O53" s="2">
        <f t="shared" si="36"/>
        <v>0.2</v>
      </c>
      <c r="P53" s="276"/>
      <c r="Q53" t="s">
        <v>32</v>
      </c>
      <c r="S53" t="s">
        <v>66</v>
      </c>
    </row>
    <row r="54" spans="4:19" x14ac:dyDescent="0.2">
      <c r="D54" s="174" t="s">
        <v>67</v>
      </c>
      <c r="F54" s="156">
        <v>-9.6999999999999993</v>
      </c>
      <c r="G54" s="156">
        <v>-7</v>
      </c>
      <c r="H54" s="156">
        <v>-7</v>
      </c>
      <c r="I54" s="156">
        <v>-14</v>
      </c>
      <c r="J54" s="156">
        <v>-17.600000000000001</v>
      </c>
      <c r="K54" s="120">
        <f ca="1">-'Supporting Schedules'!K157</f>
        <v>-14.087250747422891</v>
      </c>
      <c r="L54" s="120">
        <f ca="1">-'Supporting Schedules'!L157</f>
        <v>-15.18536620301839</v>
      </c>
      <c r="M54" s="120">
        <f ca="1">-'Supporting Schedules'!M157</f>
        <v>-16.342304560496999</v>
      </c>
      <c r="N54" s="120">
        <f ca="1">-'Supporting Schedules'!N157</f>
        <v>-17.545085355798509</v>
      </c>
      <c r="O54" s="120">
        <f ca="1">-'Supporting Schedules'!O157</f>
        <v>-18.80251770627126</v>
      </c>
      <c r="P54" s="276"/>
      <c r="Q54" t="s">
        <v>68</v>
      </c>
    </row>
    <row r="55" spans="4:19" x14ac:dyDescent="0.2">
      <c r="D55" s="174" t="s">
        <v>69</v>
      </c>
      <c r="F55" s="156">
        <v>18.600000000000001</v>
      </c>
      <c r="G55" s="156">
        <v>54.1</v>
      </c>
      <c r="H55" s="156">
        <v>-27.3</v>
      </c>
      <c r="I55" s="156">
        <v>57.3</v>
      </c>
      <c r="J55" s="156">
        <v>64.3</v>
      </c>
      <c r="K55" s="120">
        <f>AVERAGE($G$55:$J$55)</f>
        <v>37.099999999999994</v>
      </c>
      <c r="L55" s="120">
        <f>AVERAGE($G$55:$J$55)</f>
        <v>37.099999999999994</v>
      </c>
      <c r="M55" s="120">
        <f>AVERAGE($G$55:$J$55)</f>
        <v>37.099999999999994</v>
      </c>
      <c r="N55" s="120">
        <f>AVERAGE($G$55:$J$55)</f>
        <v>37.099999999999994</v>
      </c>
      <c r="O55" s="120">
        <f>AVERAGE($G$55:$J$55)</f>
        <v>37.099999999999994</v>
      </c>
      <c r="P55" s="276"/>
      <c r="S55" t="s">
        <v>70</v>
      </c>
    </row>
    <row r="56" spans="4:19" x14ac:dyDescent="0.2">
      <c r="D56" s="174" t="s">
        <v>71</v>
      </c>
      <c r="E56" s="76"/>
      <c r="F56" s="154">
        <v>-2</v>
      </c>
      <c r="G56" s="154">
        <v>-2.2999999999999998</v>
      </c>
      <c r="H56" s="154">
        <v>-2.7</v>
      </c>
      <c r="I56" s="154">
        <v>-2.6</v>
      </c>
      <c r="J56" s="154">
        <v>-2.6</v>
      </c>
      <c r="K56" s="133">
        <f>AVERAGE($G$56:$J$56)</f>
        <v>-2.5499999999999998</v>
      </c>
      <c r="L56" s="133">
        <f>AVERAGE($G$56:$J$56)</f>
        <v>-2.5499999999999998</v>
      </c>
      <c r="M56" s="133">
        <f>AVERAGE($G$56:$J$56)</f>
        <v>-2.5499999999999998</v>
      </c>
      <c r="N56" s="133">
        <f>AVERAGE($G$56:$J$56)</f>
        <v>-2.5499999999999998</v>
      </c>
      <c r="O56" s="133">
        <f>AVERAGE($G$56:$J$56)</f>
        <v>-2.5499999999999998</v>
      </c>
      <c r="P56" s="276"/>
      <c r="Q56" t="s">
        <v>72</v>
      </c>
    </row>
    <row r="57" spans="4:19" x14ac:dyDescent="0.2">
      <c r="D57" s="127" t="s">
        <v>73</v>
      </c>
      <c r="F57" s="89">
        <f>SUM(F49,F53:F56)</f>
        <v>227.60000000000042</v>
      </c>
      <c r="G57" s="89">
        <f t="shared" ref="G57:I57" si="37">SUM(G49,G53:G56)</f>
        <v>159.59999999999977</v>
      </c>
      <c r="H57" s="89">
        <f t="shared" si="37"/>
        <v>295.39999999999992</v>
      </c>
      <c r="I57" s="89">
        <f t="shared" si="37"/>
        <v>166.50000000000037</v>
      </c>
      <c r="J57" s="89">
        <f>SUM(J49,J53:J56)</f>
        <v>265.79999999999984</v>
      </c>
      <c r="K57" s="142">
        <f ca="1">SUM(K49,K53:K56)</f>
        <v>266.28320900859939</v>
      </c>
      <c r="L57" s="142">
        <f t="shared" ref="L57:O57" ca="1" si="38">SUM(L49,L53:L56)</f>
        <v>286.02749356612094</v>
      </c>
      <c r="M57" s="142">
        <f t="shared" ca="1" si="38"/>
        <v>304.58758332579811</v>
      </c>
      <c r="N57" s="142">
        <f t="shared" ca="1" si="38"/>
        <v>318.90852087179945</v>
      </c>
      <c r="O57" s="142">
        <f t="shared" ca="1" si="38"/>
        <v>336.02463627023889</v>
      </c>
      <c r="P57" s="276"/>
    </row>
    <row r="58" spans="4:19" x14ac:dyDescent="0.2">
      <c r="D58" s="80" t="s">
        <v>74</v>
      </c>
      <c r="E58" s="79" t="s">
        <v>41</v>
      </c>
      <c r="F58" s="84">
        <f>F57/$F$22</f>
        <v>9.1641166049283448E-2</v>
      </c>
      <c r="G58" s="84">
        <f>G57/$G$22</f>
        <v>6.1908456167571672E-2</v>
      </c>
      <c r="H58" s="84">
        <f>H57/$H$22</f>
        <v>0.10706389764778368</v>
      </c>
      <c r="I58" s="84">
        <f>I57/$I$22</f>
        <v>5.6553785537176167E-2</v>
      </c>
      <c r="J58" s="84">
        <f>J57/$J$22</f>
        <v>8.264154463203055E-2</v>
      </c>
      <c r="K58" s="84">
        <f t="shared" ref="K58:O58" ca="1" si="39">K57/$J$22</f>
        <v>8.2791782174734763E-2</v>
      </c>
      <c r="L58" s="84">
        <f t="shared" ca="1" si="39"/>
        <v>8.8930601488082878E-2</v>
      </c>
      <c r="M58" s="84">
        <f t="shared" ca="1" si="39"/>
        <v>9.4701235371637632E-2</v>
      </c>
      <c r="N58" s="84">
        <f t="shared" ca="1" si="39"/>
        <v>9.9153847859900973E-2</v>
      </c>
      <c r="O58" s="84">
        <f t="shared" ca="1" si="39"/>
        <v>0.10447552662072535</v>
      </c>
      <c r="P58" s="276"/>
    </row>
    <row r="59" spans="4:19" x14ac:dyDescent="0.2">
      <c r="D59" s="33" t="s">
        <v>75</v>
      </c>
      <c r="E59" s="65" t="s">
        <v>41</v>
      </c>
      <c r="F59" s="156"/>
      <c r="G59" s="74">
        <f>G57/F57-1</f>
        <v>-0.29876977152900053</v>
      </c>
      <c r="H59" s="74">
        <f t="shared" ref="H59:J59" si="40">H57/G57-1</f>
        <v>0.85087719298245834</v>
      </c>
      <c r="I59" s="74">
        <f t="shared" si="40"/>
        <v>-0.43635748138117669</v>
      </c>
      <c r="J59" s="74">
        <f t="shared" si="40"/>
        <v>0.59639639639639186</v>
      </c>
      <c r="K59" s="74">
        <f t="shared" ref="K59" ca="1" si="41">K57/J57-1</f>
        <v>1.8179420940540592E-3</v>
      </c>
      <c r="L59" s="74">
        <f t="shared" ref="L59" ca="1" si="42">L57/K57-1</f>
        <v>7.41476889625583E-2</v>
      </c>
      <c r="M59" s="74">
        <f t="shared" ref="M59" ca="1" si="43">M57/L57-1</f>
        <v>6.4889180855569162E-2</v>
      </c>
      <c r="N59" s="74">
        <f t="shared" ref="N59" ca="1" si="44">N57/M57-1</f>
        <v>4.7017469949466539E-2</v>
      </c>
      <c r="O59" s="74">
        <f t="shared" ref="O59" ca="1" si="45">O57/N57-1</f>
        <v>5.3670925291206206E-2</v>
      </c>
      <c r="P59" s="276"/>
    </row>
    <row r="60" spans="4:19" x14ac:dyDescent="0.2">
      <c r="P60" s="276"/>
    </row>
    <row r="61" spans="4:19" x14ac:dyDescent="0.2">
      <c r="D61" s="24" t="s">
        <v>76</v>
      </c>
      <c r="E61" s="76"/>
      <c r="F61" s="156">
        <v>-66.400000000000006</v>
      </c>
      <c r="G61" s="156">
        <v>-49.2</v>
      </c>
      <c r="H61" s="156">
        <v>-88.5</v>
      </c>
      <c r="I61" s="25">
        <v>-57.4</v>
      </c>
      <c r="J61" s="25">
        <v>-83.2</v>
      </c>
      <c r="K61" s="81">
        <f ca="1">-K57*$E$15</f>
        <v>-79.884962702579813</v>
      </c>
      <c r="L61" s="81">
        <f t="shared" ref="L61:O61" ca="1" si="46">-L57*$E$15</f>
        <v>-85.808248069836282</v>
      </c>
      <c r="M61" s="81">
        <f t="shared" ca="1" si="46"/>
        <v>-91.376274997739429</v>
      </c>
      <c r="N61" s="81">
        <f t="shared" ca="1" si="46"/>
        <v>-95.672556261539839</v>
      </c>
      <c r="O61" s="81">
        <f t="shared" ca="1" si="46"/>
        <v>-100.80739088107167</v>
      </c>
      <c r="P61" s="276"/>
      <c r="Q61" t="s">
        <v>77</v>
      </c>
    </row>
    <row r="62" spans="4:19" x14ac:dyDescent="0.2">
      <c r="D62" s="127" t="s">
        <v>78</v>
      </c>
      <c r="E62" s="128"/>
      <c r="F62" s="129">
        <f t="shared" ref="F62:K62" si="47">F57+F61</f>
        <v>161.20000000000041</v>
      </c>
      <c r="G62" s="129">
        <f t="shared" si="47"/>
        <v>110.39999999999976</v>
      </c>
      <c r="H62" s="129">
        <f t="shared" si="47"/>
        <v>206.89999999999992</v>
      </c>
      <c r="I62" s="129">
        <f t="shared" si="47"/>
        <v>109.10000000000036</v>
      </c>
      <c r="J62" s="129">
        <f t="shared" si="47"/>
        <v>182.59999999999985</v>
      </c>
      <c r="K62" s="143">
        <f t="shared" ca="1" si="47"/>
        <v>186.39824630601959</v>
      </c>
      <c r="L62" s="143">
        <f t="shared" ref="L62:O62" ca="1" si="48">L57+L61</f>
        <v>200.21924549628466</v>
      </c>
      <c r="M62" s="143">
        <f t="shared" ca="1" si="48"/>
        <v>213.21130832805869</v>
      </c>
      <c r="N62" s="143">
        <f t="shared" ca="1" si="48"/>
        <v>223.2359646102596</v>
      </c>
      <c r="O62" s="143">
        <f t="shared" ca="1" si="48"/>
        <v>235.2172453891672</v>
      </c>
      <c r="P62" s="9"/>
      <c r="Q62" s="24"/>
      <c r="R62" s="24"/>
      <c r="S62" s="24"/>
    </row>
    <row r="63" spans="4:19" x14ac:dyDescent="0.2">
      <c r="D63" s="24" t="s">
        <v>79</v>
      </c>
      <c r="E63" s="77"/>
      <c r="F63" s="130">
        <v>0</v>
      </c>
      <c r="G63" s="130">
        <v>0</v>
      </c>
      <c r="H63" s="130">
        <v>-1.2</v>
      </c>
      <c r="I63" s="130">
        <v>-0.6</v>
      </c>
      <c r="J63" s="130">
        <v>-1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9"/>
      <c r="Q63" s="24" t="s">
        <v>80</v>
      </c>
      <c r="R63" s="24"/>
      <c r="S63" s="24"/>
    </row>
    <row r="64" spans="4:19" ht="15" thickBot="1" x14ac:dyDescent="0.25">
      <c r="D64" s="31" t="s">
        <v>81</v>
      </c>
      <c r="E64" s="67"/>
      <c r="F64" s="90">
        <f>F62+F63</f>
        <v>161.20000000000041</v>
      </c>
      <c r="G64" s="90">
        <f t="shared" ref="G64:I64" si="49">G62+G63</f>
        <v>110.39999999999976</v>
      </c>
      <c r="H64" s="90">
        <f t="shared" si="49"/>
        <v>205.69999999999993</v>
      </c>
      <c r="I64" s="90">
        <f t="shared" si="49"/>
        <v>108.50000000000037</v>
      </c>
      <c r="J64" s="90">
        <f>J62+J63</f>
        <v>181.59999999999985</v>
      </c>
      <c r="K64" s="144">
        <f ca="1">K62+K63</f>
        <v>186.39824630601959</v>
      </c>
      <c r="L64" s="144">
        <f t="shared" ref="L64:O64" ca="1" si="50">L62+L63</f>
        <v>200.21924549628466</v>
      </c>
      <c r="M64" s="144">
        <f t="shared" ca="1" si="50"/>
        <v>213.21130832805869</v>
      </c>
      <c r="N64" s="144">
        <f t="shared" ca="1" si="50"/>
        <v>223.2359646102596</v>
      </c>
      <c r="O64" s="144">
        <f t="shared" ca="1" si="50"/>
        <v>235.2172453891672</v>
      </c>
      <c r="P64" s="140"/>
      <c r="Q64" s="140"/>
      <c r="R64" s="140"/>
      <c r="S64" s="140"/>
    </row>
    <row r="65" spans="1:19" x14ac:dyDescent="0.2">
      <c r="D65" s="23"/>
      <c r="E65" s="77"/>
      <c r="F65" s="82"/>
      <c r="G65" s="82"/>
      <c r="H65" s="82"/>
      <c r="I65" s="82"/>
      <c r="J65" s="82"/>
      <c r="P65" s="276"/>
    </row>
    <row r="66" spans="1:19" x14ac:dyDescent="0.2">
      <c r="D66" s="23" t="s">
        <v>82</v>
      </c>
      <c r="E66" s="77"/>
      <c r="F66" s="82"/>
      <c r="G66" s="82"/>
      <c r="H66" s="82"/>
      <c r="I66" s="82"/>
      <c r="J66" s="82"/>
      <c r="P66" s="276"/>
    </row>
    <row r="67" spans="1:19" x14ac:dyDescent="0.2">
      <c r="D67" s="24" t="s">
        <v>83</v>
      </c>
      <c r="E67" s="77" t="s">
        <v>84</v>
      </c>
      <c r="F67" s="25">
        <v>35.5</v>
      </c>
      <c r="G67" s="25">
        <v>24.3</v>
      </c>
      <c r="H67" s="25">
        <v>45.3</v>
      </c>
      <c r="I67" s="25">
        <v>24.1</v>
      </c>
      <c r="J67" s="25">
        <v>38.299999999999997</v>
      </c>
      <c r="P67" s="276"/>
    </row>
    <row r="68" spans="1:19" x14ac:dyDescent="0.2">
      <c r="D68" s="24" t="s">
        <v>85</v>
      </c>
      <c r="E68" s="77" t="s">
        <v>84</v>
      </c>
      <c r="F68" s="25">
        <v>35.5</v>
      </c>
      <c r="G68" s="25">
        <v>24.3</v>
      </c>
      <c r="H68" s="25">
        <v>45.3</v>
      </c>
      <c r="I68" s="25">
        <v>24.1</v>
      </c>
      <c r="J68" s="25">
        <v>38.299999999999997</v>
      </c>
      <c r="P68" s="276"/>
    </row>
    <row r="69" spans="1:19" x14ac:dyDescent="0.2">
      <c r="D69" s="23"/>
      <c r="F69" s="23"/>
      <c r="G69" s="23"/>
      <c r="H69" s="23"/>
      <c r="I69" s="23"/>
      <c r="J69" s="23"/>
      <c r="P69" s="276"/>
    </row>
    <row r="70" spans="1:19" x14ac:dyDescent="0.2">
      <c r="A70" s="24" t="s">
        <v>17</v>
      </c>
      <c r="B70" s="106" t="s">
        <v>86</v>
      </c>
      <c r="C70" s="106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72"/>
      <c r="Q70" s="100"/>
      <c r="R70" s="100"/>
      <c r="S70" s="100"/>
    </row>
    <row r="71" spans="1:19" x14ac:dyDescent="0.2">
      <c r="D71" s="23"/>
      <c r="F71" s="23"/>
      <c r="G71" s="23"/>
      <c r="H71" s="23"/>
      <c r="I71" s="23"/>
      <c r="J71" s="23"/>
      <c r="P71" s="276"/>
    </row>
    <row r="72" spans="1:19" x14ac:dyDescent="0.2">
      <c r="D72" s="168" t="s">
        <v>87</v>
      </c>
      <c r="E72" s="169"/>
      <c r="F72" s="170"/>
      <c r="G72" s="170"/>
      <c r="H72" s="170"/>
      <c r="I72" s="170"/>
      <c r="J72" s="170"/>
      <c r="K72" s="171"/>
      <c r="L72" s="171"/>
      <c r="M72" s="171"/>
      <c r="N72" s="171"/>
      <c r="O72" s="171"/>
      <c r="P72" s="277"/>
      <c r="Q72" s="171"/>
      <c r="R72" s="171"/>
      <c r="S72" s="171"/>
    </row>
    <row r="73" spans="1:19" x14ac:dyDescent="0.2">
      <c r="P73" s="276"/>
    </row>
    <row r="74" spans="1:19" x14ac:dyDescent="0.2">
      <c r="D74" s="24" t="s">
        <v>88</v>
      </c>
      <c r="E74" s="65" t="s">
        <v>41</v>
      </c>
      <c r="F74" s="164"/>
      <c r="G74" s="164">
        <f t="shared" ref="G74:O74" si="51">(G20-F20)/F20</f>
        <v>3.8027260262924314E-2</v>
      </c>
      <c r="H74" s="164">
        <f t="shared" si="51"/>
        <v>6.9849656190513268E-2</v>
      </c>
      <c r="I74" s="164">
        <f t="shared" si="51"/>
        <v>6.7322705980609354E-2</v>
      </c>
      <c r="J74" s="164">
        <f t="shared" si="51"/>
        <v>9.264110502500586E-2</v>
      </c>
      <c r="K74" s="164">
        <f t="shared" si="51"/>
        <v>7.4984431436044399E-2</v>
      </c>
      <c r="L74" s="164">
        <f t="shared" si="51"/>
        <v>6.8094264313148495E-2</v>
      </c>
      <c r="M74" s="164">
        <f t="shared" si="51"/>
        <v>6.0599157697199348E-2</v>
      </c>
      <c r="N74" s="164">
        <f t="shared" si="51"/>
        <v>4.5264985412826031E-2</v>
      </c>
      <c r="O74" s="164">
        <f t="shared" si="51"/>
        <v>5.1369863013698627E-2</v>
      </c>
      <c r="P74" s="276"/>
    </row>
    <row r="75" spans="1:19" x14ac:dyDescent="0.2">
      <c r="P75" s="276"/>
    </row>
    <row r="76" spans="1:19" x14ac:dyDescent="0.2">
      <c r="D76" s="83" t="s">
        <v>89</v>
      </c>
      <c r="E76" s="76" t="s">
        <v>41</v>
      </c>
      <c r="F76" s="162">
        <f>F26/F22</f>
        <v>-0.74561120953454652</v>
      </c>
      <c r="G76" s="162">
        <f>G26/G22</f>
        <v>-0.80131885182311879</v>
      </c>
      <c r="H76" s="162">
        <f>H26/H22</f>
        <v>-0.72498278424123808</v>
      </c>
      <c r="I76" s="162">
        <f>I26/I22</f>
        <v>-0.79158316633266523</v>
      </c>
      <c r="J76" s="162">
        <f>J26/J22</f>
        <v>-0.77331094736187544</v>
      </c>
      <c r="K76" s="163">
        <f>AVERAGE($F$76:$J$76)</f>
        <v>-0.76736139185868879</v>
      </c>
      <c r="L76" s="163">
        <f t="shared" ref="L76:O76" si="52">AVERAGE($F$76:$J$76)</f>
        <v>-0.76736139185868879</v>
      </c>
      <c r="M76" s="163">
        <f t="shared" si="52"/>
        <v>-0.76736139185868879</v>
      </c>
      <c r="N76" s="163">
        <f t="shared" si="52"/>
        <v>-0.76736139185868879</v>
      </c>
      <c r="O76" s="163">
        <f t="shared" si="52"/>
        <v>-0.76736139185868879</v>
      </c>
      <c r="P76" s="276"/>
      <c r="Q76" t="s">
        <v>90</v>
      </c>
    </row>
    <row r="77" spans="1:19" x14ac:dyDescent="0.2">
      <c r="D77" s="85" t="s">
        <v>91</v>
      </c>
      <c r="E77" s="65" t="s">
        <v>41</v>
      </c>
      <c r="F77" s="75">
        <f>F33/F26</f>
        <v>9.2342585592396602E-3</v>
      </c>
      <c r="G77" s="75">
        <f>G33/G26</f>
        <v>7.7935908606835127E-3</v>
      </c>
      <c r="H77" s="75">
        <f>H33/H26</f>
        <v>5.2492126181072837E-3</v>
      </c>
      <c r="I77" s="75">
        <f>I33/I26</f>
        <v>6.3934777944647074E-3</v>
      </c>
      <c r="J77" s="75">
        <f>J33/J26</f>
        <v>6.6741717594081705E-3</v>
      </c>
      <c r="K77" s="6">
        <f>AVERAGE($F77:$J77)</f>
        <v>7.0689423183806664E-3</v>
      </c>
      <c r="L77" s="6">
        <f t="shared" ref="L77:O77" si="53">AVERAGE($F77:$J77)</f>
        <v>7.0689423183806664E-3</v>
      </c>
      <c r="M77" s="6">
        <f t="shared" si="53"/>
        <v>7.0689423183806664E-3</v>
      </c>
      <c r="N77" s="6">
        <f t="shared" si="53"/>
        <v>7.0689423183806664E-3</v>
      </c>
      <c r="O77" s="6">
        <f t="shared" si="53"/>
        <v>7.0689423183806664E-3</v>
      </c>
      <c r="P77" s="276"/>
      <c r="Q77" t="s">
        <v>90</v>
      </c>
    </row>
    <row r="78" spans="1:19" x14ac:dyDescent="0.2">
      <c r="D78" s="85" t="s">
        <v>92</v>
      </c>
      <c r="E78" s="65" t="s">
        <v>41</v>
      </c>
      <c r="F78" s="75">
        <f>F34/F26</f>
        <v>0.17896101090830543</v>
      </c>
      <c r="G78" s="75">
        <f>G34/G26</f>
        <v>0.16352018588440312</v>
      </c>
      <c r="H78" s="75">
        <f>H34/H26</f>
        <v>0.19302104684297358</v>
      </c>
      <c r="I78" s="75">
        <f>I34/I26</f>
        <v>0.18905814202960738</v>
      </c>
      <c r="J78" s="75">
        <f>J34/J26</f>
        <v>0.18148922483113542</v>
      </c>
      <c r="K78" s="6">
        <f>AVERAGE($F$78:$J$78)</f>
        <v>0.18120992209928496</v>
      </c>
      <c r="L78" s="6">
        <f t="shared" ref="L78:O78" si="54">AVERAGE($F$78:$J$78)</f>
        <v>0.18120992209928496</v>
      </c>
      <c r="M78" s="6">
        <f t="shared" si="54"/>
        <v>0.18120992209928496</v>
      </c>
      <c r="N78" s="6">
        <f t="shared" si="54"/>
        <v>0.18120992209928496</v>
      </c>
      <c r="O78" s="6">
        <f t="shared" si="54"/>
        <v>0.18120992209928496</v>
      </c>
      <c r="P78" s="276"/>
      <c r="Q78" t="s">
        <v>90</v>
      </c>
    </row>
    <row r="79" spans="1:19" x14ac:dyDescent="0.2">
      <c r="D79" s="85"/>
      <c r="K79" s="24"/>
      <c r="P79" s="276"/>
    </row>
    <row r="80" spans="1:19" x14ac:dyDescent="0.2">
      <c r="D80" s="85" t="s">
        <v>381</v>
      </c>
      <c r="E80" s="65" t="s">
        <v>41</v>
      </c>
      <c r="F80" s="75">
        <f>F38/F22</f>
        <v>2.4198743759059428E-2</v>
      </c>
      <c r="G80" s="75">
        <f t="shared" ref="G80:J80" si="55">G38/G22</f>
        <v>9.3483320403413509E-3</v>
      </c>
      <c r="H80" s="75">
        <f t="shared" si="55"/>
        <v>1.8665506868181653E-2</v>
      </c>
      <c r="I80" s="75">
        <f t="shared" si="55"/>
        <v>4.6703576644815045E-2</v>
      </c>
      <c r="J80" s="75">
        <f t="shared" si="55"/>
        <v>4.7570189348008586E-2</v>
      </c>
      <c r="K80" s="75">
        <f>AVERAGE($I$80:$J$80)</f>
        <v>4.7136882996411819E-2</v>
      </c>
      <c r="L80" s="75">
        <f t="shared" ref="L80:O80" si="56">AVERAGE($I$80:$J$80)</f>
        <v>4.7136882996411819E-2</v>
      </c>
      <c r="M80" s="75">
        <f t="shared" si="56"/>
        <v>4.7136882996411819E-2</v>
      </c>
      <c r="N80" s="75">
        <f t="shared" si="56"/>
        <v>4.7136882996411819E-2</v>
      </c>
      <c r="O80" s="75">
        <f t="shared" si="56"/>
        <v>4.7136882996411819E-2</v>
      </c>
      <c r="P80" s="276"/>
      <c r="Q80" t="s">
        <v>382</v>
      </c>
    </row>
    <row r="81" spans="1:19" x14ac:dyDescent="0.2">
      <c r="D81" s="24" t="s">
        <v>93</v>
      </c>
      <c r="E81" s="65" t="s">
        <v>41</v>
      </c>
      <c r="F81" s="164">
        <f>F39/F35</f>
        <v>0.24878048780487805</v>
      </c>
      <c r="G81" s="164">
        <f>G39/G35</f>
        <v>0.12461147216727889</v>
      </c>
      <c r="H81" s="164">
        <f>H39/H35</f>
        <v>0.17196167423096317</v>
      </c>
      <c r="I81" s="164">
        <f>I39/I35</f>
        <v>0.32052689352360042</v>
      </c>
      <c r="J81" s="164">
        <f>J39/J35</f>
        <v>0.3264957264957265</v>
      </c>
      <c r="K81" s="164">
        <f>AVERAGE($I$81:$J$81)</f>
        <v>0.32351131000966349</v>
      </c>
      <c r="L81" s="164">
        <f t="shared" ref="L81:O81" si="57">AVERAGE($I$81:$J$81)</f>
        <v>0.32351131000966349</v>
      </c>
      <c r="M81" s="164">
        <f t="shared" si="57"/>
        <v>0.32351131000966349</v>
      </c>
      <c r="N81" s="164">
        <f t="shared" si="57"/>
        <v>0.32351131000966349</v>
      </c>
      <c r="O81" s="164">
        <f t="shared" si="57"/>
        <v>0.32351131000966349</v>
      </c>
      <c r="P81" s="276"/>
      <c r="Q81" t="s">
        <v>382</v>
      </c>
    </row>
    <row r="82" spans="1:19" x14ac:dyDescent="0.2">
      <c r="D82" s="165" t="s">
        <v>94</v>
      </c>
      <c r="E82" s="79" t="s">
        <v>41</v>
      </c>
      <c r="F82" s="166">
        <f>F61/F57</f>
        <v>-0.29173989455184485</v>
      </c>
      <c r="G82" s="166">
        <f t="shared" ref="G82:J82" si="58">G61/G57</f>
        <v>-0.30827067669172981</v>
      </c>
      <c r="H82" s="166">
        <f t="shared" si="58"/>
        <v>-0.29959377115775226</v>
      </c>
      <c r="I82" s="166">
        <f t="shared" si="58"/>
        <v>-0.34474474474474398</v>
      </c>
      <c r="J82" s="166">
        <f t="shared" si="58"/>
        <v>-0.31301730624529739</v>
      </c>
      <c r="K82" s="167">
        <f>-$E$15</f>
        <v>-0.3</v>
      </c>
      <c r="L82" s="167">
        <f t="shared" ref="L82:O82" si="59">-$E$15</f>
        <v>-0.3</v>
      </c>
      <c r="M82" s="167">
        <f t="shared" si="59"/>
        <v>-0.3</v>
      </c>
      <c r="N82" s="167">
        <f t="shared" si="59"/>
        <v>-0.3</v>
      </c>
      <c r="O82" s="167">
        <f t="shared" si="59"/>
        <v>-0.3</v>
      </c>
      <c r="P82" s="276"/>
    </row>
    <row r="83" spans="1:19" x14ac:dyDescent="0.2">
      <c r="F83" s="23"/>
      <c r="G83" s="29"/>
      <c r="H83" s="29"/>
      <c r="I83" s="29"/>
      <c r="J83" s="29"/>
      <c r="P83" s="276"/>
    </row>
    <row r="84" spans="1:19" x14ac:dyDescent="0.2">
      <c r="A84" s="24" t="s">
        <v>17</v>
      </c>
      <c r="B84" s="106" t="s">
        <v>95</v>
      </c>
      <c r="C84" s="106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72"/>
      <c r="Q84" s="100"/>
      <c r="R84" s="100"/>
      <c r="S84" s="100"/>
    </row>
    <row r="85" spans="1:19" x14ac:dyDescent="0.2">
      <c r="P85" s="276"/>
    </row>
    <row r="86" spans="1:19" x14ac:dyDescent="0.2">
      <c r="D86" s="32" t="s">
        <v>96</v>
      </c>
      <c r="P86" s="276"/>
    </row>
    <row r="87" spans="1:19" x14ac:dyDescent="0.2">
      <c r="D87" s="24" t="s">
        <v>97</v>
      </c>
      <c r="F87" s="25">
        <v>198</v>
      </c>
      <c r="G87" s="25">
        <v>213.9</v>
      </c>
      <c r="H87" s="25">
        <v>206.9</v>
      </c>
      <c r="I87" s="25">
        <v>243</v>
      </c>
      <c r="J87" s="25">
        <v>275.3</v>
      </c>
      <c r="K87" s="120">
        <f ca="1">J87+K171</f>
        <v>422.06848467353967</v>
      </c>
      <c r="L87" s="120">
        <f ca="1">K87+L171</f>
        <v>556.301016687225</v>
      </c>
      <c r="M87" s="120">
        <f ca="1">L87+M171</f>
        <v>723.19536467875582</v>
      </c>
      <c r="N87" s="120">
        <f ca="1">M87+N171</f>
        <v>857.01231219913814</v>
      </c>
      <c r="O87" s="120">
        <f ca="1">N87+O171</f>
        <v>1033.4329050698136</v>
      </c>
      <c r="P87" s="276"/>
    </row>
    <row r="88" spans="1:19" x14ac:dyDescent="0.2">
      <c r="D88" s="24" t="s">
        <v>98</v>
      </c>
      <c r="F88" s="25">
        <v>86.4</v>
      </c>
      <c r="G88" s="25">
        <v>93.9</v>
      </c>
      <c r="H88" s="25">
        <v>40.4</v>
      </c>
      <c r="I88" s="25">
        <v>41.2</v>
      </c>
      <c r="J88" s="25">
        <v>42.8</v>
      </c>
      <c r="K88" s="289">
        <f>'Supporting Schedules'!K15</f>
        <v>75.328302936802288</v>
      </c>
      <c r="L88" s="289">
        <f>'Supporting Schedules'!L15</f>
        <v>50.832924149989836</v>
      </c>
      <c r="M88" s="289">
        <f>'Supporting Schedules'!M15</f>
        <v>82.963834990725147</v>
      </c>
      <c r="N88" s="289">
        <f>'Supporting Schedules'!N15</f>
        <v>56.881963080921381</v>
      </c>
      <c r="O88" s="289">
        <f>'Supporting Schedules'!O15</f>
        <v>90.139444635958327</v>
      </c>
      <c r="P88" s="276"/>
      <c r="Q88" t="s">
        <v>99</v>
      </c>
    </row>
    <row r="89" spans="1:19" x14ac:dyDescent="0.2">
      <c r="D89" s="288" t="s">
        <v>100</v>
      </c>
      <c r="F89" s="25">
        <v>8.8000000000000007</v>
      </c>
      <c r="G89" s="25">
        <v>7.7</v>
      </c>
      <c r="H89" s="25">
        <v>8.1999999999999993</v>
      </c>
      <c r="I89" s="25">
        <v>6.5</v>
      </c>
      <c r="J89" s="25">
        <v>6</v>
      </c>
      <c r="K89" s="289">
        <f>$J$89</f>
        <v>6</v>
      </c>
      <c r="L89" s="289">
        <f t="shared" ref="L89:O89" si="60">$J$89</f>
        <v>6</v>
      </c>
      <c r="M89" s="289">
        <f t="shared" si="60"/>
        <v>6</v>
      </c>
      <c r="N89" s="289">
        <f t="shared" si="60"/>
        <v>6</v>
      </c>
      <c r="O89" s="289">
        <f t="shared" si="60"/>
        <v>6</v>
      </c>
      <c r="P89" s="276"/>
      <c r="Q89" t="s">
        <v>101</v>
      </c>
    </row>
    <row r="90" spans="1:19" x14ac:dyDescent="0.2">
      <c r="D90" s="288" t="s">
        <v>102</v>
      </c>
      <c r="F90" s="25">
        <v>828.6</v>
      </c>
      <c r="G90" s="25">
        <v>870.1</v>
      </c>
      <c r="H90" s="25">
        <v>1010.1</v>
      </c>
      <c r="I90" s="25">
        <v>1070.4000000000001</v>
      </c>
      <c r="J90" s="25">
        <v>1084.9000000000001</v>
      </c>
      <c r="K90" s="289">
        <f>$J$90</f>
        <v>1084.9000000000001</v>
      </c>
      <c r="L90" s="289">
        <f t="shared" ref="L90:O90" si="61">$J$90</f>
        <v>1084.9000000000001</v>
      </c>
      <c r="M90" s="289">
        <f t="shared" si="61"/>
        <v>1084.9000000000001</v>
      </c>
      <c r="N90" s="289">
        <f t="shared" si="61"/>
        <v>1084.9000000000001</v>
      </c>
      <c r="O90" s="289">
        <f t="shared" si="61"/>
        <v>1084.9000000000001</v>
      </c>
      <c r="P90" s="276"/>
      <c r="Q90" t="s">
        <v>101</v>
      </c>
    </row>
    <row r="91" spans="1:19" x14ac:dyDescent="0.2">
      <c r="D91" s="288" t="s">
        <v>103</v>
      </c>
      <c r="F91" s="25">
        <v>0</v>
      </c>
      <c r="G91" s="25">
        <v>0</v>
      </c>
      <c r="H91" s="25">
        <v>7.2</v>
      </c>
      <c r="I91" s="25">
        <v>10.9</v>
      </c>
      <c r="J91" s="25">
        <v>13.1</v>
      </c>
      <c r="K91" s="120">
        <f>'Supporting Schedules'!K25</f>
        <v>11.967246826638007</v>
      </c>
      <c r="L91" s="120">
        <f>'Supporting Schedules'!L25</f>
        <v>12.78103982672893</v>
      </c>
      <c r="M91" s="120">
        <f>'Supporting Schedules'!M25</f>
        <v>13.554574148904766</v>
      </c>
      <c r="N91" s="120">
        <f>'Supporting Schedules'!N25</f>
        <v>14.167385305509029</v>
      </c>
      <c r="O91" s="120">
        <f>'Supporting Schedules'!O25</f>
        <v>14.89432617929819</v>
      </c>
      <c r="P91" s="276"/>
      <c r="Q91" t="s">
        <v>104</v>
      </c>
    </row>
    <row r="92" spans="1:19" x14ac:dyDescent="0.2">
      <c r="D92" s="288" t="s">
        <v>105</v>
      </c>
      <c r="F92" s="25">
        <v>0</v>
      </c>
      <c r="G92" s="25">
        <v>0</v>
      </c>
      <c r="H92" s="25">
        <v>2.4</v>
      </c>
      <c r="I92" s="25">
        <v>3.8</v>
      </c>
      <c r="J92" s="25">
        <v>1.8</v>
      </c>
      <c r="K92" s="120">
        <f>'Supporting Schedules'!K28</f>
        <v>3.1347034314588229</v>
      </c>
      <c r="L92" s="120">
        <f>'Supporting Schedules'!L28</f>
        <v>3.3478685601502352</v>
      </c>
      <c r="M92" s="120">
        <f>'Supporting Schedules'!M28</f>
        <v>3.550488321336942</v>
      </c>
      <c r="N92" s="120">
        <f>'Supporting Schedules'!N28</f>
        <v>3.7110082189601532</v>
      </c>
      <c r="O92" s="120">
        <f>'Supporting Schedules'!O28</f>
        <v>3.9014232813838912</v>
      </c>
      <c r="P92" s="276"/>
      <c r="Q92" t="s">
        <v>104</v>
      </c>
    </row>
    <row r="93" spans="1:19" x14ac:dyDescent="0.2">
      <c r="D93" s="24" t="s">
        <v>106</v>
      </c>
      <c r="F93" s="25">
        <v>0</v>
      </c>
      <c r="G93" s="25">
        <v>1.4</v>
      </c>
      <c r="H93" s="25">
        <v>0</v>
      </c>
      <c r="I93" s="25">
        <v>8.4</v>
      </c>
      <c r="J93" s="25">
        <v>0</v>
      </c>
      <c r="K93" s="120">
        <f>$J$93</f>
        <v>0</v>
      </c>
      <c r="L93" s="120">
        <f t="shared" ref="L93:O93" si="62">$J$93</f>
        <v>0</v>
      </c>
      <c r="M93" s="120">
        <f t="shared" si="62"/>
        <v>0</v>
      </c>
      <c r="N93" s="120">
        <f t="shared" si="62"/>
        <v>0</v>
      </c>
      <c r="O93" s="120">
        <f t="shared" si="62"/>
        <v>0</v>
      </c>
      <c r="P93" s="276"/>
      <c r="Q93" t="s">
        <v>32</v>
      </c>
    </row>
    <row r="94" spans="1:19" x14ac:dyDescent="0.2">
      <c r="D94" s="9" t="s">
        <v>107</v>
      </c>
      <c r="F94" s="25">
        <v>0</v>
      </c>
      <c r="G94" s="25">
        <v>1.7</v>
      </c>
      <c r="H94" s="25">
        <v>2.6</v>
      </c>
      <c r="I94" s="25">
        <v>2.4</v>
      </c>
      <c r="J94" s="25">
        <v>2.5</v>
      </c>
      <c r="K94" s="120">
        <f>'Supporting Schedules'!K32</f>
        <v>2.7607199577606796</v>
      </c>
      <c r="L94" s="120">
        <f>'Supporting Schedules'!L32</f>
        <v>2.9484535784825403</v>
      </c>
      <c r="M94" s="120">
        <f>'Supporting Schedules'!M32</f>
        <v>3.1268999389679153</v>
      </c>
      <c r="N94" s="120">
        <f>'Supporting Schedules'!N32</f>
        <v>3.2682691289648997</v>
      </c>
      <c r="O94" s="120">
        <f>'Supporting Schedules'!O32</f>
        <v>3.4359668632436469</v>
      </c>
      <c r="P94" s="276"/>
      <c r="Q94" t="s">
        <v>108</v>
      </c>
    </row>
    <row r="95" spans="1:19" x14ac:dyDescent="0.2">
      <c r="D95" s="24" t="s">
        <v>109</v>
      </c>
      <c r="F95" s="25">
        <v>50.7</v>
      </c>
      <c r="G95" s="25">
        <v>55</v>
      </c>
      <c r="H95" s="25">
        <v>0</v>
      </c>
      <c r="I95" s="25">
        <v>0</v>
      </c>
      <c r="J95" s="25">
        <v>0</v>
      </c>
      <c r="K95" s="196">
        <f>$J$95</f>
        <v>0</v>
      </c>
      <c r="L95" s="196">
        <f t="shared" ref="L95:O95" si="63">$J$95</f>
        <v>0</v>
      </c>
      <c r="M95" s="196">
        <f t="shared" si="63"/>
        <v>0</v>
      </c>
      <c r="N95" s="196">
        <f t="shared" si="63"/>
        <v>0</v>
      </c>
      <c r="O95" s="196">
        <f t="shared" si="63"/>
        <v>0</v>
      </c>
      <c r="P95" s="276"/>
      <c r="Q95" t="s">
        <v>32</v>
      </c>
    </row>
    <row r="96" spans="1:19" x14ac:dyDescent="0.2">
      <c r="D96" s="158" t="s">
        <v>110</v>
      </c>
      <c r="E96" s="66"/>
      <c r="F96" s="88">
        <f t="shared" ref="F96:K96" si="64">SUM(F87:F95)</f>
        <v>1172.5</v>
      </c>
      <c r="G96" s="88">
        <f t="shared" si="64"/>
        <v>1243.7</v>
      </c>
      <c r="H96" s="88">
        <f t="shared" si="64"/>
        <v>1277.8</v>
      </c>
      <c r="I96" s="88">
        <f t="shared" si="64"/>
        <v>1386.6000000000004</v>
      </c>
      <c r="J96" s="88">
        <f t="shared" si="64"/>
        <v>1426.3999999999999</v>
      </c>
      <c r="K96" s="134">
        <f t="shared" ca="1" si="64"/>
        <v>1606.1594578261997</v>
      </c>
      <c r="L96" s="134">
        <f t="shared" ref="L96:O96" ca="1" si="65">SUM(L87:L95)</f>
        <v>1717.1113028025766</v>
      </c>
      <c r="M96" s="134">
        <f t="shared" ca="1" si="65"/>
        <v>1917.2911620786906</v>
      </c>
      <c r="N96" s="134">
        <f t="shared" ca="1" si="65"/>
        <v>2025.9409379334936</v>
      </c>
      <c r="O96" s="134">
        <f t="shared" ca="1" si="65"/>
        <v>2236.704066029698</v>
      </c>
      <c r="P96" s="276"/>
    </row>
    <row r="97" spans="4:17" x14ac:dyDescent="0.2">
      <c r="F97" s="43"/>
      <c r="G97" s="43"/>
      <c r="H97" s="43"/>
      <c r="I97" s="43"/>
      <c r="J97" s="43"/>
      <c r="P97" s="276"/>
    </row>
    <row r="98" spans="4:17" x14ac:dyDescent="0.2">
      <c r="D98" s="23" t="s">
        <v>111</v>
      </c>
      <c r="F98" s="43"/>
      <c r="G98" s="43"/>
      <c r="H98" s="43"/>
      <c r="I98" s="43"/>
      <c r="J98" s="43"/>
      <c r="P98" s="276"/>
    </row>
    <row r="99" spans="4:17" x14ac:dyDescent="0.2">
      <c r="D99" s="9" t="s">
        <v>112</v>
      </c>
      <c r="F99" s="25">
        <v>17.600000000000001</v>
      </c>
      <c r="G99" s="25">
        <v>17.8</v>
      </c>
      <c r="H99" s="25">
        <v>19.2</v>
      </c>
      <c r="I99" s="25">
        <v>16</v>
      </c>
      <c r="J99" s="25">
        <v>2.6</v>
      </c>
      <c r="K99" s="120">
        <f>$J$99</f>
        <v>2.6</v>
      </c>
      <c r="L99" s="120">
        <f t="shared" ref="L99:O99" si="66">$J$99</f>
        <v>2.6</v>
      </c>
      <c r="M99" s="120">
        <f t="shared" si="66"/>
        <v>2.6</v>
      </c>
      <c r="N99" s="120">
        <f t="shared" si="66"/>
        <v>2.6</v>
      </c>
      <c r="O99" s="120">
        <f t="shared" si="66"/>
        <v>2.6</v>
      </c>
      <c r="P99" s="276"/>
      <c r="Q99" t="s">
        <v>101</v>
      </c>
    </row>
    <row r="100" spans="4:17" x14ac:dyDescent="0.2">
      <c r="D100" s="9" t="s">
        <v>113</v>
      </c>
      <c r="F100" s="25">
        <v>0</v>
      </c>
      <c r="G100" s="25">
        <v>0</v>
      </c>
      <c r="H100" s="25">
        <v>85.7</v>
      </c>
      <c r="I100" s="25">
        <v>101.7</v>
      </c>
      <c r="J100" s="25">
        <v>109.1</v>
      </c>
      <c r="K100" s="120">
        <f>'Supporting Schedules'!K38</f>
        <v>114.6905112817462</v>
      </c>
      <c r="L100" s="120">
        <f>'Supporting Schedules'!L38</f>
        <v>122.48965979184295</v>
      </c>
      <c r="M100" s="120">
        <f>'Supporting Schedules'!M38</f>
        <v>129.90298118393204</v>
      </c>
      <c r="N100" s="120">
        <f>'Supporting Schedules'!N38</f>
        <v>135.77597986844617</v>
      </c>
      <c r="O100" s="120">
        <f>'Supporting Schedules'!O38</f>
        <v>142.74276359859343</v>
      </c>
      <c r="P100" s="276"/>
      <c r="Q100" t="s">
        <v>114</v>
      </c>
    </row>
    <row r="101" spans="4:17" x14ac:dyDescent="0.2">
      <c r="D101" s="24" t="s">
        <v>115</v>
      </c>
      <c r="F101" s="25">
        <v>11.4</v>
      </c>
      <c r="G101" s="25">
        <v>7.9</v>
      </c>
      <c r="H101" s="25">
        <v>6.9</v>
      </c>
      <c r="I101" s="25">
        <v>12</v>
      </c>
      <c r="J101" s="25">
        <v>11.1</v>
      </c>
      <c r="K101" s="120">
        <f>'Supporting Schedules'!K58</f>
        <v>9.3719125875898293</v>
      </c>
      <c r="L101" s="120">
        <f>'Supporting Schedules'!L58</f>
        <v>7.912859959407629</v>
      </c>
      <c r="M101" s="120">
        <f>'Supporting Schedules'!M58</f>
        <v>6.6809578249917019</v>
      </c>
      <c r="N101" s="120">
        <f>'Supporting Schedules'!N58</f>
        <v>5.6408425889366214</v>
      </c>
      <c r="O101" s="120">
        <f>'Supporting Schedules'!O58</f>
        <v>4.7626561859340466</v>
      </c>
      <c r="P101" s="276"/>
      <c r="Q101" t="s">
        <v>116</v>
      </c>
    </row>
    <row r="102" spans="4:17" x14ac:dyDescent="0.2">
      <c r="D102" s="24" t="s">
        <v>117</v>
      </c>
      <c r="F102" s="25">
        <v>334.7</v>
      </c>
      <c r="G102" s="25">
        <v>325</v>
      </c>
      <c r="H102" s="25">
        <v>330.5</v>
      </c>
      <c r="I102" s="25">
        <v>469.8</v>
      </c>
      <c r="J102" s="25">
        <v>541</v>
      </c>
      <c r="K102" s="274">
        <f>'Supporting Schedules'!K73</f>
        <v>546.95461942323357</v>
      </c>
      <c r="L102" s="274">
        <f>'Supporting Schedules'!L73</f>
        <v>552.97477949799304</v>
      </c>
      <c r="M102" s="274">
        <f>'Supporting Schedules'!M73</f>
        <v>559.06120160992839</v>
      </c>
      <c r="N102" s="274">
        <f>'Supporting Schedules'!N73</f>
        <v>565.21461508475784</v>
      </c>
      <c r="O102" s="274">
        <f>'Supporting Schedules'!O73</f>
        <v>571.43575727566201</v>
      </c>
      <c r="P102" s="276"/>
      <c r="Q102" t="s">
        <v>118</v>
      </c>
    </row>
    <row r="103" spans="4:17" x14ac:dyDescent="0.2">
      <c r="D103" s="24" t="s">
        <v>119</v>
      </c>
      <c r="F103" s="25">
        <v>62.1</v>
      </c>
      <c r="G103" s="25">
        <v>26.5</v>
      </c>
      <c r="H103" s="25">
        <v>23.1</v>
      </c>
      <c r="I103" s="25">
        <v>18.8</v>
      </c>
      <c r="J103" s="25">
        <v>19.100000000000001</v>
      </c>
      <c r="K103" s="120">
        <f>'Supporting Schedules'!K87</f>
        <v>19.134161041537183</v>
      </c>
      <c r="L103" s="120">
        <f>'Supporting Schedules'!L87</f>
        <v>19.168383181333994</v>
      </c>
      <c r="M103" s="120">
        <f>'Supporting Schedules'!M87</f>
        <v>19.202666528666882</v>
      </c>
      <c r="N103" s="120">
        <f>'Supporting Schedules'!N87</f>
        <v>19.237011193007746</v>
      </c>
      <c r="O103" s="120">
        <f>'Supporting Schedules'!O87</f>
        <v>19.271417284024267</v>
      </c>
      <c r="P103" s="276"/>
      <c r="Q103" t="s">
        <v>120</v>
      </c>
    </row>
    <row r="104" spans="4:17" x14ac:dyDescent="0.2">
      <c r="D104" s="9" t="s">
        <v>102</v>
      </c>
      <c r="F104" s="25">
        <v>0.4</v>
      </c>
      <c r="G104" s="25">
        <v>0</v>
      </c>
      <c r="H104" s="25">
        <v>0</v>
      </c>
      <c r="I104" s="25">
        <v>0</v>
      </c>
      <c r="J104" s="25">
        <v>0</v>
      </c>
      <c r="K104" s="120">
        <f>$J$104</f>
        <v>0</v>
      </c>
      <c r="L104" s="120">
        <f t="shared" ref="L104:O104" si="67">$J$104</f>
        <v>0</v>
      </c>
      <c r="M104" s="120">
        <f t="shared" si="67"/>
        <v>0</v>
      </c>
      <c r="N104" s="120">
        <f t="shared" si="67"/>
        <v>0</v>
      </c>
      <c r="O104" s="120">
        <f t="shared" si="67"/>
        <v>0</v>
      </c>
      <c r="P104" s="276"/>
      <c r="Q104" t="s">
        <v>32</v>
      </c>
    </row>
    <row r="105" spans="4:17" x14ac:dyDescent="0.2">
      <c r="D105" s="9" t="s">
        <v>107</v>
      </c>
      <c r="F105" s="25">
        <v>0</v>
      </c>
      <c r="G105" s="25">
        <v>10.6</v>
      </c>
      <c r="H105" s="25">
        <v>10.199999999999999</v>
      </c>
      <c r="I105" s="25">
        <v>7.8</v>
      </c>
      <c r="J105" s="25">
        <v>5.3</v>
      </c>
      <c r="K105" s="120">
        <f>'Supporting Schedules'!K43</f>
        <v>10.462796451033483</v>
      </c>
      <c r="L105" s="120">
        <f>'Supporting Schedules'!L43</f>
        <v>11.174284284164374</v>
      </c>
      <c r="M105" s="120">
        <f>'Supporting Schedules'!M43</f>
        <v>11.850574518506235</v>
      </c>
      <c r="N105" s="120">
        <f>'Supporting Schedules'!N43</f>
        <v>12.386346738078151</v>
      </c>
      <c r="O105" s="120">
        <f>'Supporting Schedules'!O43</f>
        <v>13.021900972445785</v>
      </c>
      <c r="P105" s="276"/>
      <c r="Q105" t="s">
        <v>121</v>
      </c>
    </row>
    <row r="106" spans="4:17" x14ac:dyDescent="0.2">
      <c r="D106" s="24" t="s">
        <v>122</v>
      </c>
      <c r="F106" s="25">
        <v>12.4</v>
      </c>
      <c r="G106" s="25">
        <v>0</v>
      </c>
      <c r="H106" s="25">
        <v>0</v>
      </c>
      <c r="I106" s="25">
        <v>0</v>
      </c>
      <c r="J106" s="25">
        <v>0</v>
      </c>
      <c r="K106" s="120">
        <f>$J$106</f>
        <v>0</v>
      </c>
      <c r="L106" s="120">
        <f t="shared" ref="L106:O106" si="68">$J$106</f>
        <v>0</v>
      </c>
      <c r="M106" s="120">
        <f t="shared" si="68"/>
        <v>0</v>
      </c>
      <c r="N106" s="120">
        <f t="shared" si="68"/>
        <v>0</v>
      </c>
      <c r="O106" s="120">
        <f t="shared" si="68"/>
        <v>0</v>
      </c>
      <c r="P106" s="276"/>
      <c r="Q106" t="s">
        <v>32</v>
      </c>
    </row>
    <row r="107" spans="4:17" x14ac:dyDescent="0.2">
      <c r="D107" s="24" t="s">
        <v>123</v>
      </c>
      <c r="F107" s="25">
        <v>66.7</v>
      </c>
      <c r="G107" s="25">
        <v>71.3</v>
      </c>
      <c r="H107" s="25">
        <v>0</v>
      </c>
      <c r="I107" s="25">
        <v>0</v>
      </c>
      <c r="J107" s="25">
        <v>0</v>
      </c>
      <c r="K107" s="196">
        <f>$J$107</f>
        <v>0</v>
      </c>
      <c r="L107" s="196">
        <f t="shared" ref="L107:O107" si="69">$J$107</f>
        <v>0</v>
      </c>
      <c r="M107" s="196">
        <f t="shared" si="69"/>
        <v>0</v>
      </c>
      <c r="N107" s="196">
        <f t="shared" si="69"/>
        <v>0</v>
      </c>
      <c r="O107" s="196">
        <f t="shared" si="69"/>
        <v>0</v>
      </c>
      <c r="P107" s="276"/>
      <c r="Q107" t="s">
        <v>32</v>
      </c>
    </row>
    <row r="108" spans="4:17" x14ac:dyDescent="0.2">
      <c r="D108" s="158" t="s">
        <v>124</v>
      </c>
      <c r="E108" s="66"/>
      <c r="F108" s="88">
        <f>SUM(F99:F107)</f>
        <v>505.29999999999995</v>
      </c>
      <c r="G108" s="88">
        <f>SUM(G99:G107)</f>
        <v>459.1</v>
      </c>
      <c r="H108" s="88">
        <f t="shared" ref="H108:O108" si="70">SUM(H99:H107)</f>
        <v>475.6</v>
      </c>
      <c r="I108" s="88">
        <f t="shared" si="70"/>
        <v>626.09999999999991</v>
      </c>
      <c r="J108" s="88">
        <f t="shared" si="70"/>
        <v>688.19999999999993</v>
      </c>
      <c r="K108" s="134">
        <f t="shared" si="70"/>
        <v>703.21400078514023</v>
      </c>
      <c r="L108" s="134">
        <f t="shared" si="70"/>
        <v>716.31996671474201</v>
      </c>
      <c r="M108" s="134">
        <f t="shared" si="70"/>
        <v>729.29838166602531</v>
      </c>
      <c r="N108" s="134">
        <f t="shared" si="70"/>
        <v>740.85479547322655</v>
      </c>
      <c r="O108" s="134">
        <f t="shared" si="70"/>
        <v>753.83449531665951</v>
      </c>
      <c r="P108" s="276"/>
    </row>
    <row r="109" spans="4:17" x14ac:dyDescent="0.2">
      <c r="F109" s="43"/>
      <c r="G109" s="43"/>
      <c r="H109" s="43"/>
      <c r="I109" s="43"/>
      <c r="J109" s="43"/>
      <c r="K109" s="99"/>
      <c r="L109" s="99"/>
      <c r="M109" s="99"/>
      <c r="N109" s="99"/>
      <c r="O109" s="99"/>
      <c r="P109" s="276"/>
    </row>
    <row r="110" spans="4:17" x14ac:dyDescent="0.2">
      <c r="D110" s="159" t="s">
        <v>125</v>
      </c>
      <c r="E110" s="68"/>
      <c r="F110" s="135">
        <f t="shared" ref="F110:K110" si="71">F108+F96</f>
        <v>1677.8</v>
      </c>
      <c r="G110" s="135">
        <f t="shared" si="71"/>
        <v>1702.8000000000002</v>
      </c>
      <c r="H110" s="135">
        <f t="shared" si="71"/>
        <v>1753.4</v>
      </c>
      <c r="I110" s="135">
        <f t="shared" si="71"/>
        <v>2012.7000000000003</v>
      </c>
      <c r="J110" s="135">
        <f t="shared" si="71"/>
        <v>2114.6</v>
      </c>
      <c r="K110" s="136">
        <f t="shared" ca="1" si="71"/>
        <v>2309.3734586113401</v>
      </c>
      <c r="L110" s="136">
        <f t="shared" ref="L110:O110" ca="1" si="72">L108+L96</f>
        <v>2433.4312695173185</v>
      </c>
      <c r="M110" s="136">
        <f t="shared" ca="1" si="72"/>
        <v>2646.5895437447161</v>
      </c>
      <c r="N110" s="136">
        <f t="shared" ca="1" si="72"/>
        <v>2766.79573340672</v>
      </c>
      <c r="O110" s="136">
        <f t="shared" ca="1" si="72"/>
        <v>2990.5385613463577</v>
      </c>
      <c r="P110" s="276"/>
    </row>
    <row r="111" spans="4:17" x14ac:dyDescent="0.2">
      <c r="F111" s="43"/>
      <c r="G111" s="43"/>
      <c r="H111" s="43"/>
      <c r="I111" s="43"/>
      <c r="J111" s="43"/>
      <c r="P111" s="276"/>
    </row>
    <row r="112" spans="4:17" x14ac:dyDescent="0.2">
      <c r="D112" s="23" t="s">
        <v>126</v>
      </c>
      <c r="F112" s="43"/>
      <c r="G112" s="43"/>
      <c r="H112" s="43"/>
      <c r="I112" s="43"/>
      <c r="J112" s="43"/>
      <c r="P112" s="276"/>
    </row>
    <row r="113" spans="4:17" x14ac:dyDescent="0.2">
      <c r="D113" s="24" t="s">
        <v>127</v>
      </c>
      <c r="F113" s="200">
        <v>191.4</v>
      </c>
      <c r="G113" s="200">
        <v>184.3</v>
      </c>
      <c r="H113" s="200">
        <v>90.9</v>
      </c>
      <c r="I113" s="200">
        <v>118.4</v>
      </c>
      <c r="J113" s="200">
        <v>115.8</v>
      </c>
      <c r="K113" s="120">
        <f>'Supporting Schedules'!K105</f>
        <v>168.54288812496821</v>
      </c>
      <c r="L113" s="120">
        <f>'Supporting Schedules'!L105</f>
        <v>135.13579672365984</v>
      </c>
      <c r="M113" s="120">
        <f>'Supporting Schedules'!M105</f>
        <v>186.92213494903143</v>
      </c>
      <c r="N113" s="120">
        <f>'Supporting Schedules'!N105</f>
        <v>149.69624631313405</v>
      </c>
      <c r="O113" s="120">
        <f>'Supporting Schedules'!O105</f>
        <v>204.19431714295104</v>
      </c>
      <c r="P113" s="276"/>
      <c r="Q113" t="s">
        <v>128</v>
      </c>
    </row>
    <row r="114" spans="4:17" x14ac:dyDescent="0.2">
      <c r="D114" s="24" t="s">
        <v>129</v>
      </c>
      <c r="F114" s="200">
        <v>2</v>
      </c>
      <c r="G114" s="200">
        <v>1.6</v>
      </c>
      <c r="H114" s="200">
        <v>2.1</v>
      </c>
      <c r="I114" s="200">
        <v>1.1000000000000001</v>
      </c>
      <c r="J114" s="200">
        <v>0</v>
      </c>
      <c r="K114" s="120">
        <f>$J$114</f>
        <v>0</v>
      </c>
      <c r="L114" s="120">
        <f t="shared" ref="L114:O114" si="73">$J$114</f>
        <v>0</v>
      </c>
      <c r="M114" s="120">
        <f t="shared" si="73"/>
        <v>0</v>
      </c>
      <c r="N114" s="120">
        <f t="shared" si="73"/>
        <v>0</v>
      </c>
      <c r="O114" s="120">
        <f t="shared" si="73"/>
        <v>0</v>
      </c>
      <c r="P114" s="276"/>
      <c r="Q114" t="s">
        <v>32</v>
      </c>
    </row>
    <row r="115" spans="4:17" x14ac:dyDescent="0.2">
      <c r="D115" s="24" t="s">
        <v>130</v>
      </c>
      <c r="F115" s="200">
        <v>0</v>
      </c>
      <c r="G115" s="200">
        <v>0</v>
      </c>
      <c r="H115" s="200">
        <v>432.4</v>
      </c>
      <c r="I115" s="200">
        <v>527.5</v>
      </c>
      <c r="J115" s="200">
        <v>539.5</v>
      </c>
      <c r="K115" s="120">
        <f>'Supporting Schedules'!K111</f>
        <v>580.36863089315193</v>
      </c>
      <c r="L115" s="120">
        <f>'Supporting Schedules'!L111</f>
        <v>619.83467819167538</v>
      </c>
      <c r="M115" s="120">
        <f>'Supporting Schedules'!M111</f>
        <v>657.34832372882295</v>
      </c>
      <c r="N115" s="120">
        <f>'Supporting Schedules'!N111</f>
        <v>687.067471090504</v>
      </c>
      <c r="O115" s="120">
        <f>'Supporting Schedules'!O111</f>
        <v>722.32150117553488</v>
      </c>
      <c r="P115" s="276"/>
      <c r="Q115" t="s">
        <v>131</v>
      </c>
    </row>
    <row r="116" spans="4:17" x14ac:dyDescent="0.2">
      <c r="D116" s="24" t="s">
        <v>132</v>
      </c>
      <c r="F116" s="200">
        <v>245.9</v>
      </c>
      <c r="G116" s="200">
        <v>217.1</v>
      </c>
      <c r="H116" s="200">
        <v>0</v>
      </c>
      <c r="I116" s="200">
        <v>0</v>
      </c>
      <c r="J116" s="200">
        <v>0</v>
      </c>
      <c r="K116" s="120">
        <f>$J$116</f>
        <v>0</v>
      </c>
      <c r="L116" s="120">
        <f t="shared" ref="L116:O116" si="74">$J$116</f>
        <v>0</v>
      </c>
      <c r="M116" s="120">
        <f t="shared" si="74"/>
        <v>0</v>
      </c>
      <c r="N116" s="120">
        <f t="shared" si="74"/>
        <v>0</v>
      </c>
      <c r="O116" s="120">
        <f t="shared" si="74"/>
        <v>0</v>
      </c>
      <c r="P116" s="276"/>
      <c r="Q116" t="s">
        <v>32</v>
      </c>
    </row>
    <row r="117" spans="4:17" x14ac:dyDescent="0.2">
      <c r="D117" s="24" t="s">
        <v>133</v>
      </c>
      <c r="F117" s="200">
        <v>223.3</v>
      </c>
      <c r="G117" s="200">
        <v>218.1</v>
      </c>
      <c r="H117" s="200">
        <v>0</v>
      </c>
      <c r="I117" s="200">
        <v>0</v>
      </c>
      <c r="J117" s="200">
        <v>0</v>
      </c>
      <c r="K117" s="120">
        <f>$J$117</f>
        <v>0</v>
      </c>
      <c r="L117" s="120">
        <f t="shared" ref="L117:O117" si="75">$J$117</f>
        <v>0</v>
      </c>
      <c r="M117" s="120">
        <f t="shared" si="75"/>
        <v>0</v>
      </c>
      <c r="N117" s="120">
        <f t="shared" si="75"/>
        <v>0</v>
      </c>
      <c r="O117" s="120">
        <f t="shared" si="75"/>
        <v>0</v>
      </c>
      <c r="P117" s="276"/>
      <c r="Q117" t="s">
        <v>32</v>
      </c>
    </row>
    <row r="118" spans="4:17" x14ac:dyDescent="0.2">
      <c r="D118" s="24" t="s">
        <v>134</v>
      </c>
      <c r="F118" s="200">
        <v>3.5</v>
      </c>
      <c r="G118" s="200">
        <v>8.1999999999999993</v>
      </c>
      <c r="H118" s="200">
        <v>0</v>
      </c>
      <c r="I118" s="200">
        <v>0</v>
      </c>
      <c r="J118" s="200">
        <v>0</v>
      </c>
      <c r="K118" s="120">
        <f>$J$118</f>
        <v>0</v>
      </c>
      <c r="L118" s="120">
        <f t="shared" ref="L118:O118" si="76">$J$118</f>
        <v>0</v>
      </c>
      <c r="M118" s="120">
        <f t="shared" si="76"/>
        <v>0</v>
      </c>
      <c r="N118" s="120">
        <f t="shared" si="76"/>
        <v>0</v>
      </c>
      <c r="O118" s="120">
        <f t="shared" si="76"/>
        <v>0</v>
      </c>
      <c r="P118" s="276"/>
      <c r="Q118" t="s">
        <v>32</v>
      </c>
    </row>
    <row r="119" spans="4:17" x14ac:dyDescent="0.2">
      <c r="D119" s="24" t="s">
        <v>135</v>
      </c>
      <c r="F119" s="200">
        <v>6.3</v>
      </c>
      <c r="G119" s="200">
        <v>6.9</v>
      </c>
      <c r="H119" s="200">
        <v>7</v>
      </c>
      <c r="I119" s="200">
        <v>7.5</v>
      </c>
      <c r="J119" s="200">
        <v>8.3000000000000007</v>
      </c>
      <c r="K119" s="120">
        <f ca="1">'Supporting Schedules'!K132</f>
        <v>7.8802212499191864</v>
      </c>
      <c r="L119" s="120">
        <f ca="1">'Supporting Schedules'!L132</f>
        <v>8.4944924731123557</v>
      </c>
      <c r="M119" s="120">
        <f ca="1">'Supporting Schedules'!M132</f>
        <v>9.1416684475385477</v>
      </c>
      <c r="N119" s="120">
        <f ca="1">'Supporting Schedules'!N132</f>
        <v>9.8144880737430142</v>
      </c>
      <c r="O119" s="120">
        <f ca="1">'Supporting Schedules'!O132</f>
        <v>10.517879055148233</v>
      </c>
      <c r="P119" s="276"/>
      <c r="Q119" t="s">
        <v>136</v>
      </c>
    </row>
    <row r="120" spans="4:17" x14ac:dyDescent="0.2">
      <c r="D120" s="9" t="s">
        <v>137</v>
      </c>
      <c r="F120" s="200">
        <v>6.8</v>
      </c>
      <c r="G120" s="200">
        <v>7.6</v>
      </c>
      <c r="H120" s="200">
        <v>6.4</v>
      </c>
      <c r="I120" s="200">
        <v>8.3000000000000007</v>
      </c>
      <c r="J120" s="200">
        <v>8.6999999999999993</v>
      </c>
      <c r="K120" s="120">
        <f>'Supporting Schedules'!K120</f>
        <v>9.3462993127641383</v>
      </c>
      <c r="L120" s="120">
        <f>'Supporting Schedules'!L120</f>
        <v>9.9818634544305329</v>
      </c>
      <c r="M120" s="120">
        <f>'Supporting Schedules'!M120</f>
        <v>10.585985973877435</v>
      </c>
      <c r="N120" s="120">
        <f>'Supporting Schedules'!N120</f>
        <v>11.064585318805767</v>
      </c>
      <c r="O120" s="120">
        <f>'Supporting Schedules'!O120</f>
        <v>11.63231882405883</v>
      </c>
      <c r="P120" s="276"/>
      <c r="Q120" t="s">
        <v>138</v>
      </c>
    </row>
    <row r="121" spans="4:17" x14ac:dyDescent="0.2">
      <c r="D121" s="24" t="s">
        <v>139</v>
      </c>
      <c r="F121" s="200">
        <v>22.5</v>
      </c>
      <c r="G121" s="200">
        <v>2.6</v>
      </c>
      <c r="H121" s="200">
        <v>33.1</v>
      </c>
      <c r="I121" s="200">
        <v>4.3</v>
      </c>
      <c r="J121" s="200">
        <v>7.6</v>
      </c>
      <c r="K121" s="196">
        <f>$J$121</f>
        <v>7.6</v>
      </c>
      <c r="L121" s="196">
        <f t="shared" ref="L121:O121" si="77">$J$121</f>
        <v>7.6</v>
      </c>
      <c r="M121" s="196">
        <f t="shared" si="77"/>
        <v>7.6</v>
      </c>
      <c r="N121" s="196">
        <f t="shared" si="77"/>
        <v>7.6</v>
      </c>
      <c r="O121" s="196">
        <f t="shared" si="77"/>
        <v>7.6</v>
      </c>
      <c r="P121" s="276"/>
      <c r="Q121" t="s">
        <v>32</v>
      </c>
    </row>
    <row r="122" spans="4:17" x14ac:dyDescent="0.2">
      <c r="D122" s="30" t="s">
        <v>140</v>
      </c>
      <c r="E122" s="66"/>
      <c r="F122" s="88">
        <f>SUM(F113:F121)</f>
        <v>701.69999999999993</v>
      </c>
      <c r="G122" s="88">
        <f>SUM(G113:G121)</f>
        <v>646.40000000000009</v>
      </c>
      <c r="H122" s="88">
        <f>SUM(H113:H121)</f>
        <v>571.9</v>
      </c>
      <c r="I122" s="88">
        <f t="shared" ref="I122:J122" si="78">SUM(I113:I121)</f>
        <v>667.09999999999991</v>
      </c>
      <c r="J122" s="88">
        <f t="shared" si="78"/>
        <v>679.9</v>
      </c>
      <c r="K122" s="134">
        <f ca="1">SUM(K113:K121)</f>
        <v>773.73803958080339</v>
      </c>
      <c r="L122" s="134">
        <f t="shared" ref="L122:O122" ca="1" si="79">SUM(L113:L121)</f>
        <v>781.04683084287808</v>
      </c>
      <c r="M122" s="134">
        <f t="shared" ca="1" si="79"/>
        <v>871.59811309927034</v>
      </c>
      <c r="N122" s="134">
        <f t="shared" ca="1" si="79"/>
        <v>865.24279079618691</v>
      </c>
      <c r="O122" s="134">
        <f t="shared" ca="1" si="79"/>
        <v>956.26601619769303</v>
      </c>
      <c r="P122" s="276"/>
    </row>
    <row r="123" spans="4:17" x14ac:dyDescent="0.2">
      <c r="F123" s="43"/>
      <c r="G123" s="43"/>
      <c r="H123" s="43"/>
      <c r="I123" s="43"/>
      <c r="J123" s="43"/>
      <c r="P123" s="276"/>
    </row>
    <row r="124" spans="4:17" x14ac:dyDescent="0.2">
      <c r="D124" s="23" t="s">
        <v>141</v>
      </c>
      <c r="F124" s="43"/>
      <c r="G124" s="43"/>
      <c r="H124" s="43"/>
      <c r="I124" s="43"/>
      <c r="J124" s="43"/>
      <c r="P124" s="276"/>
    </row>
    <row r="125" spans="4:17" x14ac:dyDescent="0.2">
      <c r="D125" s="24" t="s">
        <v>127</v>
      </c>
      <c r="F125" s="200">
        <v>6.5</v>
      </c>
      <c r="G125" s="200">
        <v>4.3</v>
      </c>
      <c r="H125" s="200">
        <v>1.2</v>
      </c>
      <c r="I125" s="200">
        <v>0</v>
      </c>
      <c r="J125" s="200">
        <v>0</v>
      </c>
      <c r="K125" s="120">
        <f>$J$125</f>
        <v>0</v>
      </c>
      <c r="L125" s="120">
        <f t="shared" ref="L125:O125" si="80">$J$125</f>
        <v>0</v>
      </c>
      <c r="M125" s="120">
        <f t="shared" si="80"/>
        <v>0</v>
      </c>
      <c r="N125" s="120">
        <f t="shared" si="80"/>
        <v>0</v>
      </c>
      <c r="O125" s="120">
        <f t="shared" si="80"/>
        <v>0</v>
      </c>
      <c r="P125" s="276"/>
      <c r="Q125" t="s">
        <v>32</v>
      </c>
    </row>
    <row r="126" spans="4:17" x14ac:dyDescent="0.2">
      <c r="D126" s="24" t="s">
        <v>129</v>
      </c>
      <c r="F126" s="200">
        <v>230.9</v>
      </c>
      <c r="G126" s="200">
        <v>230.7</v>
      </c>
      <c r="H126" s="200">
        <v>258.8</v>
      </c>
      <c r="I126" s="200">
        <v>244.8</v>
      </c>
      <c r="J126" s="200">
        <v>264.60000000000002</v>
      </c>
      <c r="K126" s="120">
        <f ca="1">'Supporting Schedules'!K131</f>
        <v>268.84731860006002</v>
      </c>
      <c r="L126" s="120">
        <f ca="1">'Supporting Schedules'!L131</f>
        <v>289.80423922590614</v>
      </c>
      <c r="M126" s="120">
        <f ca="1">'Supporting Schedules'!M131</f>
        <v>311.88376210588206</v>
      </c>
      <c r="N126" s="120">
        <f ca="1">'Supporting Schedules'!N131</f>
        <v>334.83816232762973</v>
      </c>
      <c r="O126" s="120">
        <f ca="1">'Supporting Schedules'!O131</f>
        <v>358.8355569794864</v>
      </c>
      <c r="P126" s="276"/>
      <c r="Q126" t="s">
        <v>136</v>
      </c>
    </row>
    <row r="127" spans="4:17" x14ac:dyDescent="0.2">
      <c r="D127" s="24" t="s">
        <v>130</v>
      </c>
      <c r="F127" s="200">
        <v>0</v>
      </c>
      <c r="G127" s="200">
        <v>0</v>
      </c>
      <c r="H127" s="200">
        <v>31.4</v>
      </c>
      <c r="I127" s="200">
        <v>47.2</v>
      </c>
      <c r="J127" s="200">
        <v>57.4</v>
      </c>
      <c r="K127" s="120">
        <f>'Supporting Schedules'!K115</f>
        <v>52.155472898049126</v>
      </c>
      <c r="L127" s="120">
        <f>'Supporting Schedules'!L115</f>
        <v>55.702133159654849</v>
      </c>
      <c r="M127" s="120">
        <f>'Supporting Schedules'!M115</f>
        <v>59.07333866417828</v>
      </c>
      <c r="N127" s="120">
        <f>'Supporting Schedules'!N115</f>
        <v>61.744082915792816</v>
      </c>
      <c r="O127" s="120">
        <f>'Supporting Schedules'!O115</f>
        <v>64.912225563022403</v>
      </c>
      <c r="P127" s="276"/>
      <c r="Q127" t="s">
        <v>131</v>
      </c>
    </row>
    <row r="128" spans="4:17" x14ac:dyDescent="0.2">
      <c r="D128" s="24" t="s">
        <v>133</v>
      </c>
      <c r="F128" s="200">
        <v>34.799999999999997</v>
      </c>
      <c r="G128" s="200">
        <v>31.3</v>
      </c>
      <c r="H128" s="200">
        <v>0</v>
      </c>
      <c r="I128" s="200">
        <v>0</v>
      </c>
      <c r="J128" s="200">
        <v>0</v>
      </c>
      <c r="K128" s="120">
        <f>$J$128</f>
        <v>0</v>
      </c>
      <c r="L128" s="120">
        <f t="shared" ref="L128:O128" si="81">$J$128</f>
        <v>0</v>
      </c>
      <c r="M128" s="120">
        <f t="shared" si="81"/>
        <v>0</v>
      </c>
      <c r="N128" s="120">
        <f t="shared" si="81"/>
        <v>0</v>
      </c>
      <c r="O128" s="120">
        <f t="shared" si="81"/>
        <v>0</v>
      </c>
      <c r="P128" s="276"/>
      <c r="Q128" t="s">
        <v>32</v>
      </c>
    </row>
    <row r="129" spans="4:19" x14ac:dyDescent="0.2">
      <c r="D129" s="24" t="s">
        <v>134</v>
      </c>
      <c r="F129" s="200">
        <v>16.600000000000001</v>
      </c>
      <c r="G129" s="200">
        <v>9.5</v>
      </c>
      <c r="H129" s="200">
        <v>0</v>
      </c>
      <c r="I129" s="200">
        <v>0</v>
      </c>
      <c r="J129" s="200">
        <v>0</v>
      </c>
      <c r="K129" s="120">
        <f>$J$129</f>
        <v>0</v>
      </c>
      <c r="L129" s="120">
        <f t="shared" ref="L129:O129" si="82">$J$129</f>
        <v>0</v>
      </c>
      <c r="M129" s="120">
        <f t="shared" si="82"/>
        <v>0</v>
      </c>
      <c r="N129" s="120">
        <f t="shared" si="82"/>
        <v>0</v>
      </c>
      <c r="O129" s="120">
        <f t="shared" si="82"/>
        <v>0</v>
      </c>
      <c r="P129" s="276"/>
      <c r="Q129" t="s">
        <v>32</v>
      </c>
    </row>
    <row r="130" spans="4:19" x14ac:dyDescent="0.2">
      <c r="D130" s="24" t="s">
        <v>135</v>
      </c>
      <c r="F130" s="200">
        <v>76.3</v>
      </c>
      <c r="G130" s="200">
        <v>50.7</v>
      </c>
      <c r="H130" s="200">
        <v>43.8</v>
      </c>
      <c r="I130" s="200">
        <v>38.4</v>
      </c>
      <c r="J130" s="200">
        <v>33.9</v>
      </c>
      <c r="K130" s="120">
        <f ca="1">'Supporting Schedules'!K133</f>
        <v>52.939985233336586</v>
      </c>
      <c r="L130" s="120">
        <f ca="1">'Supporting Schedules'!L133</f>
        <v>57.066710670829018</v>
      </c>
      <c r="M130" s="120">
        <f ca="1">'Supporting Schedules'!M133</f>
        <v>61.414492978317433</v>
      </c>
      <c r="N130" s="120">
        <f ca="1">'Supporting Schedules'!N133</f>
        <v>65.93455148255407</v>
      </c>
      <c r="O130" s="120">
        <f ca="1">'Supporting Schedules'!O133</f>
        <v>70.659990907143367</v>
      </c>
      <c r="P130" s="276"/>
      <c r="Q130" t="s">
        <v>136</v>
      </c>
    </row>
    <row r="131" spans="4:19" x14ac:dyDescent="0.2">
      <c r="D131" s="9" t="s">
        <v>142</v>
      </c>
      <c r="F131" s="200">
        <v>3.2</v>
      </c>
      <c r="G131" s="200">
        <v>3.2</v>
      </c>
      <c r="H131" s="200">
        <v>3.2</v>
      </c>
      <c r="I131" s="200">
        <v>3.7</v>
      </c>
      <c r="J131" s="200">
        <v>4.3</v>
      </c>
      <c r="K131" s="120">
        <f>'Supporting Schedules'!K123</f>
        <v>4.3528586595173175</v>
      </c>
      <c r="L131" s="120">
        <f>'Supporting Schedules'!L123</f>
        <v>4.6488604015065835</v>
      </c>
      <c r="M131" s="120">
        <f>'Supporting Schedules'!M123</f>
        <v>4.9302188143055998</v>
      </c>
      <c r="N131" s="120">
        <f>'Supporting Schedules'!N123</f>
        <v>5.1531172293141481</v>
      </c>
      <c r="O131" s="120">
        <f>'Supporting Schedules'!O123</f>
        <v>5.4175281605223899</v>
      </c>
      <c r="P131" s="276"/>
      <c r="Q131" t="s">
        <v>138</v>
      </c>
    </row>
    <row r="132" spans="4:19" x14ac:dyDescent="0.2">
      <c r="D132" s="24" t="s">
        <v>139</v>
      </c>
      <c r="F132" s="200">
        <v>4.7</v>
      </c>
      <c r="G132" s="200">
        <v>20.5</v>
      </c>
      <c r="H132" s="200">
        <v>13.2</v>
      </c>
      <c r="I132" s="200">
        <v>14.7</v>
      </c>
      <c r="J132" s="200">
        <v>30.7</v>
      </c>
      <c r="K132" s="196">
        <f>$J$132</f>
        <v>30.7</v>
      </c>
      <c r="L132" s="196">
        <f t="shared" ref="L132:O132" si="83">$J$132</f>
        <v>30.7</v>
      </c>
      <c r="M132" s="196">
        <f t="shared" si="83"/>
        <v>30.7</v>
      </c>
      <c r="N132" s="196">
        <f t="shared" si="83"/>
        <v>30.7</v>
      </c>
      <c r="O132" s="196">
        <f t="shared" si="83"/>
        <v>30.7</v>
      </c>
      <c r="P132" s="276"/>
      <c r="Q132" t="s">
        <v>32</v>
      </c>
    </row>
    <row r="133" spans="4:19" x14ac:dyDescent="0.2">
      <c r="D133" s="158" t="s">
        <v>143</v>
      </c>
      <c r="E133" s="66"/>
      <c r="F133" s="88">
        <f>SUM(F125:F132)</f>
        <v>373</v>
      </c>
      <c r="G133" s="88">
        <f>SUM(G125:G132)</f>
        <v>350.2</v>
      </c>
      <c r="H133" s="88">
        <f>SUM(H125:H132)</f>
        <v>351.59999999999997</v>
      </c>
      <c r="I133" s="88">
        <f t="shared" ref="I133" si="84">SUM(I125:I132)</f>
        <v>348.79999999999995</v>
      </c>
      <c r="J133" s="88">
        <f>SUM(J125:J132)</f>
        <v>390.9</v>
      </c>
      <c r="K133" s="134">
        <f t="shared" ref="K133:O133" ca="1" si="85">SUM(K125:K132)</f>
        <v>408.99563539096306</v>
      </c>
      <c r="L133" s="134">
        <f t="shared" ca="1" si="85"/>
        <v>437.92194345789659</v>
      </c>
      <c r="M133" s="134">
        <f t="shared" ca="1" si="85"/>
        <v>468.00181256268331</v>
      </c>
      <c r="N133" s="134">
        <f t="shared" ca="1" si="85"/>
        <v>498.36991395529077</v>
      </c>
      <c r="O133" s="134">
        <f t="shared" ca="1" si="85"/>
        <v>530.52530161017455</v>
      </c>
      <c r="P133" s="276"/>
    </row>
    <row r="134" spans="4:19" x14ac:dyDescent="0.2">
      <c r="F134" s="43"/>
      <c r="G134" s="43"/>
      <c r="H134" s="43"/>
      <c r="I134" s="43"/>
      <c r="J134" s="43"/>
      <c r="K134" s="99"/>
      <c r="L134" s="99"/>
      <c r="M134" s="99"/>
      <c r="N134" s="99"/>
      <c r="O134" s="99"/>
      <c r="P134" s="276"/>
    </row>
    <row r="135" spans="4:19" x14ac:dyDescent="0.2">
      <c r="D135" s="159" t="s">
        <v>144</v>
      </c>
      <c r="E135" s="68"/>
      <c r="F135" s="135">
        <f>F133+F122</f>
        <v>1074.6999999999998</v>
      </c>
      <c r="G135" s="135">
        <f>G133+G122</f>
        <v>996.60000000000014</v>
      </c>
      <c r="H135" s="135">
        <f>H133+H122</f>
        <v>923.5</v>
      </c>
      <c r="I135" s="135">
        <f>I133+I122</f>
        <v>1015.8999999999999</v>
      </c>
      <c r="J135" s="135">
        <f>J133+J122</f>
        <v>1070.8</v>
      </c>
      <c r="K135" s="136">
        <f t="shared" ref="K135:O135" ca="1" si="86">K133+K122</f>
        <v>1182.7336749717665</v>
      </c>
      <c r="L135" s="136">
        <f t="shared" ca="1" si="86"/>
        <v>1218.9687743007746</v>
      </c>
      <c r="M135" s="136">
        <f t="shared" ca="1" si="86"/>
        <v>1339.5999256619536</v>
      </c>
      <c r="N135" s="136">
        <f t="shared" ca="1" si="86"/>
        <v>1363.6127047514776</v>
      </c>
      <c r="O135" s="136">
        <f t="shared" ca="1" si="86"/>
        <v>1486.7913178078675</v>
      </c>
      <c r="P135" s="276"/>
    </row>
    <row r="136" spans="4:19" x14ac:dyDescent="0.2">
      <c r="F136" s="43"/>
      <c r="G136" s="43"/>
      <c r="H136" s="43"/>
      <c r="I136" s="43"/>
      <c r="J136" s="43"/>
      <c r="K136" s="99"/>
      <c r="L136" s="99"/>
      <c r="M136" s="99"/>
      <c r="N136" s="99"/>
      <c r="O136" s="99"/>
      <c r="P136" s="276"/>
    </row>
    <row r="137" spans="4:19" ht="15" thickBot="1" x14ac:dyDescent="0.25">
      <c r="D137" s="160" t="s">
        <v>145</v>
      </c>
      <c r="E137" s="69"/>
      <c r="F137" s="137">
        <f t="shared" ref="F137:K137" si="87">F110-F135</f>
        <v>603.10000000000014</v>
      </c>
      <c r="G137" s="137">
        <f t="shared" si="87"/>
        <v>706.2</v>
      </c>
      <c r="H137" s="137">
        <f t="shared" si="87"/>
        <v>829.90000000000009</v>
      </c>
      <c r="I137" s="137">
        <f t="shared" si="87"/>
        <v>996.80000000000041</v>
      </c>
      <c r="J137" s="137">
        <f t="shared" si="87"/>
        <v>1043.8</v>
      </c>
      <c r="K137" s="138">
        <f t="shared" ca="1" si="87"/>
        <v>1126.6397836395736</v>
      </c>
      <c r="L137" s="138">
        <f t="shared" ref="L137:O137" ca="1" si="88">L110-L135</f>
        <v>1214.4624952165439</v>
      </c>
      <c r="M137" s="138">
        <f t="shared" ca="1" si="88"/>
        <v>1306.9896180827625</v>
      </c>
      <c r="N137" s="138">
        <f t="shared" ca="1" si="88"/>
        <v>1403.1830286552424</v>
      </c>
      <c r="O137" s="138">
        <f t="shared" ca="1" si="88"/>
        <v>1503.7472435384902</v>
      </c>
      <c r="P137" s="9"/>
      <c r="Q137" s="24"/>
      <c r="R137" s="24"/>
      <c r="S137" s="24"/>
    </row>
    <row r="138" spans="4:19" x14ac:dyDescent="0.2">
      <c r="F138" s="43"/>
      <c r="G138" s="43"/>
      <c r="H138" s="43"/>
      <c r="I138" s="43"/>
      <c r="J138" s="43"/>
      <c r="P138" s="276"/>
    </row>
    <row r="139" spans="4:19" x14ac:dyDescent="0.2">
      <c r="D139" s="23" t="s">
        <v>146</v>
      </c>
      <c r="F139" s="43"/>
      <c r="G139" s="43"/>
      <c r="H139" s="43"/>
      <c r="I139" s="43"/>
      <c r="J139" s="43"/>
      <c r="P139" s="276"/>
    </row>
    <row r="140" spans="4:19" x14ac:dyDescent="0.2">
      <c r="D140" s="24" t="s">
        <v>147</v>
      </c>
      <c r="F140" s="25">
        <v>121.4</v>
      </c>
      <c r="G140" s="25">
        <v>127.2</v>
      </c>
      <c r="H140" s="25">
        <v>138.19999999999999</v>
      </c>
      <c r="I140" s="25">
        <v>302.5</v>
      </c>
      <c r="J140" s="25">
        <v>314.10000000000002</v>
      </c>
      <c r="K140" s="81">
        <f>'Supporting Schedules'!K167</f>
        <v>330.90729471385396</v>
      </c>
      <c r="L140" s="81">
        <f>'Supporting Schedules'!L167</f>
        <v>347.80136091481734</v>
      </c>
      <c r="M140" s="81">
        <f>'Supporting Schedules'!M167</f>
        <v>364.79733670738392</v>
      </c>
      <c r="N140" s="81">
        <f>'Supporting Schedules'!N167</f>
        <v>381.90831676842851</v>
      </c>
      <c r="O140" s="81">
        <f>'Supporting Schedules'!O167</f>
        <v>399.14567392041351</v>
      </c>
      <c r="P140" s="276"/>
      <c r="Q140" t="s">
        <v>148</v>
      </c>
    </row>
    <row r="141" spans="4:19" x14ac:dyDescent="0.2">
      <c r="D141" s="24" t="s">
        <v>149</v>
      </c>
      <c r="F141" s="25">
        <v>470.5</v>
      </c>
      <c r="G141" s="25">
        <v>567.70000000000005</v>
      </c>
      <c r="H141" s="25">
        <v>684.7</v>
      </c>
      <c r="I141" s="25">
        <v>685.9</v>
      </c>
      <c r="J141" s="25">
        <v>726.4</v>
      </c>
      <c r="K141" s="81">
        <f ca="1">'Supporting Schedules'!K176</f>
        <v>792.43248892571944</v>
      </c>
      <c r="L141" s="81">
        <f ca="1">'Supporting Schedules'!L176</f>
        <v>863.36113430172679</v>
      </c>
      <c r="M141" s="81">
        <f ca="1">'Supporting Schedules'!M176</f>
        <v>938.89228137537839</v>
      </c>
      <c r="N141" s="81">
        <f ca="1">'Supporting Schedules'!N176</f>
        <v>1017.974711886814</v>
      </c>
      <c r="O141" s="81">
        <f ca="1">'Supporting Schedules'!O176</f>
        <v>1101.301569618076</v>
      </c>
      <c r="P141" s="276"/>
      <c r="Q141" t="s">
        <v>150</v>
      </c>
    </row>
    <row r="142" spans="4:19" x14ac:dyDescent="0.2">
      <c r="D142" s="24" t="s">
        <v>151</v>
      </c>
      <c r="F142" s="25">
        <v>-5.5</v>
      </c>
      <c r="G142" s="25">
        <v>-4.8</v>
      </c>
      <c r="H142" s="25">
        <v>-7.2</v>
      </c>
      <c r="I142" s="25">
        <v>-8.3000000000000007</v>
      </c>
      <c r="J142" s="25">
        <v>-11.4</v>
      </c>
      <c r="K142" s="81">
        <f>$J$142</f>
        <v>-11.4</v>
      </c>
      <c r="L142" s="81">
        <f t="shared" ref="L142:O142" si="89">$J$142</f>
        <v>-11.4</v>
      </c>
      <c r="M142" s="81">
        <f t="shared" si="89"/>
        <v>-11.4</v>
      </c>
      <c r="N142" s="81">
        <f t="shared" si="89"/>
        <v>-11.4</v>
      </c>
      <c r="O142" s="81">
        <f t="shared" si="89"/>
        <v>-11.4</v>
      </c>
      <c r="P142" s="276"/>
      <c r="Q142" t="s">
        <v>32</v>
      </c>
    </row>
    <row r="143" spans="4:19" x14ac:dyDescent="0.2">
      <c r="D143" s="24" t="s">
        <v>152</v>
      </c>
      <c r="F143" s="25">
        <v>16.7</v>
      </c>
      <c r="G143" s="25">
        <v>16.100000000000001</v>
      </c>
      <c r="H143" s="25">
        <v>14.2</v>
      </c>
      <c r="I143" s="25">
        <v>13.7</v>
      </c>
      <c r="J143" s="25">
        <v>13.7</v>
      </c>
      <c r="K143" s="81">
        <f>$J$143</f>
        <v>13.7</v>
      </c>
      <c r="L143" s="81">
        <f t="shared" ref="L143:O143" si="90">$J$143</f>
        <v>13.7</v>
      </c>
      <c r="M143" s="81">
        <f t="shared" si="90"/>
        <v>13.7</v>
      </c>
      <c r="N143" s="81">
        <f t="shared" si="90"/>
        <v>13.7</v>
      </c>
      <c r="O143" s="81">
        <f t="shared" si="90"/>
        <v>13.7</v>
      </c>
      <c r="P143" s="276"/>
      <c r="Q143" t="s">
        <v>32</v>
      </c>
    </row>
    <row r="144" spans="4:19" x14ac:dyDescent="0.2">
      <c r="D144" s="24" t="s">
        <v>153</v>
      </c>
      <c r="F144" s="25">
        <v>0</v>
      </c>
      <c r="G144" s="25">
        <v>0</v>
      </c>
      <c r="H144" s="25">
        <v>0</v>
      </c>
      <c r="I144" s="25">
        <v>3</v>
      </c>
      <c r="J144" s="25">
        <v>1</v>
      </c>
      <c r="K144" s="133">
        <f>$J$144</f>
        <v>1</v>
      </c>
      <c r="L144" s="133">
        <f t="shared" ref="L144:O144" si="91">$J$144</f>
        <v>1</v>
      </c>
      <c r="M144" s="133">
        <f t="shared" si="91"/>
        <v>1</v>
      </c>
      <c r="N144" s="133">
        <f t="shared" si="91"/>
        <v>1</v>
      </c>
      <c r="O144" s="133">
        <f t="shared" si="91"/>
        <v>1</v>
      </c>
      <c r="P144" s="276"/>
      <c r="Q144" t="s">
        <v>32</v>
      </c>
    </row>
    <row r="145" spans="1:20" ht="15" thickBot="1" x14ac:dyDescent="0.25">
      <c r="D145" s="160" t="s">
        <v>154</v>
      </c>
      <c r="E145" s="69"/>
      <c r="F145" s="137">
        <f t="shared" ref="F145:K145" si="92">SUM(F140:F144)</f>
        <v>603.1</v>
      </c>
      <c r="G145" s="137">
        <f t="shared" si="92"/>
        <v>706.20000000000016</v>
      </c>
      <c r="H145" s="137">
        <f t="shared" si="92"/>
        <v>829.90000000000009</v>
      </c>
      <c r="I145" s="137">
        <f t="shared" si="92"/>
        <v>996.80000000000007</v>
      </c>
      <c r="J145" s="137">
        <f t="shared" si="92"/>
        <v>1043.8</v>
      </c>
      <c r="K145" s="91">
        <f t="shared" ca="1" si="92"/>
        <v>1126.6397836395734</v>
      </c>
      <c r="L145" s="91">
        <f t="shared" ref="L145:O145" ca="1" si="93">SUM(L140:L144)</f>
        <v>1214.4624952165441</v>
      </c>
      <c r="M145" s="91">
        <f t="shared" ca="1" si="93"/>
        <v>1306.9896180827623</v>
      </c>
      <c r="N145" s="91">
        <f t="shared" ca="1" si="93"/>
        <v>1403.1830286552424</v>
      </c>
      <c r="O145" s="91">
        <f t="shared" ca="1" si="93"/>
        <v>1503.7472435384896</v>
      </c>
      <c r="P145" s="9"/>
      <c r="Q145" s="24"/>
      <c r="R145" s="24"/>
      <c r="S145" s="24"/>
      <c r="T145" s="24"/>
    </row>
    <row r="146" spans="1:20" x14ac:dyDescent="0.2">
      <c r="F146" s="43"/>
      <c r="G146" s="43"/>
      <c r="H146" s="43"/>
      <c r="I146" s="43"/>
      <c r="J146" s="43"/>
      <c r="P146" s="276"/>
    </row>
    <row r="147" spans="1:20" x14ac:dyDescent="0.2">
      <c r="D147" s="33" t="s">
        <v>155</v>
      </c>
      <c r="F147" s="43">
        <f>ROUND(F137-F145,0)</f>
        <v>0</v>
      </c>
      <c r="G147" s="43">
        <f t="shared" ref="G147:O147" si="94">ROUND(G137-G145,0)</f>
        <v>0</v>
      </c>
      <c r="H147" s="43">
        <f t="shared" si="94"/>
        <v>0</v>
      </c>
      <c r="I147" s="43">
        <f t="shared" si="94"/>
        <v>0</v>
      </c>
      <c r="J147" s="43">
        <f t="shared" si="94"/>
        <v>0</v>
      </c>
      <c r="K147" s="43">
        <f t="shared" ca="1" si="94"/>
        <v>0</v>
      </c>
      <c r="L147" s="43">
        <f t="shared" ca="1" si="94"/>
        <v>0</v>
      </c>
      <c r="M147" s="43">
        <f t="shared" ca="1" si="94"/>
        <v>0</v>
      </c>
      <c r="N147" s="43">
        <f t="shared" ca="1" si="94"/>
        <v>0</v>
      </c>
      <c r="O147" s="43">
        <f t="shared" ca="1" si="94"/>
        <v>0</v>
      </c>
    </row>
    <row r="148" spans="1:20" x14ac:dyDescent="0.2">
      <c r="K148" s="280"/>
      <c r="L148" s="280"/>
      <c r="M148" s="280"/>
      <c r="N148" s="280"/>
      <c r="O148" s="280"/>
      <c r="P148" s="276"/>
      <c r="R148" s="279"/>
    </row>
    <row r="149" spans="1:20" x14ac:dyDescent="0.2">
      <c r="A149" s="24" t="s">
        <v>17</v>
      </c>
      <c r="B149" s="106" t="s">
        <v>156</v>
      </c>
      <c r="C149" s="106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72"/>
      <c r="Q149" s="100"/>
      <c r="R149" s="100"/>
      <c r="S149" s="100"/>
    </row>
    <row r="150" spans="1:20" x14ac:dyDescent="0.2">
      <c r="P150" s="276"/>
    </row>
    <row r="151" spans="1:20" x14ac:dyDescent="0.2">
      <c r="D151" s="34" t="s">
        <v>157</v>
      </c>
      <c r="E151" s="70"/>
      <c r="F151" s="35"/>
      <c r="G151" s="35"/>
      <c r="H151" s="35"/>
      <c r="I151" s="35"/>
      <c r="J151" s="35"/>
      <c r="K151" s="99"/>
      <c r="L151" s="99"/>
      <c r="M151" s="99"/>
      <c r="N151" s="99"/>
      <c r="O151" s="99"/>
      <c r="P151" s="276"/>
    </row>
    <row r="152" spans="1:20" x14ac:dyDescent="0.2">
      <c r="D152" s="36" t="s">
        <v>158</v>
      </c>
      <c r="F152" s="123"/>
      <c r="G152" s="123"/>
      <c r="H152" s="123"/>
      <c r="I152" s="123"/>
      <c r="J152" s="123"/>
      <c r="K152" s="120">
        <f ca="1">K64</f>
        <v>186.39824630601959</v>
      </c>
      <c r="L152" s="120">
        <f t="shared" ref="L152:O152" ca="1" si="95">L64</f>
        <v>200.21924549628466</v>
      </c>
      <c r="M152" s="120">
        <f t="shared" ca="1" si="95"/>
        <v>213.21130832805869</v>
      </c>
      <c r="N152" s="120">
        <f t="shared" ca="1" si="95"/>
        <v>223.2359646102596</v>
      </c>
      <c r="O152" s="120">
        <f t="shared" ca="1" si="95"/>
        <v>235.2172453891672</v>
      </c>
      <c r="P152" s="276"/>
    </row>
    <row r="153" spans="1:20" x14ac:dyDescent="0.2">
      <c r="D153" s="36" t="s">
        <v>159</v>
      </c>
      <c r="F153" s="123"/>
      <c r="G153" s="123"/>
      <c r="H153" s="123"/>
      <c r="I153" s="123"/>
      <c r="J153" s="123"/>
      <c r="K153" s="120">
        <f>-'Supporting Schedules'!K99</f>
        <v>56.012804411049373</v>
      </c>
      <c r="L153" s="120">
        <f>-'Supporting Schedules'!L99</f>
        <v>55.989343536011766</v>
      </c>
      <c r="M153" s="120">
        <f>-'Supporting Schedules'!M99</f>
        <v>56.061332985724633</v>
      </c>
      <c r="N153" s="120">
        <f>-'Supporting Schedules'!N99</f>
        <v>56.2149160847815</v>
      </c>
      <c r="O153" s="120">
        <f>-'Supporting Schedules'!O99</f>
        <v>56.438404445430734</v>
      </c>
      <c r="P153" s="276"/>
    </row>
    <row r="154" spans="1:20" x14ac:dyDescent="0.2">
      <c r="D154" s="36" t="s">
        <v>160</v>
      </c>
      <c r="F154" s="123"/>
      <c r="G154" s="123"/>
      <c r="H154" s="123"/>
      <c r="I154" s="123"/>
      <c r="J154" s="123"/>
      <c r="K154" s="120">
        <f>-(SUM(K88,K89:K95)-SUM(J88,J89:J95))</f>
        <v>-32.99097315265999</v>
      </c>
      <c r="L154" s="120">
        <f t="shared" ref="L154:O154" si="96">-(SUM(L88,L91:L95)-SUM(K88,K91:K95))</f>
        <v>23.280687037308255</v>
      </c>
      <c r="M154" s="120">
        <f t="shared" si="96"/>
        <v>-33.285511284583222</v>
      </c>
      <c r="N154" s="120">
        <f t="shared" si="96"/>
        <v>25.167171665579289</v>
      </c>
      <c r="O154" s="120">
        <f t="shared" si="96"/>
        <v>-34.342535225528579</v>
      </c>
      <c r="P154" s="276"/>
    </row>
    <row r="155" spans="1:20" x14ac:dyDescent="0.2">
      <c r="D155" s="36" t="s">
        <v>161</v>
      </c>
      <c r="F155" s="123"/>
      <c r="G155" s="123"/>
      <c r="H155" s="123"/>
      <c r="I155" s="123"/>
      <c r="J155" s="123"/>
      <c r="K155" s="120">
        <f>SUM(K113,K115:K118,K120:K121)-SUM(J113,J115:J118,J120:J121)</f>
        <v>94.25781833088422</v>
      </c>
      <c r="L155" s="120">
        <f t="shared" ref="L155:O155" si="97">SUM(L113,L115:L118,L120:L121)-SUM(K113,K115:K118,K120:K121)</f>
        <v>6.6945200388814783</v>
      </c>
      <c r="M155" s="120">
        <f t="shared" si="97"/>
        <v>89.904106281966051</v>
      </c>
      <c r="N155" s="120">
        <f t="shared" si="97"/>
        <v>-7.0281419292879264</v>
      </c>
      <c r="O155" s="120">
        <f t="shared" si="97"/>
        <v>90.31983442010096</v>
      </c>
      <c r="P155" s="276"/>
    </row>
    <row r="156" spans="1:20" x14ac:dyDescent="0.2">
      <c r="D156" s="36" t="s">
        <v>162</v>
      </c>
      <c r="F156" s="123"/>
      <c r="G156" s="123"/>
      <c r="H156" s="123"/>
      <c r="I156" s="123"/>
      <c r="J156" s="123"/>
      <c r="K156" s="120">
        <f>-(SUM(K100,K105:K107)-SUM(J100,J105:J107))</f>
        <v>-10.753307732779689</v>
      </c>
      <c r="L156" s="120">
        <f t="shared" ref="L156:O156" si="98">-(SUM(L100,L105:L107)-SUM(K100,K105:K107))</f>
        <v>-8.5106363432276595</v>
      </c>
      <c r="M156" s="120">
        <f t="shared" si="98"/>
        <v>-8.0896116264309512</v>
      </c>
      <c r="N156" s="120">
        <f t="shared" si="98"/>
        <v>-6.4087709040860261</v>
      </c>
      <c r="O156" s="120">
        <f t="shared" si="98"/>
        <v>-7.6023379645149021</v>
      </c>
      <c r="P156" s="276"/>
    </row>
    <row r="157" spans="1:20" x14ac:dyDescent="0.2">
      <c r="D157" s="37" t="s">
        <v>163</v>
      </c>
      <c r="E157" s="70"/>
      <c r="F157" s="124"/>
      <c r="G157" s="124"/>
      <c r="H157" s="124"/>
      <c r="I157" s="124"/>
      <c r="J157" s="124"/>
      <c r="K157" s="196">
        <f>SUM(K125,K127:K129,K131:K132)-SUM(J125,J127:J129,J131:J132)</f>
        <v>-5.1916684424335529</v>
      </c>
      <c r="L157" s="196">
        <f t="shared" ref="L157:O157" si="99">SUM(L125,L127:L129,L131:L132)-SUM(K125,K127:K129,K131:K132)</f>
        <v>3.8426620035949952</v>
      </c>
      <c r="M157" s="196">
        <f t="shared" si="99"/>
        <v>3.6525639173224533</v>
      </c>
      <c r="N157" s="196">
        <f t="shared" si="99"/>
        <v>2.8936426666230801</v>
      </c>
      <c r="O157" s="196">
        <f t="shared" si="99"/>
        <v>3.4325535784378332</v>
      </c>
      <c r="P157" s="276"/>
    </row>
    <row r="158" spans="1:20" ht="15" thickBot="1" x14ac:dyDescent="0.25">
      <c r="D158" s="38" t="s">
        <v>164</v>
      </c>
      <c r="E158" s="71"/>
      <c r="F158" s="125"/>
      <c r="G158" s="125"/>
      <c r="H158" s="125"/>
      <c r="I158" s="125"/>
      <c r="J158" s="125"/>
      <c r="K158" s="208">
        <f ca="1">SUM(K152:K157)</f>
        <v>287.73291972007996</v>
      </c>
      <c r="L158" s="208">
        <f t="shared" ref="L158:O158" ca="1" si="100">SUM(L152:L157)</f>
        <v>281.51582176885347</v>
      </c>
      <c r="M158" s="208">
        <f t="shared" ca="1" si="100"/>
        <v>321.45418860205768</v>
      </c>
      <c r="N158" s="208">
        <f t="shared" ca="1" si="100"/>
        <v>294.07478219386957</v>
      </c>
      <c r="O158" s="208">
        <f t="shared" ca="1" si="100"/>
        <v>343.46316464309325</v>
      </c>
      <c r="P158" s="9"/>
      <c r="Q158" s="24"/>
      <c r="R158" s="24"/>
      <c r="S158" s="24"/>
    </row>
    <row r="159" spans="1:20" x14ac:dyDescent="0.2">
      <c r="D159" s="36"/>
      <c r="P159" s="276"/>
    </row>
    <row r="160" spans="1:20" x14ac:dyDescent="0.2">
      <c r="D160" s="34" t="s">
        <v>165</v>
      </c>
      <c r="E160" s="70"/>
      <c r="F160" s="35"/>
      <c r="G160" s="35"/>
      <c r="H160" s="35"/>
      <c r="I160" s="35"/>
      <c r="J160" s="35"/>
      <c r="K160" s="99"/>
      <c r="L160" s="99"/>
      <c r="M160" s="99"/>
      <c r="N160" s="99"/>
      <c r="O160" s="99"/>
      <c r="P160" s="276"/>
    </row>
    <row r="161" spans="4:20" x14ac:dyDescent="0.2">
      <c r="D161" s="37" t="s">
        <v>166</v>
      </c>
      <c r="E161" s="70"/>
      <c r="F161" s="124"/>
      <c r="G161" s="124"/>
      <c r="H161" s="124"/>
      <c r="I161" s="124"/>
      <c r="J161" s="124"/>
      <c r="K161" s="196">
        <f>-'Supporting Schedules'!K93</f>
        <v>-60.273497463409896</v>
      </c>
      <c r="L161" s="196">
        <f>-'Supporting Schedules'!L93</f>
        <v>-60.584673122385851</v>
      </c>
      <c r="M161" s="196">
        <f>-'Supporting Schedules'!M93</f>
        <v>-60.950136310576923</v>
      </c>
      <c r="N161" s="196">
        <f>-'Supporting Schedules'!N93</f>
        <v>-61.362558987896755</v>
      </c>
      <c r="O161" s="196">
        <f>-'Supporting Schedules'!O93</f>
        <v>-61.815766324348843</v>
      </c>
      <c r="P161" s="276"/>
    </row>
    <row r="162" spans="4:20" ht="15" thickBot="1" x14ac:dyDescent="0.25">
      <c r="D162" s="38" t="s">
        <v>167</v>
      </c>
      <c r="E162" s="71"/>
      <c r="F162" s="125"/>
      <c r="G162" s="125"/>
      <c r="H162" s="125"/>
      <c r="I162" s="125"/>
      <c r="J162" s="125"/>
      <c r="K162" s="208">
        <f>SUM(K161:K161)</f>
        <v>-60.273497463409896</v>
      </c>
      <c r="L162" s="208">
        <f>SUM(L161:L161)</f>
        <v>-60.584673122385851</v>
      </c>
      <c r="M162" s="208">
        <f>SUM(M161:M161)</f>
        <v>-60.950136310576923</v>
      </c>
      <c r="N162" s="208">
        <f>SUM(N161:N161)</f>
        <v>-61.362558987896755</v>
      </c>
      <c r="O162" s="208">
        <f>SUM(O161:O161)</f>
        <v>-61.815766324348843</v>
      </c>
      <c r="P162" s="9"/>
      <c r="Q162" s="24"/>
      <c r="R162" s="24"/>
      <c r="S162" s="24"/>
    </row>
    <row r="163" spans="4:20" x14ac:dyDescent="0.2">
      <c r="D163" s="36"/>
      <c r="P163" s="276"/>
    </row>
    <row r="164" spans="4:20" x14ac:dyDescent="0.2">
      <c r="D164" s="34" t="s">
        <v>168</v>
      </c>
      <c r="E164" s="70"/>
      <c r="F164" s="35"/>
      <c r="G164" s="35"/>
      <c r="H164" s="35"/>
      <c r="I164" s="35"/>
      <c r="J164" s="35"/>
      <c r="K164" s="99"/>
      <c r="L164" s="99"/>
      <c r="M164" s="99"/>
      <c r="N164" s="99"/>
      <c r="O164" s="99"/>
      <c r="P164" s="276"/>
    </row>
    <row r="165" spans="4:20" x14ac:dyDescent="0.2">
      <c r="D165" s="36" t="s">
        <v>169</v>
      </c>
      <c r="F165" s="123"/>
      <c r="G165" s="123"/>
      <c r="H165" s="123"/>
      <c r="I165" s="123"/>
      <c r="J165" s="123"/>
      <c r="K165" s="120">
        <f ca="1">K126-J126</f>
        <v>4.2473186000599981</v>
      </c>
      <c r="L165" s="120">
        <f ca="1">L126-K126</f>
        <v>20.956920625846124</v>
      </c>
      <c r="M165" s="120">
        <f ca="1">M126-L126</f>
        <v>22.079522879975912</v>
      </c>
      <c r="N165" s="120">
        <f ca="1">N126-M126</f>
        <v>22.954400221747676</v>
      </c>
      <c r="O165" s="120">
        <f ca="1">O126-N126</f>
        <v>23.997394651856666</v>
      </c>
      <c r="P165" s="276"/>
    </row>
    <row r="166" spans="4:20" x14ac:dyDescent="0.2">
      <c r="D166" s="36" t="s">
        <v>170</v>
      </c>
      <c r="F166" s="123"/>
      <c r="G166" s="123"/>
      <c r="H166" s="123"/>
      <c r="I166" s="123"/>
      <c r="J166" s="123"/>
      <c r="K166" s="120">
        <f ca="1">SUM(K119,K130)-SUM(J119,J130)</f>
        <v>18.620206483255771</v>
      </c>
      <c r="L166" s="120">
        <f ca="1">SUM(L119,L130)-SUM(K119,K130)</f>
        <v>4.740996660685596</v>
      </c>
      <c r="M166" s="120">
        <f ca="1">SUM(M119,M130)-SUM(L119,L130)</f>
        <v>4.9949582819146059</v>
      </c>
      <c r="N166" s="120">
        <f ca="1">SUM(N119,N130)-SUM(M119,M130)</f>
        <v>5.1928781304411018</v>
      </c>
      <c r="O166" s="120">
        <f ca="1">SUM(O119,O130)-SUM(N119,N130)</f>
        <v>5.4288304059945176</v>
      </c>
      <c r="P166" s="276"/>
    </row>
    <row r="167" spans="4:20" x14ac:dyDescent="0.2">
      <c r="D167" s="36" t="s">
        <v>171</v>
      </c>
      <c r="F167" s="123"/>
      <c r="G167" s="123"/>
      <c r="H167" s="123"/>
      <c r="I167" s="123"/>
      <c r="J167" s="123"/>
      <c r="K167" s="120">
        <f ca="1">'Supporting Schedules'!K172</f>
        <v>-120.36575738030008</v>
      </c>
      <c r="L167" s="120">
        <f ca="1">'Supporting Schedules'!L172</f>
        <v>-129.29060012027733</v>
      </c>
      <c r="M167" s="120">
        <f ca="1">'Supporting Schedules'!M172</f>
        <v>-137.6801612544071</v>
      </c>
      <c r="N167" s="120">
        <f ca="1">'Supporting Schedules'!N172</f>
        <v>-144.15353409882385</v>
      </c>
      <c r="O167" s="120">
        <f ca="1">'Supporting Schedules'!O172</f>
        <v>-151.89038765790519</v>
      </c>
      <c r="P167" s="276"/>
    </row>
    <row r="168" spans="4:20" x14ac:dyDescent="0.2">
      <c r="D168" s="37" t="s">
        <v>172</v>
      </c>
      <c r="E168" s="70"/>
      <c r="F168" s="124"/>
      <c r="G168" s="124"/>
      <c r="H168" s="124"/>
      <c r="I168" s="124"/>
      <c r="J168" s="124"/>
      <c r="K168" s="133">
        <f>K140-J140</f>
        <v>16.807294713853935</v>
      </c>
      <c r="L168" s="133">
        <f>L140-K140</f>
        <v>16.89406620096338</v>
      </c>
      <c r="M168" s="133">
        <f>M140-L140</f>
        <v>16.995975792566583</v>
      </c>
      <c r="N168" s="133">
        <f>N140-M140</f>
        <v>17.110980061044586</v>
      </c>
      <c r="O168" s="133">
        <f>O140-N140</f>
        <v>17.237357151985009</v>
      </c>
      <c r="P168" s="276"/>
    </row>
    <row r="169" spans="4:20" ht="15" thickBot="1" x14ac:dyDescent="0.25">
      <c r="D169" s="38" t="s">
        <v>173</v>
      </c>
      <c r="E169" s="71"/>
      <c r="F169" s="125"/>
      <c r="G169" s="125"/>
      <c r="H169" s="125"/>
      <c r="I169" s="125"/>
      <c r="J169" s="125"/>
      <c r="K169" s="39">
        <f ca="1">SUM(K165:K168)</f>
        <v>-80.690937583130378</v>
      </c>
      <c r="L169" s="39">
        <f t="shared" ref="L169:O169" ca="1" si="101">SUM(L165:L168)</f>
        <v>-86.698616632782233</v>
      </c>
      <c r="M169" s="39">
        <f t="shared" ca="1" si="101"/>
        <v>-93.609704299949996</v>
      </c>
      <c r="N169" s="39">
        <f t="shared" ca="1" si="101"/>
        <v>-98.895275685590491</v>
      </c>
      <c r="O169" s="39">
        <f t="shared" ca="1" si="101"/>
        <v>-105.226805448069</v>
      </c>
      <c r="P169" s="9"/>
      <c r="Q169" s="24"/>
      <c r="R169" s="24"/>
      <c r="S169" s="24"/>
    </row>
    <row r="170" spans="4:20" x14ac:dyDescent="0.2">
      <c r="D170" s="37"/>
      <c r="E170" s="70"/>
      <c r="F170" s="35"/>
      <c r="G170" s="35"/>
      <c r="H170" s="35"/>
      <c r="I170" s="35"/>
      <c r="J170" s="35"/>
      <c r="K170" s="99"/>
      <c r="L170" s="99"/>
      <c r="M170" s="99"/>
      <c r="N170" s="99"/>
      <c r="O170" s="99"/>
      <c r="P170" s="276"/>
    </row>
    <row r="171" spans="4:20" ht="15" thickBot="1" x14ac:dyDescent="0.25">
      <c r="D171" s="40" t="s">
        <v>174</v>
      </c>
      <c r="E171" s="72"/>
      <c r="F171" s="126"/>
      <c r="G171" s="126"/>
      <c r="H171" s="126"/>
      <c r="I171" s="126"/>
      <c r="J171" s="126"/>
      <c r="K171" s="41">
        <f ca="1">SUM(K158,K162,K169)</f>
        <v>146.76848467353966</v>
      </c>
      <c r="L171" s="41">
        <f ca="1">SUM(L158,L162,L169)</f>
        <v>134.23253201368539</v>
      </c>
      <c r="M171" s="41">
        <f ca="1">SUM(M158,M162,M169)</f>
        <v>166.89434799153076</v>
      </c>
      <c r="N171" s="41">
        <f ca="1">SUM(N158,N162,N169)</f>
        <v>133.81694752038231</v>
      </c>
      <c r="O171" s="41">
        <f ca="1">SUM(O158,O162,O169)</f>
        <v>176.42059287067542</v>
      </c>
      <c r="P171" s="9"/>
      <c r="Q171" s="24"/>
      <c r="R171" s="24"/>
      <c r="S171" s="24"/>
    </row>
    <row r="172" spans="4:20" ht="15" thickTop="1" x14ac:dyDescent="0.2">
      <c r="D172" s="36" t="s">
        <v>175</v>
      </c>
      <c r="E172" s="77"/>
      <c r="F172" s="272"/>
      <c r="G172" s="272"/>
      <c r="H172" s="272"/>
      <c r="I172" s="272"/>
      <c r="J172" s="272"/>
      <c r="K172" s="120">
        <f>J87</f>
        <v>275.3</v>
      </c>
      <c r="L172" s="120">
        <f ca="1">K173</f>
        <v>422.06848467353967</v>
      </c>
      <c r="M172" s="120">
        <f t="shared" ref="M172:O172" ca="1" si="102">L173</f>
        <v>556.301016687225</v>
      </c>
      <c r="N172" s="120">
        <f t="shared" ca="1" si="102"/>
        <v>723.19536467875582</v>
      </c>
      <c r="O172" s="120">
        <f t="shared" ca="1" si="102"/>
        <v>857.01231219913814</v>
      </c>
      <c r="P172" s="276"/>
    </row>
    <row r="173" spans="4:20" ht="15" thickBot="1" x14ac:dyDescent="0.25">
      <c r="D173" s="40" t="s">
        <v>176</v>
      </c>
      <c r="E173" s="72"/>
      <c r="F173" s="126"/>
      <c r="G173" s="126"/>
      <c r="H173" s="126"/>
      <c r="I173" s="126"/>
      <c r="J173" s="126"/>
      <c r="K173" s="273">
        <f ca="1">K172+K171</f>
        <v>422.06848467353967</v>
      </c>
      <c r="L173" s="273">
        <f t="shared" ref="L173:O173" ca="1" si="103">L172+L171</f>
        <v>556.301016687225</v>
      </c>
      <c r="M173" s="273">
        <f t="shared" ca="1" si="103"/>
        <v>723.19536467875582</v>
      </c>
      <c r="N173" s="273">
        <f t="shared" ca="1" si="103"/>
        <v>857.01231219913814</v>
      </c>
      <c r="O173" s="273">
        <f t="shared" ca="1" si="103"/>
        <v>1033.4329050698136</v>
      </c>
      <c r="P173" s="9"/>
      <c r="Q173" s="24"/>
      <c r="R173" s="24"/>
      <c r="S173" s="24"/>
      <c r="T173" s="24"/>
    </row>
    <row r="174" spans="4:20" ht="15" thickTop="1" x14ac:dyDescent="0.2"/>
  </sheetData>
  <mergeCells count="2">
    <mergeCell ref="F1:J1"/>
    <mergeCell ref="K1:O1"/>
  </mergeCells>
  <conditionalFormatting sqref="F147:O147">
    <cfRule type="cellIs" dxfId="1" priority="1" operator="equal">
      <formula>0</formula>
    </cfRule>
  </conditionalFormatting>
  <dataValidations disablePrompts="1" count="1">
    <dataValidation type="list" allowBlank="1" showInputMessage="1" showErrorMessage="1" sqref="E14" xr:uid="{26E4728F-E212-1640-B154-4D8CE2E6AD84}">
      <formula1>"On, Off"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3D33-0975-4813-A057-CD937DC96D64}">
  <dimension ref="A1:AE176"/>
  <sheetViews>
    <sheetView showGridLines="0" zoomScale="135" zoomScaleNormal="158" workbookViewId="0">
      <pane ySplit="3" topLeftCell="A151" activePane="bottomLeft" state="frozen"/>
      <selection pane="bottomLeft" activeCell="Q70" sqref="Q70"/>
    </sheetView>
  </sheetViews>
  <sheetFormatPr baseColWidth="10" defaultColWidth="11.3984375" defaultRowHeight="14" x14ac:dyDescent="0.2"/>
  <cols>
    <col min="1" max="3" width="2" customWidth="1"/>
    <col min="4" max="4" width="38.796875" customWidth="1"/>
    <col min="5" max="5" width="11.796875" bestFit="1" customWidth="1"/>
    <col min="21" max="21" width="11.3984375" bestFit="1" customWidth="1"/>
    <col min="22" max="25" width="13" bestFit="1" customWidth="1"/>
  </cols>
  <sheetData>
    <row r="1" spans="1:31" s="103" customFormat="1" ht="21" x14ac:dyDescent="0.25">
      <c r="A1" s="172"/>
      <c r="B1" s="172"/>
      <c r="C1" s="172"/>
      <c r="D1" s="101" t="s">
        <v>0</v>
      </c>
      <c r="E1" s="102"/>
      <c r="F1" s="284" t="s">
        <v>1</v>
      </c>
      <c r="G1" s="284"/>
      <c r="H1" s="284"/>
      <c r="I1" s="284"/>
      <c r="J1" s="284"/>
      <c r="K1" s="284" t="s">
        <v>2</v>
      </c>
      <c r="L1" s="284"/>
      <c r="M1" s="284"/>
      <c r="N1" s="284"/>
      <c r="O1" s="284"/>
      <c r="P1" s="192"/>
      <c r="Q1" s="192"/>
      <c r="R1" s="192"/>
      <c r="S1" s="192"/>
    </row>
    <row r="2" spans="1:31" s="103" customFormat="1" x14ac:dyDescent="0.2">
      <c r="A2" s="104"/>
      <c r="B2" s="104"/>
      <c r="C2" s="104"/>
      <c r="D2" s="106" t="s">
        <v>3</v>
      </c>
      <c r="E2" s="106"/>
      <c r="F2" s="283" t="s">
        <v>4</v>
      </c>
      <c r="G2" s="283" t="s">
        <v>5</v>
      </c>
      <c r="H2" s="283" t="s">
        <v>6</v>
      </c>
      <c r="I2" s="283" t="s">
        <v>7</v>
      </c>
      <c r="J2" s="283" t="s">
        <v>8</v>
      </c>
      <c r="K2" s="283" t="s">
        <v>9</v>
      </c>
      <c r="L2" s="283" t="s">
        <v>10</v>
      </c>
      <c r="M2" s="283" t="s">
        <v>11</v>
      </c>
      <c r="N2" s="283" t="s">
        <v>12</v>
      </c>
      <c r="O2" s="283" t="s">
        <v>13</v>
      </c>
      <c r="P2" s="192"/>
      <c r="Q2" s="193" t="s">
        <v>14</v>
      </c>
      <c r="R2" s="192"/>
      <c r="S2" s="192"/>
    </row>
    <row r="3" spans="1:31" s="103" customFormat="1" x14ac:dyDescent="0.2">
      <c r="A3" s="104"/>
      <c r="B3" s="104"/>
      <c r="C3" s="104"/>
      <c r="D3" s="106" t="s">
        <v>15</v>
      </c>
      <c r="E3" s="106"/>
      <c r="F3" s="105">
        <v>44012</v>
      </c>
      <c r="G3" s="105">
        <f>F3+$E$10</f>
        <v>44012</v>
      </c>
      <c r="H3" s="105">
        <f>G3+$E$10</f>
        <v>44012</v>
      </c>
      <c r="I3" s="105">
        <f>H3+$E$10</f>
        <v>44012</v>
      </c>
      <c r="J3" s="105">
        <f>I3+$E$10</f>
        <v>44012</v>
      </c>
      <c r="P3" s="192"/>
      <c r="Q3" s="192"/>
      <c r="R3" s="192"/>
      <c r="S3" s="192"/>
    </row>
    <row r="5" spans="1:31" x14ac:dyDescent="0.2">
      <c r="D5" s="107" t="s">
        <v>177</v>
      </c>
      <c r="E5" s="107"/>
    </row>
    <row r="6" spans="1:31" x14ac:dyDescent="0.2">
      <c r="D6" t="s">
        <v>178</v>
      </c>
      <c r="E6">
        <v>365.25</v>
      </c>
    </row>
    <row r="8" spans="1:31" x14ac:dyDescent="0.2">
      <c r="A8" s="9" t="s">
        <v>17</v>
      </c>
      <c r="B8" s="106" t="s">
        <v>179</v>
      </c>
      <c r="C8" s="106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</row>
    <row r="10" spans="1:31" x14ac:dyDescent="0.2">
      <c r="D10" s="106" t="s">
        <v>96</v>
      </c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</row>
    <row r="12" spans="1:31" x14ac:dyDescent="0.2">
      <c r="A12" s="24"/>
      <c r="B12" s="24"/>
      <c r="C12" s="24"/>
      <c r="D12" s="161" t="s">
        <v>98</v>
      </c>
      <c r="E12" s="70"/>
      <c r="F12" s="35"/>
      <c r="G12" s="35"/>
      <c r="H12" s="35"/>
      <c r="I12" s="35"/>
      <c r="J12" s="35"/>
      <c r="K12" s="99"/>
      <c r="L12" s="99"/>
      <c r="M12" s="99"/>
      <c r="N12" s="99"/>
      <c r="O12" s="99"/>
    </row>
    <row r="13" spans="1:31" x14ac:dyDescent="0.2">
      <c r="D13" s="9" t="s">
        <v>98</v>
      </c>
      <c r="F13" s="81"/>
      <c r="G13" s="81"/>
      <c r="H13" s="81"/>
      <c r="I13" s="81"/>
      <c r="J13" s="81"/>
      <c r="V13">
        <f ca="1">COUNTIF(V14:AE176,"True")</f>
        <v>0</v>
      </c>
    </row>
    <row r="14" spans="1:31" x14ac:dyDescent="0.2">
      <c r="D14" s="173" t="s">
        <v>180</v>
      </c>
      <c r="F14" s="189">
        <v>81.3</v>
      </c>
      <c r="G14" s="81">
        <f t="shared" ref="G14:O14" si="0">F15</f>
        <v>86.4</v>
      </c>
      <c r="H14" s="81">
        <f t="shared" si="0"/>
        <v>93.9</v>
      </c>
      <c r="I14" s="81">
        <f t="shared" si="0"/>
        <v>40.4</v>
      </c>
      <c r="J14" s="81">
        <f t="shared" si="0"/>
        <v>41.2</v>
      </c>
      <c r="K14" s="81">
        <f t="shared" si="0"/>
        <v>42.8</v>
      </c>
      <c r="L14" s="81">
        <f t="shared" si="0"/>
        <v>75.328302936802288</v>
      </c>
      <c r="M14" s="81">
        <f t="shared" si="0"/>
        <v>50.832924149989836</v>
      </c>
      <c r="N14" s="81">
        <f t="shared" si="0"/>
        <v>82.963834990725147</v>
      </c>
      <c r="O14" s="81">
        <f t="shared" si="0"/>
        <v>56.881963080921381</v>
      </c>
      <c r="V14" t="b">
        <f t="shared" ref="V14:V45" si="1">OR(ROUND(F14,8)=-0.00133017,ROUND(F14-E14,8)=-0.00133017)</f>
        <v>0</v>
      </c>
      <c r="W14" t="b">
        <f t="shared" ref="W14:W45" si="2">OR(ROUND(G14,8)=-0.00133017,ROUND(G14-F14,8)=-0.00133017)</f>
        <v>0</v>
      </c>
      <c r="X14" t="b">
        <f t="shared" ref="X14:X45" si="3">OR(ROUND(H14,8)=-0.00133017,ROUND(H14-G14,8)=-0.00133017)</f>
        <v>0</v>
      </c>
      <c r="Y14" t="b">
        <f t="shared" ref="Y14:Y45" si="4">OR(ROUND(I14,8)=-0.00133017,ROUND(I14-H14,8)=-0.00133017)</f>
        <v>0</v>
      </c>
      <c r="Z14" t="b">
        <f t="shared" ref="Z14:Z45" si="5">OR(ROUND(J14,8)=-0.00133017,ROUND(J14-I14,8)=-0.00133017)</f>
        <v>0</v>
      </c>
      <c r="AA14" t="b">
        <f t="shared" ref="AA14:AA45" si="6">OR(ROUND(K14,8)=-0.00133017,ROUND(K14-J14,8)=-0.00133017)</f>
        <v>0</v>
      </c>
      <c r="AB14" t="b">
        <f t="shared" ref="AB14:AB45" si="7">OR(ROUND(L14,8)=-0.00133017,ROUND(L14-K14,8)=-0.00133017)</f>
        <v>0</v>
      </c>
      <c r="AC14" t="b">
        <f t="shared" ref="AC14:AC45" si="8">OR(ROUND(M14,8)=-0.00133017,ROUND(M14-L14,8)=-0.00133017)</f>
        <v>0</v>
      </c>
      <c r="AD14" t="b">
        <f t="shared" ref="AD14:AD45" si="9">OR(ROUND(N14,8)=-0.00133017,ROUND(N14-M14,8)=-0.00133017)</f>
        <v>0</v>
      </c>
      <c r="AE14" t="b">
        <f t="shared" ref="AE14:AE45" si="10">OR(ROUND(O14,8)=-0.00133017,ROUND(O14-N14,8)=-0.00133017)</f>
        <v>0</v>
      </c>
    </row>
    <row r="15" spans="1:31" x14ac:dyDescent="0.2">
      <c r="D15" s="173" t="s">
        <v>181</v>
      </c>
      <c r="F15" s="81">
        <f>FSM!F88</f>
        <v>86.4</v>
      </c>
      <c r="G15" s="81">
        <f>FSM!G88</f>
        <v>93.9</v>
      </c>
      <c r="H15" s="81">
        <f>FSM!H88</f>
        <v>40.4</v>
      </c>
      <c r="I15" s="81">
        <f>FSM!I88</f>
        <v>41.2</v>
      </c>
      <c r="J15" s="81">
        <f>FSM!J88</f>
        <v>42.8</v>
      </c>
      <c r="K15" s="120">
        <f>K16*2-K14</f>
        <v>75.328302936802288</v>
      </c>
      <c r="L15" s="120">
        <f>L16*2-L14</f>
        <v>50.832924149989836</v>
      </c>
      <c r="M15" s="120">
        <f>M16*2-M14</f>
        <v>82.963834990725147</v>
      </c>
      <c r="N15" s="120">
        <f>N16*2-N14</f>
        <v>56.881963080921381</v>
      </c>
      <c r="O15" s="120">
        <f>O16*2-O14</f>
        <v>90.139444635958327</v>
      </c>
      <c r="Q15" t="s">
        <v>182</v>
      </c>
      <c r="V15" t="b">
        <f t="shared" si="1"/>
        <v>0</v>
      </c>
      <c r="W15" t="b">
        <f t="shared" si="2"/>
        <v>0</v>
      </c>
      <c r="X15" t="b">
        <f t="shared" si="3"/>
        <v>0</v>
      </c>
      <c r="Y15" t="b">
        <f t="shared" si="4"/>
        <v>0</v>
      </c>
      <c r="Z15" t="b">
        <f t="shared" si="5"/>
        <v>0</v>
      </c>
      <c r="AA15" t="b">
        <f t="shared" si="6"/>
        <v>0</v>
      </c>
      <c r="AB15" t="b">
        <f t="shared" si="7"/>
        <v>0</v>
      </c>
      <c r="AC15" t="b">
        <f t="shared" si="8"/>
        <v>0</v>
      </c>
      <c r="AD15" t="b">
        <f t="shared" si="9"/>
        <v>0</v>
      </c>
      <c r="AE15" t="b">
        <f t="shared" si="10"/>
        <v>0</v>
      </c>
    </row>
    <row r="16" spans="1:31" x14ac:dyDescent="0.2">
      <c r="D16" s="173" t="s">
        <v>183</v>
      </c>
      <c r="F16" s="81">
        <f>AVERAGE(F14:F15)</f>
        <v>83.85</v>
      </c>
      <c r="G16" s="81">
        <f>AVERAGE(G14:G15)</f>
        <v>90.15</v>
      </c>
      <c r="H16" s="81">
        <f>AVERAGE(H14:H15)</f>
        <v>67.150000000000006</v>
      </c>
      <c r="I16" s="81">
        <f>AVERAGE(I14:I15)</f>
        <v>40.799999999999997</v>
      </c>
      <c r="J16" s="81">
        <f>AVERAGE(J14:J15)</f>
        <v>42</v>
      </c>
      <c r="K16" s="81">
        <f>K17*FSM!K22</f>
        <v>59.064151468401143</v>
      </c>
      <c r="L16" s="81">
        <f>L17*FSM!L22</f>
        <v>63.080613543396062</v>
      </c>
      <c r="M16" s="81">
        <f>M17*FSM!M22</f>
        <v>66.898379570357491</v>
      </c>
      <c r="N16" s="81">
        <f>N17*FSM!N22</f>
        <v>69.922899035823264</v>
      </c>
      <c r="O16" s="81">
        <f>O17*FSM!O22</f>
        <v>73.510703858439854</v>
      </c>
      <c r="V16" t="b">
        <f t="shared" si="1"/>
        <v>0</v>
      </c>
      <c r="W16" t="b">
        <f t="shared" si="2"/>
        <v>0</v>
      </c>
      <c r="X16" t="b">
        <f t="shared" si="3"/>
        <v>0</v>
      </c>
      <c r="Y16" t="b">
        <f t="shared" si="4"/>
        <v>0</v>
      </c>
      <c r="Z16" t="b">
        <f t="shared" si="5"/>
        <v>0</v>
      </c>
      <c r="AA16" t="b">
        <f t="shared" si="6"/>
        <v>0</v>
      </c>
      <c r="AB16" t="b">
        <f t="shared" si="7"/>
        <v>0</v>
      </c>
      <c r="AC16" t="b">
        <f t="shared" si="8"/>
        <v>0</v>
      </c>
      <c r="AD16" t="b">
        <f t="shared" si="9"/>
        <v>0</v>
      </c>
      <c r="AE16" t="b">
        <f t="shared" si="10"/>
        <v>0</v>
      </c>
    </row>
    <row r="17" spans="1:31" x14ac:dyDescent="0.2">
      <c r="D17" s="183" t="s">
        <v>184</v>
      </c>
      <c r="F17" s="175">
        <f>F16/FSM!F22</f>
        <v>3.3761475277822507E-2</v>
      </c>
      <c r="G17" s="175">
        <f>G16/FSM!G22</f>
        <v>3.4968968192397212E-2</v>
      </c>
      <c r="H17" s="175">
        <f>H16/FSM!H22</f>
        <v>2.433764633394948E-2</v>
      </c>
      <c r="I17" s="175">
        <f>I16/FSM!I22</f>
        <v>1.3858224924425119E-2</v>
      </c>
      <c r="J17" s="175">
        <f>J16/FSM!J22</f>
        <v>1.305848335043373E-2</v>
      </c>
      <c r="K17" s="175">
        <f>K18/$E$6</f>
        <v>1.7084784869602774E-2</v>
      </c>
      <c r="L17" s="175">
        <f>L18/$E$6</f>
        <v>1.7084784869602774E-2</v>
      </c>
      <c r="M17" s="175">
        <f>M18/$E$6</f>
        <v>1.7084784869602774E-2</v>
      </c>
      <c r="N17" s="175">
        <f>N18/$E$6</f>
        <v>1.7084784869602774E-2</v>
      </c>
      <c r="O17" s="175">
        <f>O18/$E$6</f>
        <v>1.7084784869602774E-2</v>
      </c>
      <c r="V17" t="b">
        <f t="shared" si="1"/>
        <v>0</v>
      </c>
      <c r="W17" t="b">
        <f t="shared" si="2"/>
        <v>0</v>
      </c>
      <c r="X17" t="b">
        <f t="shared" si="3"/>
        <v>0</v>
      </c>
      <c r="Y17" t="b">
        <f t="shared" si="4"/>
        <v>0</v>
      </c>
      <c r="Z17" t="b">
        <f t="shared" si="5"/>
        <v>0</v>
      </c>
      <c r="AA17" t="b">
        <f t="shared" si="6"/>
        <v>0</v>
      </c>
      <c r="AB17" t="b">
        <f t="shared" si="7"/>
        <v>0</v>
      </c>
      <c r="AC17" t="b">
        <f t="shared" si="8"/>
        <v>0</v>
      </c>
      <c r="AD17" t="b">
        <f t="shared" si="9"/>
        <v>0</v>
      </c>
      <c r="AE17" t="b">
        <f t="shared" si="10"/>
        <v>0</v>
      </c>
    </row>
    <row r="18" spans="1:31" x14ac:dyDescent="0.2">
      <c r="D18" s="173" t="s">
        <v>185</v>
      </c>
      <c r="F18" s="81">
        <f>F17*$E$6</f>
        <v>12.331378845224672</v>
      </c>
      <c r="G18" s="81">
        <f>G17*$E$6</f>
        <v>12.772415632273082</v>
      </c>
      <c r="H18" s="81">
        <f>H17*$E$6</f>
        <v>8.8893253234750471</v>
      </c>
      <c r="I18" s="81">
        <f>I17*$E$6</f>
        <v>5.0617166536462745</v>
      </c>
      <c r="J18" s="81">
        <f>J17*$E$6</f>
        <v>4.76961104374592</v>
      </c>
      <c r="K18" s="81">
        <f>AVERAGE($H$18:$J$18)</f>
        <v>6.2402176736224133</v>
      </c>
      <c r="L18" s="81">
        <f>AVERAGE($H$18:$J$18)</f>
        <v>6.2402176736224133</v>
      </c>
      <c r="M18" s="81">
        <f>AVERAGE($H$18:$J$18)</f>
        <v>6.2402176736224133</v>
      </c>
      <c r="N18" s="81">
        <f>AVERAGE($H$18:$J$18)</f>
        <v>6.2402176736224133</v>
      </c>
      <c r="O18" s="81">
        <f>AVERAGE($H$18:$J$18)</f>
        <v>6.2402176736224133</v>
      </c>
      <c r="V18" t="b">
        <f t="shared" si="1"/>
        <v>0</v>
      </c>
      <c r="W18" t="b">
        <f t="shared" si="2"/>
        <v>0</v>
      </c>
      <c r="X18" t="b">
        <f t="shared" si="3"/>
        <v>0</v>
      </c>
      <c r="Y18" t="b">
        <f t="shared" si="4"/>
        <v>0</v>
      </c>
      <c r="Z18" t="b">
        <f t="shared" si="5"/>
        <v>0</v>
      </c>
      <c r="AA18" t="b">
        <f t="shared" si="6"/>
        <v>0</v>
      </c>
      <c r="AB18" t="b">
        <f t="shared" si="7"/>
        <v>0</v>
      </c>
      <c r="AC18" t="b">
        <f t="shared" si="8"/>
        <v>0</v>
      </c>
      <c r="AD18" t="b">
        <f t="shared" si="9"/>
        <v>0</v>
      </c>
      <c r="AE18" t="b">
        <f t="shared" si="10"/>
        <v>0</v>
      </c>
    </row>
    <row r="19" spans="1:31" x14ac:dyDescent="0.2">
      <c r="D19" s="9"/>
      <c r="F19" s="81"/>
      <c r="G19" s="81"/>
      <c r="H19" s="81"/>
      <c r="I19" s="81"/>
      <c r="J19" s="81"/>
      <c r="V19" t="b">
        <f t="shared" si="1"/>
        <v>0</v>
      </c>
      <c r="W19" t="b">
        <f t="shared" si="2"/>
        <v>0</v>
      </c>
      <c r="X19" t="b">
        <f t="shared" si="3"/>
        <v>0</v>
      </c>
      <c r="Y19" t="b">
        <f t="shared" si="4"/>
        <v>0</v>
      </c>
      <c r="Z19" t="b">
        <f t="shared" si="5"/>
        <v>0</v>
      </c>
      <c r="AA19" t="b">
        <f t="shared" si="6"/>
        <v>0</v>
      </c>
      <c r="AB19" t="b">
        <f t="shared" si="7"/>
        <v>0</v>
      </c>
      <c r="AC19" t="b">
        <f t="shared" si="8"/>
        <v>0</v>
      </c>
      <c r="AD19" t="b">
        <f t="shared" si="9"/>
        <v>0</v>
      </c>
      <c r="AE19" t="b">
        <f t="shared" si="10"/>
        <v>0</v>
      </c>
    </row>
    <row r="20" spans="1:31" x14ac:dyDescent="0.2">
      <c r="D20" s="155" t="s">
        <v>186</v>
      </c>
      <c r="E20" s="99"/>
      <c r="F20" s="133"/>
      <c r="G20" s="133"/>
      <c r="H20" s="133"/>
      <c r="I20" s="133"/>
      <c r="J20" s="133"/>
      <c r="K20" s="99"/>
      <c r="L20" s="99"/>
      <c r="M20" s="99"/>
      <c r="N20" s="99"/>
      <c r="O20" s="99"/>
      <c r="V20" t="b">
        <f t="shared" si="1"/>
        <v>0</v>
      </c>
      <c r="W20" t="b">
        <f t="shared" si="2"/>
        <v>0</v>
      </c>
      <c r="X20" t="b">
        <f t="shared" si="3"/>
        <v>0</v>
      </c>
      <c r="Y20" t="b">
        <f t="shared" si="4"/>
        <v>0</v>
      </c>
      <c r="Z20" t="b">
        <f t="shared" si="5"/>
        <v>0</v>
      </c>
      <c r="AA20" t="b">
        <f t="shared" si="6"/>
        <v>0</v>
      </c>
      <c r="AB20" t="b">
        <f t="shared" si="7"/>
        <v>0</v>
      </c>
      <c r="AC20" t="b">
        <f t="shared" si="8"/>
        <v>0</v>
      </c>
      <c r="AD20" t="b">
        <f t="shared" si="9"/>
        <v>0</v>
      </c>
      <c r="AE20" t="b">
        <f t="shared" si="10"/>
        <v>0</v>
      </c>
    </row>
    <row r="21" spans="1:31" x14ac:dyDescent="0.2">
      <c r="D21" t="s">
        <v>100</v>
      </c>
      <c r="F21" s="81">
        <f>FSM!F89</f>
        <v>8.8000000000000007</v>
      </c>
      <c r="G21" s="81">
        <f>FSM!G89</f>
        <v>7.7</v>
      </c>
      <c r="H21" s="81">
        <f>FSM!H89</f>
        <v>8.1999999999999993</v>
      </c>
      <c r="I21" s="81">
        <f>FSM!I89</f>
        <v>6.5</v>
      </c>
      <c r="J21" s="81">
        <f>FSM!J89</f>
        <v>6</v>
      </c>
      <c r="K21" s="81">
        <f>$J$21</f>
        <v>6</v>
      </c>
      <c r="L21" s="81">
        <f t="shared" ref="L21:O21" si="11">$J$21</f>
        <v>6</v>
      </c>
      <c r="M21" s="81">
        <f t="shared" si="11"/>
        <v>6</v>
      </c>
      <c r="N21" s="81">
        <f t="shared" si="11"/>
        <v>6</v>
      </c>
      <c r="O21" s="81">
        <f t="shared" si="11"/>
        <v>6</v>
      </c>
      <c r="V21" t="b">
        <f t="shared" si="1"/>
        <v>0</v>
      </c>
      <c r="W21" t="b">
        <f t="shared" si="2"/>
        <v>0</v>
      </c>
      <c r="X21" t="b">
        <f t="shared" si="3"/>
        <v>0</v>
      </c>
      <c r="Y21" t="b">
        <f t="shared" si="4"/>
        <v>0</v>
      </c>
      <c r="Z21" t="b">
        <f t="shared" si="5"/>
        <v>0</v>
      </c>
      <c r="AA21" t="b">
        <f t="shared" si="6"/>
        <v>0</v>
      </c>
      <c r="AB21" t="b">
        <f t="shared" si="7"/>
        <v>0</v>
      </c>
      <c r="AC21" t="b">
        <f t="shared" si="8"/>
        <v>0</v>
      </c>
      <c r="AD21" t="b">
        <f t="shared" si="9"/>
        <v>0</v>
      </c>
      <c r="AE21" t="b">
        <f t="shared" si="10"/>
        <v>0</v>
      </c>
    </row>
    <row r="22" spans="1:31" x14ac:dyDescent="0.2">
      <c r="D22" t="s">
        <v>102</v>
      </c>
      <c r="F22" s="81">
        <f>FSM!F90</f>
        <v>828.6</v>
      </c>
      <c r="G22" s="81">
        <f>FSM!G90</f>
        <v>870.1</v>
      </c>
      <c r="H22" s="81">
        <f>FSM!H90</f>
        <v>1010.1</v>
      </c>
      <c r="I22" s="81">
        <f>FSM!I90</f>
        <v>1070.4000000000001</v>
      </c>
      <c r="J22" s="81">
        <f>FSM!J90</f>
        <v>1084.9000000000001</v>
      </c>
      <c r="K22" s="81">
        <f>$J$22</f>
        <v>1084.9000000000001</v>
      </c>
      <c r="L22" s="81">
        <f t="shared" ref="L22:O22" si="12">$J$22</f>
        <v>1084.9000000000001</v>
      </c>
      <c r="M22" s="81">
        <f t="shared" si="12"/>
        <v>1084.9000000000001</v>
      </c>
      <c r="N22" s="81">
        <f t="shared" si="12"/>
        <v>1084.9000000000001</v>
      </c>
      <c r="O22" s="81">
        <f t="shared" si="12"/>
        <v>1084.9000000000001</v>
      </c>
      <c r="V22" t="b">
        <f t="shared" si="1"/>
        <v>0</v>
      </c>
      <c r="W22" t="b">
        <f t="shared" si="2"/>
        <v>0</v>
      </c>
      <c r="X22" t="b">
        <f t="shared" si="3"/>
        <v>0</v>
      </c>
      <c r="Y22" t="b">
        <f t="shared" si="4"/>
        <v>0</v>
      </c>
      <c r="Z22" t="b">
        <f t="shared" si="5"/>
        <v>0</v>
      </c>
      <c r="AA22" t="b">
        <f t="shared" si="6"/>
        <v>0</v>
      </c>
      <c r="AB22" t="b">
        <f t="shared" si="7"/>
        <v>0</v>
      </c>
      <c r="AC22" t="b">
        <f t="shared" si="8"/>
        <v>0</v>
      </c>
      <c r="AD22" t="b">
        <f t="shared" si="9"/>
        <v>0</v>
      </c>
      <c r="AE22" t="b">
        <f t="shared" si="10"/>
        <v>0</v>
      </c>
    </row>
    <row r="23" spans="1:31" x14ac:dyDescent="0.2">
      <c r="V23" t="b">
        <f t="shared" si="1"/>
        <v>0</v>
      </c>
      <c r="W23" t="b">
        <f t="shared" si="2"/>
        <v>0</v>
      </c>
      <c r="X23" t="b">
        <f t="shared" si="3"/>
        <v>0</v>
      </c>
      <c r="Y23" t="b">
        <f t="shared" si="4"/>
        <v>0</v>
      </c>
      <c r="Z23" t="b">
        <f t="shared" si="5"/>
        <v>0</v>
      </c>
      <c r="AA23" t="b">
        <f t="shared" si="6"/>
        <v>0</v>
      </c>
      <c r="AB23" t="b">
        <f t="shared" si="7"/>
        <v>0</v>
      </c>
      <c r="AC23" t="b">
        <f t="shared" si="8"/>
        <v>0</v>
      </c>
      <c r="AD23" t="b">
        <f t="shared" si="9"/>
        <v>0</v>
      </c>
      <c r="AE23" t="b">
        <f t="shared" si="10"/>
        <v>0</v>
      </c>
    </row>
    <row r="24" spans="1:31" x14ac:dyDescent="0.2">
      <c r="D24" s="275" t="s">
        <v>187</v>
      </c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V24" t="b">
        <f t="shared" si="1"/>
        <v>0</v>
      </c>
      <c r="W24" t="b">
        <f t="shared" si="2"/>
        <v>0</v>
      </c>
      <c r="X24" t="b">
        <f t="shared" si="3"/>
        <v>0</v>
      </c>
      <c r="Y24" t="b">
        <f t="shared" si="4"/>
        <v>0</v>
      </c>
      <c r="Z24" t="b">
        <f t="shared" si="5"/>
        <v>0</v>
      </c>
      <c r="AA24" t="b">
        <f t="shared" si="6"/>
        <v>0</v>
      </c>
      <c r="AB24" t="b">
        <f t="shared" si="7"/>
        <v>0</v>
      </c>
      <c r="AC24" t="b">
        <f t="shared" si="8"/>
        <v>0</v>
      </c>
      <c r="AD24" t="b">
        <f t="shared" si="9"/>
        <v>0</v>
      </c>
      <c r="AE24" t="b">
        <f t="shared" si="10"/>
        <v>0</v>
      </c>
    </row>
    <row r="25" spans="1:31" x14ac:dyDescent="0.2">
      <c r="D25" t="s">
        <v>103</v>
      </c>
      <c r="F25" s="81">
        <f>FSM!F91</f>
        <v>0</v>
      </c>
      <c r="G25" s="81">
        <f>FSM!G91</f>
        <v>0</v>
      </c>
      <c r="H25" s="81">
        <f>FSM!H91</f>
        <v>7.2</v>
      </c>
      <c r="I25" s="81">
        <f>FSM!I91</f>
        <v>10.9</v>
      </c>
      <c r="J25" s="81">
        <f>FSM!J91</f>
        <v>13.1</v>
      </c>
      <c r="K25" s="120">
        <f>K26*FSM!K22</f>
        <v>11.967246826638007</v>
      </c>
      <c r="L25" s="120">
        <f>L26*FSM!L22</f>
        <v>12.78103982672893</v>
      </c>
      <c r="M25" s="120">
        <f>M26*FSM!M22</f>
        <v>13.554574148904766</v>
      </c>
      <c r="N25" s="120">
        <f>N26*FSM!N22</f>
        <v>14.167385305509029</v>
      </c>
      <c r="O25" s="120">
        <f>O26*FSM!O22</f>
        <v>14.89432617929819</v>
      </c>
      <c r="V25" t="b">
        <f t="shared" si="1"/>
        <v>0</v>
      </c>
      <c r="W25" t="b">
        <f t="shared" si="2"/>
        <v>0</v>
      </c>
      <c r="X25" t="b">
        <f t="shared" si="3"/>
        <v>0</v>
      </c>
      <c r="Y25" t="b">
        <f t="shared" si="4"/>
        <v>0</v>
      </c>
      <c r="Z25" t="b">
        <f t="shared" si="5"/>
        <v>0</v>
      </c>
      <c r="AA25" t="b">
        <f t="shared" si="6"/>
        <v>0</v>
      </c>
      <c r="AB25" t="b">
        <f t="shared" si="7"/>
        <v>0</v>
      </c>
      <c r="AC25" t="b">
        <f t="shared" si="8"/>
        <v>0</v>
      </c>
      <c r="AD25" t="b">
        <f t="shared" si="9"/>
        <v>0</v>
      </c>
      <c r="AE25" t="b">
        <f t="shared" si="10"/>
        <v>0</v>
      </c>
    </row>
    <row r="26" spans="1:31" x14ac:dyDescent="0.2">
      <c r="D26" s="183" t="s">
        <v>184</v>
      </c>
      <c r="F26" s="16">
        <f>F25/FSM!F22</f>
        <v>0</v>
      </c>
      <c r="G26" s="16">
        <f>G25/FSM!G22</f>
        <v>0</v>
      </c>
      <c r="H26" s="16">
        <f>H25/FSM!H22</f>
        <v>2.6095465912797651E-3</v>
      </c>
      <c r="I26" s="16">
        <f>I25/FSM!I22</f>
        <v>3.7023198940253385E-3</v>
      </c>
      <c r="J26" s="16">
        <f>J25/FSM!J22</f>
        <v>4.0730031402543294E-3</v>
      </c>
      <c r="K26" s="6">
        <f>AVERAGE($H$26:$J$26)</f>
        <v>3.4616232085198108E-3</v>
      </c>
      <c r="L26" s="6">
        <f t="shared" ref="L26:O26" si="13">AVERAGE($H$26:$J$26)</f>
        <v>3.4616232085198108E-3</v>
      </c>
      <c r="M26" s="6">
        <f t="shared" si="13"/>
        <v>3.4616232085198108E-3</v>
      </c>
      <c r="N26" s="6">
        <f t="shared" si="13"/>
        <v>3.4616232085198108E-3</v>
      </c>
      <c r="O26" s="6">
        <f t="shared" si="13"/>
        <v>3.4616232085198108E-3</v>
      </c>
      <c r="V26" t="b">
        <f t="shared" si="1"/>
        <v>0</v>
      </c>
      <c r="W26" t="b">
        <f t="shared" si="2"/>
        <v>0</v>
      </c>
      <c r="X26" t="b">
        <f t="shared" si="3"/>
        <v>0</v>
      </c>
      <c r="Y26" t="b">
        <f t="shared" si="4"/>
        <v>0</v>
      </c>
      <c r="Z26" t="b">
        <f t="shared" si="5"/>
        <v>0</v>
      </c>
      <c r="AA26" t="b">
        <f t="shared" si="6"/>
        <v>0</v>
      </c>
      <c r="AB26" t="b">
        <f t="shared" si="7"/>
        <v>0</v>
      </c>
      <c r="AC26" t="b">
        <f t="shared" si="8"/>
        <v>0</v>
      </c>
      <c r="AD26" t="b">
        <f t="shared" si="9"/>
        <v>0</v>
      </c>
      <c r="AE26" t="b">
        <f t="shared" si="10"/>
        <v>0</v>
      </c>
    </row>
    <row r="27" spans="1:31" x14ac:dyDescent="0.2">
      <c r="V27" t="b">
        <f t="shared" si="1"/>
        <v>0</v>
      </c>
      <c r="W27" t="b">
        <f t="shared" si="2"/>
        <v>0</v>
      </c>
      <c r="X27" t="b">
        <f t="shared" si="3"/>
        <v>0</v>
      </c>
      <c r="Y27" t="b">
        <f t="shared" si="4"/>
        <v>0</v>
      </c>
      <c r="Z27" t="b">
        <f t="shared" si="5"/>
        <v>0</v>
      </c>
      <c r="AA27" t="b">
        <f t="shared" si="6"/>
        <v>0</v>
      </c>
      <c r="AB27" t="b">
        <f t="shared" si="7"/>
        <v>0</v>
      </c>
      <c r="AC27" t="b">
        <f t="shared" si="8"/>
        <v>0</v>
      </c>
      <c r="AD27" t="b">
        <f t="shared" si="9"/>
        <v>0</v>
      </c>
      <c r="AE27" t="b">
        <f t="shared" si="10"/>
        <v>0</v>
      </c>
    </row>
    <row r="28" spans="1:31" x14ac:dyDescent="0.2">
      <c r="D28" t="s">
        <v>105</v>
      </c>
      <c r="F28" s="81">
        <f>FSM!F92</f>
        <v>0</v>
      </c>
      <c r="G28" s="81">
        <f>FSM!G92</f>
        <v>0</v>
      </c>
      <c r="H28" s="81">
        <f>FSM!H92</f>
        <v>2.4</v>
      </c>
      <c r="I28" s="81">
        <f>FSM!I92</f>
        <v>3.8</v>
      </c>
      <c r="J28" s="81">
        <f>FSM!J92</f>
        <v>1.8</v>
      </c>
      <c r="K28" s="120">
        <f>K29*FSM!K22</f>
        <v>3.1347034314588229</v>
      </c>
      <c r="L28" s="120">
        <f>L29*FSM!L22</f>
        <v>3.3478685601502352</v>
      </c>
      <c r="M28" s="120">
        <f>M29*FSM!M22</f>
        <v>3.550488321336942</v>
      </c>
      <c r="N28" s="120">
        <f>N29*FSM!N22</f>
        <v>3.7110082189601532</v>
      </c>
      <c r="O28" s="120">
        <f>O29*FSM!O22</f>
        <v>3.9014232813838912</v>
      </c>
      <c r="V28" t="b">
        <f t="shared" si="1"/>
        <v>0</v>
      </c>
      <c r="W28" t="b">
        <f t="shared" si="2"/>
        <v>0</v>
      </c>
      <c r="X28" t="b">
        <f t="shared" si="3"/>
        <v>0</v>
      </c>
      <c r="Y28" t="b">
        <f t="shared" si="4"/>
        <v>0</v>
      </c>
      <c r="Z28" t="b">
        <f t="shared" si="5"/>
        <v>0</v>
      </c>
      <c r="AA28" t="b">
        <f t="shared" si="6"/>
        <v>0</v>
      </c>
      <c r="AB28" t="b">
        <f t="shared" si="7"/>
        <v>0</v>
      </c>
      <c r="AC28" t="b">
        <f t="shared" si="8"/>
        <v>0</v>
      </c>
      <c r="AD28" t="b">
        <f t="shared" si="9"/>
        <v>0</v>
      </c>
      <c r="AE28" t="b">
        <f t="shared" si="10"/>
        <v>0</v>
      </c>
    </row>
    <row r="29" spans="1:31" x14ac:dyDescent="0.2">
      <c r="D29" s="183" t="s">
        <v>184</v>
      </c>
      <c r="F29" s="16">
        <f>F28/FSM!F22</f>
        <v>0</v>
      </c>
      <c r="G29" s="16">
        <f>G28/FSM!G22</f>
        <v>0</v>
      </c>
      <c r="H29" s="16">
        <f>H28/FSM!H22</f>
        <v>8.6984886375992166E-4</v>
      </c>
      <c r="I29" s="16">
        <f>I28/FSM!I22</f>
        <v>1.2907170272748885E-3</v>
      </c>
      <c r="J29" s="16">
        <f>J28/FSM!J22</f>
        <v>5.5964928644715989E-4</v>
      </c>
      <c r="K29" s="6">
        <f>AVERAGE($H$29:$J$29)</f>
        <v>9.0673839249399014E-4</v>
      </c>
      <c r="L29" s="6">
        <f t="shared" ref="L29:O29" si="14">AVERAGE($H$29:$J$29)</f>
        <v>9.0673839249399014E-4</v>
      </c>
      <c r="M29" s="6">
        <f t="shared" si="14"/>
        <v>9.0673839249399014E-4</v>
      </c>
      <c r="N29" s="6">
        <f t="shared" si="14"/>
        <v>9.0673839249399014E-4</v>
      </c>
      <c r="O29" s="6">
        <f t="shared" si="14"/>
        <v>9.0673839249399014E-4</v>
      </c>
      <c r="V29" t="b">
        <f t="shared" si="1"/>
        <v>0</v>
      </c>
      <c r="W29" t="b">
        <f t="shared" si="2"/>
        <v>0</v>
      </c>
      <c r="X29" t="b">
        <f t="shared" si="3"/>
        <v>0</v>
      </c>
      <c r="Y29" t="b">
        <f t="shared" si="4"/>
        <v>0</v>
      </c>
      <c r="Z29" t="b">
        <f t="shared" si="5"/>
        <v>0</v>
      </c>
      <c r="AA29" t="b">
        <f t="shared" si="6"/>
        <v>0</v>
      </c>
      <c r="AB29" t="b">
        <f t="shared" si="7"/>
        <v>0</v>
      </c>
      <c r="AC29" t="b">
        <f t="shared" si="8"/>
        <v>0</v>
      </c>
      <c r="AD29" t="b">
        <f t="shared" si="9"/>
        <v>0</v>
      </c>
      <c r="AE29" t="b">
        <f t="shared" si="10"/>
        <v>0</v>
      </c>
    </row>
    <row r="30" spans="1:31" x14ac:dyDescent="0.2">
      <c r="D30" s="9"/>
      <c r="F30" s="81"/>
      <c r="G30" s="81"/>
      <c r="H30" s="81"/>
      <c r="I30" s="81"/>
      <c r="J30" s="81"/>
      <c r="V30" t="b">
        <f t="shared" si="1"/>
        <v>0</v>
      </c>
      <c r="W30" t="b">
        <f t="shared" si="2"/>
        <v>0</v>
      </c>
      <c r="X30" t="b">
        <f t="shared" si="3"/>
        <v>0</v>
      </c>
      <c r="Y30" t="b">
        <f t="shared" si="4"/>
        <v>0</v>
      </c>
      <c r="Z30" t="b">
        <f t="shared" si="5"/>
        <v>0</v>
      </c>
      <c r="AA30" t="b">
        <f t="shared" si="6"/>
        <v>0</v>
      </c>
      <c r="AB30" t="b">
        <f t="shared" si="7"/>
        <v>0</v>
      </c>
      <c r="AC30" t="b">
        <f t="shared" si="8"/>
        <v>0</v>
      </c>
      <c r="AD30" t="b">
        <f t="shared" si="9"/>
        <v>0</v>
      </c>
      <c r="AE30" t="b">
        <f t="shared" si="10"/>
        <v>0</v>
      </c>
    </row>
    <row r="31" spans="1:31" x14ac:dyDescent="0.2">
      <c r="A31" s="24"/>
      <c r="B31" s="24"/>
      <c r="C31" s="24"/>
      <c r="D31" s="161" t="s">
        <v>188</v>
      </c>
      <c r="E31" s="70"/>
      <c r="F31" s="35"/>
      <c r="G31" s="35"/>
      <c r="H31" s="35"/>
      <c r="I31" s="35"/>
      <c r="J31" s="35"/>
      <c r="K31" s="99"/>
      <c r="L31" s="99"/>
      <c r="M31" s="99"/>
      <c r="N31" s="99"/>
      <c r="O31" s="99"/>
      <c r="V31" t="b">
        <f t="shared" si="1"/>
        <v>0</v>
      </c>
      <c r="W31" t="b">
        <f t="shared" si="2"/>
        <v>0</v>
      </c>
      <c r="X31" t="b">
        <f t="shared" si="3"/>
        <v>0</v>
      </c>
      <c r="Y31" t="b">
        <f t="shared" si="4"/>
        <v>0</v>
      </c>
      <c r="Z31" t="b">
        <f t="shared" si="5"/>
        <v>0</v>
      </c>
      <c r="AA31" t="b">
        <f t="shared" si="6"/>
        <v>0</v>
      </c>
      <c r="AB31" t="b">
        <f t="shared" si="7"/>
        <v>0</v>
      </c>
      <c r="AC31" t="b">
        <f t="shared" si="8"/>
        <v>0</v>
      </c>
      <c r="AD31" t="b">
        <f t="shared" si="9"/>
        <v>0</v>
      </c>
      <c r="AE31" t="b">
        <f t="shared" si="10"/>
        <v>0</v>
      </c>
    </row>
    <row r="32" spans="1:31" x14ac:dyDescent="0.2">
      <c r="D32" s="173" t="s">
        <v>188</v>
      </c>
      <c r="F32" s="81">
        <f>FSM!F94</f>
        <v>0</v>
      </c>
      <c r="G32" s="81">
        <f>FSM!G94</f>
        <v>1.7</v>
      </c>
      <c r="H32" s="81">
        <f>FSM!H94</f>
        <v>2.6</v>
      </c>
      <c r="I32" s="81">
        <f>FSM!I94</f>
        <v>2.4</v>
      </c>
      <c r="J32" s="81">
        <f>FSM!J94</f>
        <v>2.5</v>
      </c>
      <c r="K32" s="8">
        <f>K33*FSM!K22</f>
        <v>2.7607199577606796</v>
      </c>
      <c r="L32" s="8">
        <f>L33*FSM!L22</f>
        <v>2.9484535784825403</v>
      </c>
      <c r="M32" s="8">
        <f>M33*FSM!M22</f>
        <v>3.1268999389679153</v>
      </c>
      <c r="N32" s="8">
        <f>N33*FSM!N22</f>
        <v>3.2682691289648997</v>
      </c>
      <c r="O32" s="8">
        <f>O33*FSM!O22</f>
        <v>3.4359668632436469</v>
      </c>
      <c r="V32" t="b">
        <f t="shared" si="1"/>
        <v>0</v>
      </c>
      <c r="W32" t="b">
        <f t="shared" si="2"/>
        <v>0</v>
      </c>
      <c r="X32" t="b">
        <f t="shared" si="3"/>
        <v>0</v>
      </c>
      <c r="Y32" t="b">
        <f t="shared" si="4"/>
        <v>0</v>
      </c>
      <c r="Z32" t="b">
        <f t="shared" si="5"/>
        <v>0</v>
      </c>
      <c r="AA32" t="b">
        <f t="shared" si="6"/>
        <v>0</v>
      </c>
      <c r="AB32" t="b">
        <f t="shared" si="7"/>
        <v>0</v>
      </c>
      <c r="AC32" t="b">
        <f t="shared" si="8"/>
        <v>0</v>
      </c>
      <c r="AD32" t="b">
        <f t="shared" si="9"/>
        <v>0</v>
      </c>
      <c r="AE32" t="b">
        <f t="shared" si="10"/>
        <v>0</v>
      </c>
    </row>
    <row r="33" spans="1:31" x14ac:dyDescent="0.2">
      <c r="D33" s="183" t="s">
        <v>184</v>
      </c>
      <c r="F33" s="74">
        <f>F32/FSM!F22</f>
        <v>0</v>
      </c>
      <c r="G33" s="74">
        <f>G32/FSM!G22</f>
        <v>6.5942591155934835E-4</v>
      </c>
      <c r="H33" s="74">
        <f>H32/FSM!H22</f>
        <v>9.423362690732486E-4</v>
      </c>
      <c r="I33" s="74">
        <f>I32/FSM!I22</f>
        <v>8.1518970143677175E-4</v>
      </c>
      <c r="J33" s="74">
        <f>J32/FSM!J22</f>
        <v>7.7729067562105534E-4</v>
      </c>
      <c r="K33" s="184">
        <f>AVERAGE($G$33:$J$33)</f>
        <v>7.9856063942260603E-4</v>
      </c>
      <c r="L33" s="184">
        <f>AVERAGE($G$33:$J$33)</f>
        <v>7.9856063942260603E-4</v>
      </c>
      <c r="M33" s="184">
        <f>AVERAGE($G$33:$J$33)</f>
        <v>7.9856063942260603E-4</v>
      </c>
      <c r="N33" s="184">
        <f>AVERAGE($G$33:$J$33)</f>
        <v>7.9856063942260603E-4</v>
      </c>
      <c r="O33" s="184">
        <f>AVERAGE($G$33:$J$33)</f>
        <v>7.9856063942260603E-4</v>
      </c>
      <c r="Q33" t="s">
        <v>189</v>
      </c>
      <c r="V33" t="b">
        <f t="shared" si="1"/>
        <v>0</v>
      </c>
      <c r="W33" t="b">
        <f t="shared" si="2"/>
        <v>0</v>
      </c>
      <c r="X33" t="b">
        <f t="shared" si="3"/>
        <v>0</v>
      </c>
      <c r="Y33" t="b">
        <f t="shared" si="4"/>
        <v>0</v>
      </c>
      <c r="Z33" t="b">
        <f t="shared" si="5"/>
        <v>0</v>
      </c>
      <c r="AA33" t="b">
        <f t="shared" si="6"/>
        <v>0</v>
      </c>
      <c r="AB33" t="b">
        <f t="shared" si="7"/>
        <v>0</v>
      </c>
      <c r="AC33" t="b">
        <f t="shared" si="8"/>
        <v>0</v>
      </c>
      <c r="AD33" t="b">
        <f t="shared" si="9"/>
        <v>0</v>
      </c>
      <c r="AE33" t="b">
        <f>OR(ROUND(O33,8)=-0.00133017,ROUND(O33-N33,8)=-0.00133017)</f>
        <v>0</v>
      </c>
    </row>
    <row r="34" spans="1:31" x14ac:dyDescent="0.2">
      <c r="F34" s="81"/>
      <c r="G34" s="81"/>
      <c r="H34" s="81"/>
      <c r="I34" s="81"/>
      <c r="J34" s="81"/>
      <c r="V34" t="b">
        <f t="shared" si="1"/>
        <v>0</v>
      </c>
      <c r="W34" t="b">
        <f t="shared" si="2"/>
        <v>0</v>
      </c>
      <c r="X34" t="b">
        <f t="shared" si="3"/>
        <v>0</v>
      </c>
      <c r="Y34" t="b">
        <f t="shared" si="4"/>
        <v>0</v>
      </c>
      <c r="Z34" t="b">
        <f t="shared" si="5"/>
        <v>0</v>
      </c>
      <c r="AA34" t="b">
        <f t="shared" si="6"/>
        <v>0</v>
      </c>
      <c r="AB34" t="b">
        <f t="shared" si="7"/>
        <v>0</v>
      </c>
      <c r="AC34" t="b">
        <f t="shared" si="8"/>
        <v>0</v>
      </c>
      <c r="AD34" t="b">
        <f t="shared" si="9"/>
        <v>0</v>
      </c>
      <c r="AE34" t="b">
        <f t="shared" si="10"/>
        <v>0</v>
      </c>
    </row>
    <row r="35" spans="1:31" x14ac:dyDescent="0.2">
      <c r="D35" s="106" t="s">
        <v>111</v>
      </c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V35" t="b">
        <f t="shared" si="1"/>
        <v>0</v>
      </c>
      <c r="W35" t="b">
        <f t="shared" si="2"/>
        <v>0</v>
      </c>
      <c r="X35" t="b">
        <f t="shared" si="3"/>
        <v>0</v>
      </c>
      <c r="Y35" t="b">
        <f t="shared" si="4"/>
        <v>0</v>
      </c>
      <c r="Z35" t="b">
        <f t="shared" si="5"/>
        <v>0</v>
      </c>
      <c r="AA35" t="b">
        <f t="shared" si="6"/>
        <v>0</v>
      </c>
      <c r="AB35" t="b">
        <f t="shared" si="7"/>
        <v>0</v>
      </c>
      <c r="AC35" t="b">
        <f t="shared" si="8"/>
        <v>0</v>
      </c>
      <c r="AD35" t="b">
        <f t="shared" si="9"/>
        <v>0</v>
      </c>
      <c r="AE35" t="b">
        <f t="shared" si="10"/>
        <v>0</v>
      </c>
    </row>
    <row r="36" spans="1:31" x14ac:dyDescent="0.2">
      <c r="V36" t="b">
        <f t="shared" si="1"/>
        <v>0</v>
      </c>
      <c r="W36" t="b">
        <f t="shared" si="2"/>
        <v>0</v>
      </c>
      <c r="X36" t="b">
        <f t="shared" si="3"/>
        <v>0</v>
      </c>
      <c r="Y36" t="b">
        <f t="shared" si="4"/>
        <v>0</v>
      </c>
      <c r="Z36" t="b">
        <f t="shared" si="5"/>
        <v>0</v>
      </c>
      <c r="AA36" t="b">
        <f t="shared" si="6"/>
        <v>0</v>
      </c>
      <c r="AB36" t="b">
        <f t="shared" si="7"/>
        <v>0</v>
      </c>
      <c r="AC36" t="b">
        <f t="shared" si="8"/>
        <v>0</v>
      </c>
      <c r="AD36" t="b">
        <f t="shared" si="9"/>
        <v>0</v>
      </c>
      <c r="AE36" t="b">
        <f t="shared" si="10"/>
        <v>0</v>
      </c>
    </row>
    <row r="37" spans="1:31" x14ac:dyDescent="0.2">
      <c r="A37" s="24"/>
      <c r="B37" s="24"/>
      <c r="C37" s="24"/>
      <c r="D37" s="161" t="s">
        <v>113</v>
      </c>
      <c r="E37" s="70"/>
      <c r="F37" s="35"/>
      <c r="G37" s="35"/>
      <c r="H37" s="35"/>
      <c r="I37" s="35"/>
      <c r="J37" s="35"/>
      <c r="K37" s="99"/>
      <c r="L37" s="99"/>
      <c r="M37" s="99"/>
      <c r="N37" s="99"/>
      <c r="O37" s="99"/>
      <c r="V37" t="b">
        <f t="shared" si="1"/>
        <v>0</v>
      </c>
      <c r="W37" t="b">
        <f t="shared" si="2"/>
        <v>0</v>
      </c>
      <c r="X37" t="b">
        <f t="shared" si="3"/>
        <v>0</v>
      </c>
      <c r="Y37" t="b">
        <f t="shared" si="4"/>
        <v>0</v>
      </c>
      <c r="Z37" t="b">
        <f t="shared" si="5"/>
        <v>0</v>
      </c>
      <c r="AA37" t="b">
        <f t="shared" si="6"/>
        <v>0</v>
      </c>
      <c r="AB37" t="b">
        <f t="shared" si="7"/>
        <v>0</v>
      </c>
      <c r="AC37" t="b">
        <f t="shared" si="8"/>
        <v>0</v>
      </c>
      <c r="AD37" t="b">
        <f t="shared" si="9"/>
        <v>0</v>
      </c>
      <c r="AE37" t="b">
        <f t="shared" si="10"/>
        <v>0</v>
      </c>
    </row>
    <row r="38" spans="1:31" x14ac:dyDescent="0.2">
      <c r="D38" t="s">
        <v>190</v>
      </c>
      <c r="F38" s="81">
        <f>FSM!F100</f>
        <v>0</v>
      </c>
      <c r="G38" s="81">
        <f>FSM!G100</f>
        <v>0</v>
      </c>
      <c r="H38" s="81">
        <f>FSM!H100</f>
        <v>85.7</v>
      </c>
      <c r="I38" s="81">
        <f>FSM!I100</f>
        <v>101.7</v>
      </c>
      <c r="J38" s="81">
        <f>FSM!J100</f>
        <v>109.1</v>
      </c>
      <c r="K38" s="120">
        <f>K39*FSM!K22</f>
        <v>114.6905112817462</v>
      </c>
      <c r="L38" s="120">
        <f>L39*FSM!L22</f>
        <v>122.48965979184295</v>
      </c>
      <c r="M38" s="120">
        <f>M39*FSM!M22</f>
        <v>129.90298118393204</v>
      </c>
      <c r="N38" s="120">
        <f>N39*FSM!N22</f>
        <v>135.77597986844617</v>
      </c>
      <c r="O38" s="120">
        <f>O39*FSM!O22</f>
        <v>142.74276359859343</v>
      </c>
      <c r="V38" t="b">
        <f t="shared" si="1"/>
        <v>0</v>
      </c>
      <c r="W38" t="b">
        <f t="shared" si="2"/>
        <v>0</v>
      </c>
      <c r="X38" t="b">
        <f t="shared" si="3"/>
        <v>0</v>
      </c>
      <c r="Y38" t="b">
        <f t="shared" si="4"/>
        <v>0</v>
      </c>
      <c r="Z38" t="b">
        <f t="shared" si="5"/>
        <v>0</v>
      </c>
      <c r="AA38" t="b">
        <f t="shared" si="6"/>
        <v>0</v>
      </c>
      <c r="AB38" t="b">
        <f t="shared" si="7"/>
        <v>0</v>
      </c>
      <c r="AC38" t="b">
        <f t="shared" si="8"/>
        <v>0</v>
      </c>
      <c r="AD38" t="b">
        <f t="shared" si="9"/>
        <v>0</v>
      </c>
      <c r="AE38" t="b">
        <f t="shared" si="10"/>
        <v>0</v>
      </c>
    </row>
    <row r="39" spans="1:31" x14ac:dyDescent="0.2">
      <c r="D39" s="183" t="s">
        <v>184</v>
      </c>
      <c r="F39" s="16">
        <f>F38/FSM!F22</f>
        <v>0</v>
      </c>
      <c r="G39" s="16">
        <f>G38/FSM!G22</f>
        <v>0</v>
      </c>
      <c r="H39" s="16">
        <f>H38/FSM!H22</f>
        <v>3.106085317676054E-2</v>
      </c>
      <c r="I39" s="16">
        <f>I38/FSM!I22</f>
        <v>3.4543663598383206E-2</v>
      </c>
      <c r="J39" s="16">
        <f>J38/FSM!J22</f>
        <v>3.3920965084102854E-2</v>
      </c>
      <c r="K39" s="6">
        <f>AVERAGE($H$39:$J$39)</f>
        <v>3.3175160619748865E-2</v>
      </c>
      <c r="L39" s="6">
        <f t="shared" ref="L39:O39" si="15">AVERAGE($H$39:$J$39)</f>
        <v>3.3175160619748865E-2</v>
      </c>
      <c r="M39" s="6">
        <f t="shared" si="15"/>
        <v>3.3175160619748865E-2</v>
      </c>
      <c r="N39" s="6">
        <f t="shared" si="15"/>
        <v>3.3175160619748865E-2</v>
      </c>
      <c r="O39" s="6">
        <f t="shared" si="15"/>
        <v>3.3175160619748865E-2</v>
      </c>
      <c r="Q39" t="s">
        <v>90</v>
      </c>
      <c r="V39" t="b">
        <f t="shared" si="1"/>
        <v>0</v>
      </c>
      <c r="W39" t="b">
        <f t="shared" si="2"/>
        <v>0</v>
      </c>
      <c r="X39" t="b">
        <f t="shared" si="3"/>
        <v>0</v>
      </c>
      <c r="Y39" t="b">
        <f t="shared" si="4"/>
        <v>0</v>
      </c>
      <c r="Z39" t="b">
        <f t="shared" si="5"/>
        <v>0</v>
      </c>
      <c r="AA39" t="b">
        <f t="shared" si="6"/>
        <v>0</v>
      </c>
      <c r="AB39" t="b">
        <f t="shared" si="7"/>
        <v>0</v>
      </c>
      <c r="AC39" t="b">
        <f t="shared" si="8"/>
        <v>0</v>
      </c>
      <c r="AD39" t="b">
        <f t="shared" si="9"/>
        <v>0</v>
      </c>
      <c r="AE39" t="b">
        <f t="shared" si="10"/>
        <v>0</v>
      </c>
    </row>
    <row r="40" spans="1:31" x14ac:dyDescent="0.2">
      <c r="V40" t="b">
        <f t="shared" si="1"/>
        <v>0</v>
      </c>
      <c r="W40" t="b">
        <f t="shared" si="2"/>
        <v>0</v>
      </c>
      <c r="X40" t="b">
        <f t="shared" si="3"/>
        <v>0</v>
      </c>
      <c r="Y40" t="b">
        <f t="shared" si="4"/>
        <v>0</v>
      </c>
      <c r="Z40" t="b">
        <f t="shared" si="5"/>
        <v>0</v>
      </c>
      <c r="AA40" t="b">
        <f t="shared" si="6"/>
        <v>0</v>
      </c>
      <c r="AB40" t="b">
        <f t="shared" si="7"/>
        <v>0</v>
      </c>
      <c r="AC40" t="b">
        <f t="shared" si="8"/>
        <v>0</v>
      </c>
      <c r="AD40" t="b">
        <f t="shared" si="9"/>
        <v>0</v>
      </c>
      <c r="AE40" t="b">
        <f t="shared" si="10"/>
        <v>0</v>
      </c>
    </row>
    <row r="41" spans="1:31" x14ac:dyDescent="0.2">
      <c r="A41" s="24"/>
      <c r="B41" s="24"/>
      <c r="C41" s="24"/>
      <c r="D41" s="161" t="s">
        <v>188</v>
      </c>
      <c r="E41" s="70"/>
      <c r="F41" s="35"/>
      <c r="G41" s="35"/>
      <c r="H41" s="35"/>
      <c r="I41" s="35"/>
      <c r="J41" s="35"/>
      <c r="K41" s="99"/>
      <c r="L41" s="99"/>
      <c r="M41" s="99"/>
      <c r="N41" s="99"/>
      <c r="O41" s="99"/>
      <c r="V41" t="b">
        <f t="shared" si="1"/>
        <v>0</v>
      </c>
      <c r="W41" t="b">
        <f t="shared" si="2"/>
        <v>0</v>
      </c>
      <c r="X41" t="b">
        <f t="shared" si="3"/>
        <v>0</v>
      </c>
      <c r="Y41" t="b">
        <f t="shared" si="4"/>
        <v>0</v>
      </c>
      <c r="Z41" t="b">
        <f t="shared" si="5"/>
        <v>0</v>
      </c>
      <c r="AA41" t="b">
        <f t="shared" si="6"/>
        <v>0</v>
      </c>
      <c r="AB41" t="b">
        <f t="shared" si="7"/>
        <v>0</v>
      </c>
      <c r="AC41" t="b">
        <f t="shared" si="8"/>
        <v>0</v>
      </c>
      <c r="AD41" t="b">
        <f t="shared" si="9"/>
        <v>0</v>
      </c>
      <c r="AE41" t="b">
        <f t="shared" si="10"/>
        <v>0</v>
      </c>
    </row>
    <row r="42" spans="1:31" x14ac:dyDescent="0.2">
      <c r="D42" s="9"/>
      <c r="F42" s="81"/>
      <c r="G42" s="81"/>
      <c r="H42" s="81"/>
      <c r="I42" s="81"/>
      <c r="J42" s="81"/>
      <c r="V42" t="b">
        <f t="shared" si="1"/>
        <v>0</v>
      </c>
      <c r="W42" t="b">
        <f t="shared" si="2"/>
        <v>0</v>
      </c>
      <c r="X42" t="b">
        <f t="shared" si="3"/>
        <v>0</v>
      </c>
      <c r="Y42" t="b">
        <f t="shared" si="4"/>
        <v>0</v>
      </c>
      <c r="Z42" t="b">
        <f t="shared" si="5"/>
        <v>0</v>
      </c>
      <c r="AA42" t="b">
        <f t="shared" si="6"/>
        <v>0</v>
      </c>
      <c r="AB42" t="b">
        <f t="shared" si="7"/>
        <v>0</v>
      </c>
      <c r="AC42" t="b">
        <f t="shared" si="8"/>
        <v>0</v>
      </c>
      <c r="AD42" t="b">
        <f t="shared" si="9"/>
        <v>0</v>
      </c>
      <c r="AE42" t="b">
        <f t="shared" si="10"/>
        <v>0</v>
      </c>
    </row>
    <row r="43" spans="1:31" x14ac:dyDescent="0.2">
      <c r="D43" s="173" t="s">
        <v>181</v>
      </c>
      <c r="F43" s="81">
        <f>FSM!F105</f>
        <v>0</v>
      </c>
      <c r="G43" s="81">
        <f>FSM!G105</f>
        <v>10.6</v>
      </c>
      <c r="H43" s="81">
        <f>FSM!H105</f>
        <v>10.199999999999999</v>
      </c>
      <c r="I43" s="81">
        <f>FSM!I105</f>
        <v>7.8</v>
      </c>
      <c r="J43" s="81">
        <f>FSM!J105</f>
        <v>5.3</v>
      </c>
      <c r="K43" s="8">
        <f>K44*FSM!K22</f>
        <v>10.462796451033483</v>
      </c>
      <c r="L43" s="8">
        <f>L44*FSM!L22</f>
        <v>11.174284284164374</v>
      </c>
      <c r="M43" s="8">
        <f>M44*FSM!M22</f>
        <v>11.850574518506235</v>
      </c>
      <c r="N43" s="8">
        <f>N44*FSM!N22</f>
        <v>12.386346738078151</v>
      </c>
      <c r="O43" s="8">
        <f>O44*FSM!O22</f>
        <v>13.021900972445785</v>
      </c>
      <c r="V43" t="b">
        <f t="shared" si="1"/>
        <v>0</v>
      </c>
      <c r="W43" t="b">
        <f t="shared" si="2"/>
        <v>0</v>
      </c>
      <c r="X43" t="b">
        <f t="shared" si="3"/>
        <v>0</v>
      </c>
      <c r="Y43" t="b">
        <f t="shared" si="4"/>
        <v>0</v>
      </c>
      <c r="Z43" t="b">
        <f t="shared" si="5"/>
        <v>0</v>
      </c>
      <c r="AA43" t="b">
        <f t="shared" si="6"/>
        <v>0</v>
      </c>
      <c r="AB43" t="b">
        <f t="shared" si="7"/>
        <v>0</v>
      </c>
      <c r="AC43" t="b">
        <f t="shared" si="8"/>
        <v>0</v>
      </c>
      <c r="AD43" t="b">
        <f t="shared" si="9"/>
        <v>0</v>
      </c>
      <c r="AE43" t="b">
        <f t="shared" si="10"/>
        <v>0</v>
      </c>
    </row>
    <row r="44" spans="1:31" x14ac:dyDescent="0.2">
      <c r="D44" s="183" t="s">
        <v>184</v>
      </c>
      <c r="F44" s="74">
        <f>F43/FSM!F22</f>
        <v>0</v>
      </c>
      <c r="G44" s="74">
        <f>G43/FSM!G22</f>
        <v>4.1117145073700538E-3</v>
      </c>
      <c r="H44" s="74">
        <f>H43/FSM!H22</f>
        <v>3.6968576709796672E-3</v>
      </c>
      <c r="I44" s="74">
        <f>I43/FSM!I22</f>
        <v>2.6493665296695081E-3</v>
      </c>
      <c r="J44" s="74">
        <f>J43/FSM!J22</f>
        <v>1.6478562323166371E-3</v>
      </c>
      <c r="K44" s="184">
        <f>AVERAGE($G$44:$J$44)</f>
        <v>3.0264487350839669E-3</v>
      </c>
      <c r="L44" s="184">
        <f t="shared" ref="L44:O44" si="16">AVERAGE($G$44:$J$44)</f>
        <v>3.0264487350839669E-3</v>
      </c>
      <c r="M44" s="184">
        <f t="shared" si="16"/>
        <v>3.0264487350839669E-3</v>
      </c>
      <c r="N44" s="184">
        <f t="shared" si="16"/>
        <v>3.0264487350839669E-3</v>
      </c>
      <c r="O44" s="184">
        <f t="shared" si="16"/>
        <v>3.0264487350839669E-3</v>
      </c>
      <c r="Q44" t="s">
        <v>189</v>
      </c>
      <c r="V44" t="b">
        <f t="shared" si="1"/>
        <v>0</v>
      </c>
      <c r="W44" t="b">
        <f t="shared" si="2"/>
        <v>0</v>
      </c>
      <c r="X44" t="b">
        <f t="shared" si="3"/>
        <v>0</v>
      </c>
      <c r="Y44" t="b">
        <f t="shared" si="4"/>
        <v>0</v>
      </c>
      <c r="Z44" t="b">
        <f t="shared" si="5"/>
        <v>0</v>
      </c>
      <c r="AA44" t="b">
        <f t="shared" si="6"/>
        <v>0</v>
      </c>
      <c r="AB44" t="b">
        <f t="shared" si="7"/>
        <v>0</v>
      </c>
      <c r="AC44" t="b">
        <f t="shared" si="8"/>
        <v>0</v>
      </c>
      <c r="AD44" t="b">
        <f t="shared" si="9"/>
        <v>0</v>
      </c>
      <c r="AE44" t="b">
        <f t="shared" si="10"/>
        <v>0</v>
      </c>
    </row>
    <row r="45" spans="1:31" x14ac:dyDescent="0.2">
      <c r="V45" t="b">
        <f t="shared" si="1"/>
        <v>0</v>
      </c>
      <c r="W45" t="b">
        <f t="shared" si="2"/>
        <v>0</v>
      </c>
      <c r="X45" t="b">
        <f t="shared" si="3"/>
        <v>0</v>
      </c>
      <c r="Y45" t="b">
        <f t="shared" si="4"/>
        <v>0</v>
      </c>
      <c r="Z45" t="b">
        <f t="shared" si="5"/>
        <v>0</v>
      </c>
      <c r="AA45" t="b">
        <f t="shared" si="6"/>
        <v>0</v>
      </c>
      <c r="AB45" t="b">
        <f t="shared" si="7"/>
        <v>0</v>
      </c>
      <c r="AC45" t="b">
        <f t="shared" si="8"/>
        <v>0</v>
      </c>
      <c r="AD45" t="b">
        <f t="shared" si="9"/>
        <v>0</v>
      </c>
      <c r="AE45" t="b">
        <f t="shared" si="10"/>
        <v>0</v>
      </c>
    </row>
    <row r="46" spans="1:31" x14ac:dyDescent="0.2">
      <c r="A46" s="24"/>
      <c r="B46" s="24"/>
      <c r="C46" s="24"/>
      <c r="D46" s="161" t="s">
        <v>191</v>
      </c>
      <c r="E46" s="70"/>
      <c r="F46" s="35"/>
      <c r="G46" s="35"/>
      <c r="H46" s="35"/>
      <c r="I46" s="35"/>
      <c r="J46" s="35"/>
      <c r="K46" s="99"/>
      <c r="L46" s="99"/>
      <c r="M46" s="99"/>
      <c r="N46" s="99"/>
      <c r="O46" s="99"/>
      <c r="V46" t="b">
        <f t="shared" ref="V46:V75" si="17">OR(ROUND(F46,8)=-0.00133017,ROUND(F46-E46,8)=-0.00133017)</f>
        <v>0</v>
      </c>
      <c r="W46" t="b">
        <f t="shared" ref="W46:W75" si="18">OR(ROUND(G46,8)=-0.00133017,ROUND(G46-F46,8)=-0.00133017)</f>
        <v>0</v>
      </c>
      <c r="X46" t="b">
        <f t="shared" ref="X46:X75" si="19">OR(ROUND(H46,8)=-0.00133017,ROUND(H46-G46,8)=-0.00133017)</f>
        <v>0</v>
      </c>
      <c r="Y46" t="b">
        <f t="shared" ref="Y46:Y75" si="20">OR(ROUND(I46,8)=-0.00133017,ROUND(I46-H46,8)=-0.00133017)</f>
        <v>0</v>
      </c>
      <c r="Z46" t="b">
        <f t="shared" ref="Z46:Z75" si="21">OR(ROUND(J46,8)=-0.00133017,ROUND(J46-I46,8)=-0.00133017)</f>
        <v>0</v>
      </c>
      <c r="AA46" t="b">
        <f t="shared" ref="AA46:AA75" si="22">OR(ROUND(K46,8)=-0.00133017,ROUND(K46-J46,8)=-0.00133017)</f>
        <v>0</v>
      </c>
      <c r="AB46" t="b">
        <f t="shared" ref="AB46:AB75" si="23">OR(ROUND(L46,8)=-0.00133017,ROUND(L46-K46,8)=-0.00133017)</f>
        <v>0</v>
      </c>
      <c r="AC46" t="b">
        <f t="shared" ref="AC46:AC75" si="24">OR(ROUND(M46,8)=-0.00133017,ROUND(M46-L46,8)=-0.00133017)</f>
        <v>0</v>
      </c>
      <c r="AD46" t="b">
        <f t="shared" ref="AD46:AD75" si="25">OR(ROUND(N46,8)=-0.00133017,ROUND(N46-M46,8)=-0.00133017)</f>
        <v>0</v>
      </c>
      <c r="AE46" t="b">
        <f t="shared" ref="AE46:AE75" si="26">OR(ROUND(O46,8)=-0.00133017,ROUND(O46-N46,8)=-0.00133017)</f>
        <v>0</v>
      </c>
    </row>
    <row r="47" spans="1:31" x14ac:dyDescent="0.2">
      <c r="A47" s="24"/>
      <c r="B47" s="24"/>
      <c r="C47" s="24"/>
      <c r="D47" s="186" t="s">
        <v>180</v>
      </c>
      <c r="E47" s="65"/>
      <c r="F47" s="200">
        <v>13.2</v>
      </c>
      <c r="G47" s="201">
        <f>F58</f>
        <v>11.4</v>
      </c>
      <c r="H47" s="201">
        <f t="shared" ref="H47" si="27">G58</f>
        <v>7.8999999999999995</v>
      </c>
      <c r="I47" s="201">
        <f t="shared" ref="I47:O47" si="28">H58</f>
        <v>6.8999999999999995</v>
      </c>
      <c r="J47" s="201">
        <f t="shared" si="28"/>
        <v>12</v>
      </c>
      <c r="K47" s="120">
        <f t="shared" si="28"/>
        <v>11.100000000000001</v>
      </c>
      <c r="L47" s="120">
        <f t="shared" si="28"/>
        <v>9.3719125875898293</v>
      </c>
      <c r="M47" s="120">
        <f t="shared" si="28"/>
        <v>7.912859959407629</v>
      </c>
      <c r="N47" s="120">
        <f t="shared" si="28"/>
        <v>6.6809578249917019</v>
      </c>
      <c r="O47" s="120">
        <f t="shared" si="28"/>
        <v>5.6408425889366214</v>
      </c>
      <c r="V47" t="b">
        <f t="shared" si="17"/>
        <v>0</v>
      </c>
      <c r="W47" t="b">
        <f t="shared" si="18"/>
        <v>0</v>
      </c>
      <c r="X47" t="b">
        <f t="shared" si="19"/>
        <v>0</v>
      </c>
      <c r="Y47" t="b">
        <f t="shared" si="20"/>
        <v>0</v>
      </c>
      <c r="Z47" t="b">
        <f t="shared" si="21"/>
        <v>0</v>
      </c>
      <c r="AA47" t="b">
        <f t="shared" si="22"/>
        <v>0</v>
      </c>
      <c r="AB47" t="b">
        <f t="shared" si="23"/>
        <v>0</v>
      </c>
      <c r="AC47" t="b">
        <f t="shared" si="24"/>
        <v>0</v>
      </c>
      <c r="AD47" t="b">
        <f t="shared" si="25"/>
        <v>0</v>
      </c>
      <c r="AE47" t="b">
        <f t="shared" si="26"/>
        <v>0</v>
      </c>
    </row>
    <row r="48" spans="1:31" x14ac:dyDescent="0.2">
      <c r="A48" s="24"/>
      <c r="B48" s="24"/>
      <c r="C48" s="24"/>
      <c r="D48" s="186" t="s">
        <v>166</v>
      </c>
      <c r="E48" s="65"/>
      <c r="F48" s="200">
        <v>2.2999999999999998</v>
      </c>
      <c r="G48" s="200">
        <v>1.1000000000000001</v>
      </c>
      <c r="H48" s="200">
        <v>1.8</v>
      </c>
      <c r="I48" s="200">
        <v>8.1</v>
      </c>
      <c r="J48" s="200">
        <v>2.5</v>
      </c>
      <c r="K48" s="120">
        <f>K49*K47</f>
        <v>1.9616893661801227</v>
      </c>
      <c r="L48" s="120">
        <f t="shared" ref="L48:O48" si="29">L49*L47</f>
        <v>1.6562866003463608</v>
      </c>
      <c r="M48" s="120">
        <f t="shared" si="29"/>
        <v>1.3984300214812992</v>
      </c>
      <c r="N48" s="120">
        <f t="shared" si="29"/>
        <v>1.1807174703769461</v>
      </c>
      <c r="O48" s="120">
        <f t="shared" si="29"/>
        <v>0.99689918225341645</v>
      </c>
      <c r="V48" t="b">
        <f t="shared" si="17"/>
        <v>0</v>
      </c>
      <c r="W48" t="b">
        <f t="shared" si="18"/>
        <v>0</v>
      </c>
      <c r="X48" t="b">
        <f t="shared" si="19"/>
        <v>0</v>
      </c>
      <c r="Y48" t="b">
        <f t="shared" si="20"/>
        <v>0</v>
      </c>
      <c r="Z48" t="b">
        <f t="shared" si="21"/>
        <v>0</v>
      </c>
      <c r="AA48" t="b">
        <f t="shared" si="22"/>
        <v>0</v>
      </c>
      <c r="AB48" t="b">
        <f t="shared" si="23"/>
        <v>0</v>
      </c>
      <c r="AC48" t="b">
        <f t="shared" si="24"/>
        <v>0</v>
      </c>
      <c r="AD48" t="b">
        <f t="shared" si="25"/>
        <v>0</v>
      </c>
      <c r="AE48" t="b">
        <f t="shared" si="26"/>
        <v>0</v>
      </c>
    </row>
    <row r="49" spans="1:31" x14ac:dyDescent="0.2">
      <c r="A49" s="9"/>
      <c r="B49" s="9"/>
      <c r="C49" s="9"/>
      <c r="D49" s="183" t="s">
        <v>192</v>
      </c>
      <c r="E49" s="65"/>
      <c r="F49" s="184">
        <f>F48/F47</f>
        <v>0.17424242424242423</v>
      </c>
      <c r="G49" s="184">
        <f>G48/G47</f>
        <v>9.6491228070175447E-2</v>
      </c>
      <c r="H49" s="184">
        <f>H48/H47</f>
        <v>0.22784810126582281</v>
      </c>
      <c r="I49" s="184">
        <f>I48/I47</f>
        <v>1.173913043478261</v>
      </c>
      <c r="J49" s="184">
        <f>J48/J47</f>
        <v>0.20833333333333334</v>
      </c>
      <c r="K49" s="184">
        <f>AVERAGE($F$49,$G$49,$H$49,$J$49)</f>
        <v>0.17672877172793897</v>
      </c>
      <c r="L49" s="184">
        <f t="shared" ref="L49:O49" si="30">AVERAGE($F$49,$G$49,$H$49,$J$49)</f>
        <v>0.17672877172793897</v>
      </c>
      <c r="M49" s="184">
        <f t="shared" si="30"/>
        <v>0.17672877172793897</v>
      </c>
      <c r="N49" s="184">
        <f t="shared" si="30"/>
        <v>0.17672877172793897</v>
      </c>
      <c r="O49" s="184">
        <f t="shared" si="30"/>
        <v>0.17672877172793897</v>
      </c>
      <c r="Q49" t="s">
        <v>193</v>
      </c>
      <c r="V49" t="b">
        <f t="shared" si="17"/>
        <v>0</v>
      </c>
      <c r="W49" t="b">
        <f t="shared" si="18"/>
        <v>0</v>
      </c>
      <c r="X49" t="b">
        <f t="shared" si="19"/>
        <v>0</v>
      </c>
      <c r="Y49" t="b">
        <f t="shared" si="20"/>
        <v>0</v>
      </c>
      <c r="Z49" t="b">
        <f t="shared" si="21"/>
        <v>0</v>
      </c>
      <c r="AA49" t="b">
        <f t="shared" si="22"/>
        <v>0</v>
      </c>
      <c r="AB49" t="b">
        <f t="shared" si="23"/>
        <v>0</v>
      </c>
      <c r="AC49" t="b">
        <f t="shared" si="24"/>
        <v>0</v>
      </c>
      <c r="AD49" t="b">
        <f t="shared" si="25"/>
        <v>0</v>
      </c>
      <c r="AE49" t="b">
        <f t="shared" si="26"/>
        <v>0</v>
      </c>
    </row>
    <row r="50" spans="1:31" x14ac:dyDescent="0.2">
      <c r="A50" s="9"/>
      <c r="B50" s="9"/>
      <c r="C50" s="9"/>
      <c r="D50" s="183"/>
      <c r="E50" s="65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V50" t="b">
        <f t="shared" si="17"/>
        <v>0</v>
      </c>
      <c r="W50" t="b">
        <f t="shared" si="18"/>
        <v>0</v>
      </c>
      <c r="X50" t="b">
        <f t="shared" si="19"/>
        <v>0</v>
      </c>
      <c r="Y50" t="b">
        <f t="shared" si="20"/>
        <v>0</v>
      </c>
      <c r="Z50" t="b">
        <f t="shared" si="21"/>
        <v>0</v>
      </c>
      <c r="AA50" t="b">
        <f t="shared" si="22"/>
        <v>0</v>
      </c>
      <c r="AB50" t="b">
        <f t="shared" si="23"/>
        <v>0</v>
      </c>
      <c r="AC50" t="b">
        <f t="shared" si="24"/>
        <v>0</v>
      </c>
      <c r="AD50" t="b">
        <f t="shared" si="25"/>
        <v>0</v>
      </c>
      <c r="AE50" t="b">
        <f t="shared" si="26"/>
        <v>0</v>
      </c>
    </row>
    <row r="51" spans="1:31" x14ac:dyDescent="0.2">
      <c r="A51" s="24"/>
      <c r="B51" s="24"/>
      <c r="C51" s="24"/>
      <c r="D51" s="173" t="s">
        <v>194</v>
      </c>
      <c r="E51" s="65"/>
      <c r="F51" s="200">
        <v>0</v>
      </c>
      <c r="G51" s="200">
        <v>0</v>
      </c>
      <c r="H51" s="200">
        <v>0</v>
      </c>
      <c r="I51" s="200">
        <v>0.3</v>
      </c>
      <c r="J51" s="200">
        <v>0</v>
      </c>
      <c r="K51" s="120">
        <f>J51</f>
        <v>0</v>
      </c>
      <c r="L51" s="120">
        <f>K51</f>
        <v>0</v>
      </c>
      <c r="M51" s="120">
        <f>L51</f>
        <v>0</v>
      </c>
      <c r="N51" s="120">
        <f>M51</f>
        <v>0</v>
      </c>
      <c r="O51" s="120">
        <f>N51</f>
        <v>0</v>
      </c>
      <c r="Q51" t="s">
        <v>195</v>
      </c>
      <c r="V51" t="b">
        <f t="shared" si="17"/>
        <v>0</v>
      </c>
      <c r="W51" t="b">
        <f t="shared" si="18"/>
        <v>0</v>
      </c>
      <c r="X51" t="b">
        <f t="shared" si="19"/>
        <v>0</v>
      </c>
      <c r="Y51" t="b">
        <f t="shared" si="20"/>
        <v>0</v>
      </c>
      <c r="Z51" t="b">
        <f t="shared" si="21"/>
        <v>0</v>
      </c>
      <c r="AA51" t="b">
        <f t="shared" si="22"/>
        <v>0</v>
      </c>
      <c r="AB51" t="b">
        <f t="shared" si="23"/>
        <v>0</v>
      </c>
      <c r="AC51" t="b">
        <f t="shared" si="24"/>
        <v>0</v>
      </c>
      <c r="AD51" t="b">
        <f t="shared" si="25"/>
        <v>0</v>
      </c>
      <c r="AE51" t="b">
        <f t="shared" si="26"/>
        <v>0</v>
      </c>
    </row>
    <row r="52" spans="1:31" x14ac:dyDescent="0.2">
      <c r="A52" s="24"/>
      <c r="B52" s="24"/>
      <c r="C52" s="24"/>
      <c r="D52" s="173" t="s">
        <v>196</v>
      </c>
      <c r="E52" s="65"/>
      <c r="F52" s="200">
        <v>0</v>
      </c>
      <c r="G52" s="200">
        <v>-0.9</v>
      </c>
      <c r="H52" s="200">
        <v>0</v>
      </c>
      <c r="I52" s="200">
        <v>-0.5</v>
      </c>
      <c r="J52" s="200">
        <v>-0.2</v>
      </c>
      <c r="K52" s="120">
        <v>0</v>
      </c>
      <c r="L52" s="120">
        <v>0</v>
      </c>
      <c r="M52" s="120">
        <v>0</v>
      </c>
      <c r="N52" s="120">
        <v>0</v>
      </c>
      <c r="O52" s="120">
        <v>0</v>
      </c>
      <c r="V52" t="b">
        <f t="shared" si="17"/>
        <v>0</v>
      </c>
      <c r="W52" t="b">
        <f t="shared" si="18"/>
        <v>0</v>
      </c>
      <c r="X52" t="b">
        <f t="shared" si="19"/>
        <v>0</v>
      </c>
      <c r="Y52" t="b">
        <f t="shared" si="20"/>
        <v>0</v>
      </c>
      <c r="Z52" t="b">
        <f t="shared" si="21"/>
        <v>0</v>
      </c>
      <c r="AA52" t="b">
        <f t="shared" si="22"/>
        <v>0</v>
      </c>
      <c r="AB52" t="b">
        <f t="shared" si="23"/>
        <v>0</v>
      </c>
      <c r="AC52" t="b">
        <f t="shared" si="24"/>
        <v>0</v>
      </c>
      <c r="AD52" t="b">
        <f t="shared" si="25"/>
        <v>0</v>
      </c>
      <c r="AE52" t="b">
        <f t="shared" si="26"/>
        <v>0</v>
      </c>
    </row>
    <row r="53" spans="1:31" x14ac:dyDescent="0.2">
      <c r="A53" s="24"/>
      <c r="B53" s="24"/>
      <c r="C53" s="24"/>
      <c r="D53" s="183"/>
      <c r="E53" s="65"/>
      <c r="F53" s="74"/>
      <c r="G53" s="74"/>
      <c r="H53" s="74"/>
      <c r="I53" s="74"/>
      <c r="J53" s="74"/>
      <c r="K53" s="184"/>
      <c r="L53" s="184"/>
      <c r="M53" s="184"/>
      <c r="N53" s="184"/>
      <c r="O53" s="184"/>
      <c r="V53" t="b">
        <f t="shared" si="17"/>
        <v>0</v>
      </c>
      <c r="W53" t="b">
        <f t="shared" si="18"/>
        <v>0</v>
      </c>
      <c r="X53" t="b">
        <f t="shared" si="19"/>
        <v>0</v>
      </c>
      <c r="Y53" t="b">
        <f t="shared" si="20"/>
        <v>0</v>
      </c>
      <c r="Z53" t="b">
        <f t="shared" si="21"/>
        <v>0</v>
      </c>
      <c r="AA53" t="b">
        <f t="shared" si="22"/>
        <v>0</v>
      </c>
      <c r="AB53" t="b">
        <f t="shared" si="23"/>
        <v>0</v>
      </c>
      <c r="AC53" t="b">
        <f t="shared" si="24"/>
        <v>0</v>
      </c>
      <c r="AD53" t="b">
        <f t="shared" si="25"/>
        <v>0</v>
      </c>
      <c r="AE53" t="b">
        <f t="shared" si="26"/>
        <v>0</v>
      </c>
    </row>
    <row r="54" spans="1:31" x14ac:dyDescent="0.2">
      <c r="A54" s="24"/>
      <c r="B54" s="24"/>
      <c r="C54" s="24"/>
      <c r="D54" s="186" t="s">
        <v>60</v>
      </c>
      <c r="E54" s="65"/>
      <c r="F54" s="200">
        <v>-4.0999999999999996</v>
      </c>
      <c r="G54" s="200">
        <v>-3.7</v>
      </c>
      <c r="H54" s="200">
        <v>-2.8</v>
      </c>
      <c r="I54" s="200">
        <v>-2.8</v>
      </c>
      <c r="J54" s="200">
        <v>-3.2</v>
      </c>
      <c r="K54" s="120">
        <f>-K55*K47</f>
        <v>-3.6897767785902946</v>
      </c>
      <c r="L54" s="120">
        <f>-L55*L47</f>
        <v>-3.115339228528561</v>
      </c>
      <c r="M54" s="120">
        <f>-M55*M47</f>
        <v>-2.6303321558972259</v>
      </c>
      <c r="N54" s="120">
        <f>-N55*N47</f>
        <v>-2.2208327064320268</v>
      </c>
      <c r="O54" s="120">
        <f>-O55*O47</f>
        <v>-1.8750855852559911</v>
      </c>
      <c r="V54" t="b">
        <f t="shared" si="17"/>
        <v>0</v>
      </c>
      <c r="W54" t="b">
        <f t="shared" si="18"/>
        <v>0</v>
      </c>
      <c r="X54" t="b">
        <f t="shared" si="19"/>
        <v>0</v>
      </c>
      <c r="Y54" t="b">
        <f t="shared" si="20"/>
        <v>0</v>
      </c>
      <c r="Z54" t="b">
        <f t="shared" si="21"/>
        <v>0</v>
      </c>
      <c r="AA54" t="b">
        <f t="shared" si="22"/>
        <v>0</v>
      </c>
      <c r="AB54" t="b">
        <f t="shared" si="23"/>
        <v>0</v>
      </c>
      <c r="AC54" t="b">
        <f t="shared" si="24"/>
        <v>0</v>
      </c>
      <c r="AD54" t="b">
        <f t="shared" si="25"/>
        <v>0</v>
      </c>
      <c r="AE54" t="b">
        <f t="shared" si="26"/>
        <v>0</v>
      </c>
    </row>
    <row r="55" spans="1:31" x14ac:dyDescent="0.2">
      <c r="A55" s="24"/>
      <c r="B55" s="24"/>
      <c r="C55" s="24"/>
      <c r="D55" s="188" t="s">
        <v>192</v>
      </c>
      <c r="E55" s="65"/>
      <c r="F55" s="74">
        <f>-F54/F47</f>
        <v>0.31060606060606061</v>
      </c>
      <c r="G55" s="74">
        <f>-G54/G47</f>
        <v>0.32456140350877194</v>
      </c>
      <c r="H55" s="74">
        <f>-H54/H47</f>
        <v>0.35443037974683544</v>
      </c>
      <c r="I55" s="74">
        <f>-I54/I47</f>
        <v>0.40579710144927539</v>
      </c>
      <c r="J55" s="74">
        <f>-J54/J47</f>
        <v>0.26666666666666666</v>
      </c>
      <c r="K55" s="74">
        <f>AVERAGE($F$55:$J$55)</f>
        <v>0.33241232239552199</v>
      </c>
      <c r="L55" s="74">
        <f>AVERAGE($F$55:$J$55)</f>
        <v>0.33241232239552199</v>
      </c>
      <c r="M55" s="74">
        <f>AVERAGE($F$55:$J$55)</f>
        <v>0.33241232239552199</v>
      </c>
      <c r="N55" s="74">
        <f>AVERAGE($F$55:$J$55)</f>
        <v>0.33241232239552199</v>
      </c>
      <c r="O55" s="74">
        <f>AVERAGE($F$55:$J$55)</f>
        <v>0.33241232239552199</v>
      </c>
      <c r="Q55" t="s">
        <v>90</v>
      </c>
      <c r="V55" t="b">
        <f t="shared" si="17"/>
        <v>0</v>
      </c>
      <c r="W55" t="b">
        <f t="shared" si="18"/>
        <v>0</v>
      </c>
      <c r="X55" t="b">
        <f t="shared" si="19"/>
        <v>0</v>
      </c>
      <c r="Y55" t="b">
        <f t="shared" si="20"/>
        <v>0</v>
      </c>
      <c r="Z55" t="b">
        <f t="shared" si="21"/>
        <v>0</v>
      </c>
      <c r="AA55" t="b">
        <f t="shared" si="22"/>
        <v>0</v>
      </c>
      <c r="AB55" t="b">
        <f t="shared" si="23"/>
        <v>0</v>
      </c>
      <c r="AC55" t="b">
        <f t="shared" si="24"/>
        <v>0</v>
      </c>
      <c r="AD55" t="b">
        <f t="shared" si="25"/>
        <v>0</v>
      </c>
      <c r="AE55" t="b">
        <f t="shared" si="26"/>
        <v>0</v>
      </c>
    </row>
    <row r="56" spans="1:31" x14ac:dyDescent="0.2">
      <c r="A56" s="24"/>
      <c r="B56" s="24"/>
      <c r="C56" s="24"/>
      <c r="D56" s="186" t="s">
        <v>198</v>
      </c>
      <c r="E56" s="65"/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81">
        <f>J56</f>
        <v>0</v>
      </c>
      <c r="L56" s="81">
        <f>K56</f>
        <v>0</v>
      </c>
      <c r="M56" s="81">
        <f>L56</f>
        <v>0</v>
      </c>
      <c r="N56" s="81">
        <f>M56</f>
        <v>0</v>
      </c>
      <c r="O56" s="81">
        <f>N56</f>
        <v>0</v>
      </c>
      <c r="Q56" t="s">
        <v>195</v>
      </c>
      <c r="V56" t="b">
        <f t="shared" si="17"/>
        <v>0</v>
      </c>
      <c r="W56" t="b">
        <f t="shared" si="18"/>
        <v>0</v>
      </c>
      <c r="X56" t="b">
        <f t="shared" si="19"/>
        <v>0</v>
      </c>
      <c r="Y56" t="b">
        <f t="shared" si="20"/>
        <v>0</v>
      </c>
      <c r="Z56" t="b">
        <f t="shared" si="21"/>
        <v>0</v>
      </c>
      <c r="AA56" t="b">
        <f t="shared" si="22"/>
        <v>0</v>
      </c>
      <c r="AB56" t="b">
        <f t="shared" si="23"/>
        <v>0</v>
      </c>
      <c r="AC56" t="b">
        <f t="shared" si="24"/>
        <v>0</v>
      </c>
      <c r="AD56" t="b">
        <f t="shared" si="25"/>
        <v>0</v>
      </c>
      <c r="AE56" t="b">
        <f t="shared" si="26"/>
        <v>0</v>
      </c>
    </row>
    <row r="57" spans="1:31" x14ac:dyDescent="0.2">
      <c r="A57" s="24"/>
      <c r="B57" s="24"/>
      <c r="C57" s="24"/>
      <c r="D57" s="186"/>
      <c r="E57" s="65"/>
      <c r="F57" s="24"/>
      <c r="G57" s="29"/>
      <c r="H57" s="29"/>
      <c r="I57" s="29"/>
      <c r="J57" s="29"/>
      <c r="V57" t="b">
        <f t="shared" si="17"/>
        <v>0</v>
      </c>
      <c r="W57" t="b">
        <f t="shared" si="18"/>
        <v>0</v>
      </c>
      <c r="X57" t="b">
        <f t="shared" si="19"/>
        <v>0</v>
      </c>
      <c r="Y57" t="b">
        <f t="shared" si="20"/>
        <v>0</v>
      </c>
      <c r="Z57" t="b">
        <f t="shared" si="21"/>
        <v>0</v>
      </c>
      <c r="AA57" t="b">
        <f t="shared" si="22"/>
        <v>0</v>
      </c>
      <c r="AB57" t="b">
        <f t="shared" si="23"/>
        <v>0</v>
      </c>
      <c r="AC57" t="b">
        <f t="shared" si="24"/>
        <v>0</v>
      </c>
      <c r="AD57" t="b">
        <f t="shared" si="25"/>
        <v>0</v>
      </c>
      <c r="AE57" t="b">
        <f t="shared" si="26"/>
        <v>0</v>
      </c>
    </row>
    <row r="58" spans="1:31" x14ac:dyDescent="0.2">
      <c r="A58" s="24"/>
      <c r="B58" s="24"/>
      <c r="C58" s="24"/>
      <c r="D58" s="186" t="s">
        <v>181</v>
      </c>
      <c r="E58" s="65"/>
      <c r="F58" s="43">
        <f>F47+F48+F52+F54+F56</f>
        <v>11.4</v>
      </c>
      <c r="G58" s="43">
        <f>G47+G48+G52+G54+G56</f>
        <v>7.8999999999999995</v>
      </c>
      <c r="H58" s="43">
        <f>H47+H48+H52+H54+H56</f>
        <v>6.8999999999999995</v>
      </c>
      <c r="I58" s="43">
        <f>I47+I48+I51+I52+I54+I56</f>
        <v>12</v>
      </c>
      <c r="J58" s="43">
        <f>J47+J48+J52+J54+J56</f>
        <v>11.100000000000001</v>
      </c>
      <c r="K58" s="81">
        <f>SUM(K47,K48,K51,K52,K54,K56)</f>
        <v>9.3719125875898293</v>
      </c>
      <c r="L58" s="81">
        <f>SUM(L47,L48,L51,L52,L54,L56)</f>
        <v>7.912859959407629</v>
      </c>
      <c r="M58" s="81">
        <f>SUM(M47,M48,M51,M52,M54,M56)</f>
        <v>6.6809578249917019</v>
      </c>
      <c r="N58" s="81">
        <f>SUM(N47,N48,N51,N52,N54,N56)</f>
        <v>5.6408425889366214</v>
      </c>
      <c r="O58" s="81">
        <f>SUM(O47,O48,O51,O52,O54,O56)</f>
        <v>4.7626561859340466</v>
      </c>
      <c r="V58" t="b">
        <f t="shared" si="17"/>
        <v>0</v>
      </c>
      <c r="W58" t="b">
        <f t="shared" si="18"/>
        <v>0</v>
      </c>
      <c r="X58" t="b">
        <f t="shared" si="19"/>
        <v>0</v>
      </c>
      <c r="Y58" t="b">
        <f t="shared" si="20"/>
        <v>0</v>
      </c>
      <c r="Z58" t="b">
        <f t="shared" si="21"/>
        <v>0</v>
      </c>
      <c r="AA58" t="b">
        <f t="shared" si="22"/>
        <v>0</v>
      </c>
      <c r="AB58" t="b">
        <f t="shared" si="23"/>
        <v>0</v>
      </c>
      <c r="AC58" t="b">
        <f t="shared" si="24"/>
        <v>0</v>
      </c>
      <c r="AD58" t="b">
        <f t="shared" si="25"/>
        <v>0</v>
      </c>
      <c r="AE58" t="b">
        <f t="shared" si="26"/>
        <v>0</v>
      </c>
    </row>
    <row r="59" spans="1:31" x14ac:dyDescent="0.2">
      <c r="A59" s="24"/>
      <c r="B59" s="24"/>
      <c r="C59" s="24"/>
      <c r="D59" s="24"/>
      <c r="E59" s="65"/>
      <c r="F59" s="25"/>
      <c r="G59" s="25"/>
      <c r="H59" s="25"/>
      <c r="I59" s="25"/>
      <c r="J59" s="25"/>
      <c r="V59" t="b">
        <f t="shared" si="17"/>
        <v>0</v>
      </c>
      <c r="W59" t="b">
        <f t="shared" si="18"/>
        <v>0</v>
      </c>
      <c r="X59" t="b">
        <f t="shared" si="19"/>
        <v>0</v>
      </c>
      <c r="Y59" t="b">
        <f t="shared" si="20"/>
        <v>0</v>
      </c>
      <c r="Z59" t="b">
        <f t="shared" si="21"/>
        <v>0</v>
      </c>
      <c r="AA59" t="b">
        <f t="shared" si="22"/>
        <v>0</v>
      </c>
      <c r="AB59" t="b">
        <f t="shared" si="23"/>
        <v>0</v>
      </c>
      <c r="AC59" t="b">
        <f t="shared" si="24"/>
        <v>0</v>
      </c>
      <c r="AD59" t="b">
        <f t="shared" si="25"/>
        <v>0</v>
      </c>
      <c r="AE59" t="b">
        <f t="shared" si="26"/>
        <v>0</v>
      </c>
    </row>
    <row r="60" spans="1:31" x14ac:dyDescent="0.2">
      <c r="A60" s="24"/>
      <c r="B60" s="24"/>
      <c r="C60" s="24"/>
      <c r="D60" s="161" t="s">
        <v>117</v>
      </c>
      <c r="E60" s="70"/>
      <c r="F60" s="35"/>
      <c r="G60" s="35"/>
      <c r="H60" s="35"/>
      <c r="I60" s="35"/>
      <c r="J60" s="35"/>
      <c r="K60" s="99"/>
      <c r="L60" s="99"/>
      <c r="M60" s="99"/>
      <c r="N60" s="99"/>
      <c r="O60" s="99"/>
      <c r="V60" t="b">
        <f t="shared" si="17"/>
        <v>0</v>
      </c>
      <c r="W60" t="b">
        <f t="shared" si="18"/>
        <v>0</v>
      </c>
      <c r="X60" t="b">
        <f t="shared" si="19"/>
        <v>0</v>
      </c>
      <c r="Y60" t="b">
        <f t="shared" si="20"/>
        <v>0</v>
      </c>
      <c r="Z60" t="b">
        <f t="shared" si="21"/>
        <v>0</v>
      </c>
      <c r="AA60" t="b">
        <f t="shared" si="22"/>
        <v>0</v>
      </c>
      <c r="AB60" t="b">
        <f t="shared" si="23"/>
        <v>0</v>
      </c>
      <c r="AC60" t="b">
        <f t="shared" si="24"/>
        <v>0</v>
      </c>
      <c r="AD60" t="b">
        <f t="shared" si="25"/>
        <v>0</v>
      </c>
      <c r="AE60" t="b">
        <f t="shared" si="26"/>
        <v>0</v>
      </c>
    </row>
    <row r="61" spans="1:31" x14ac:dyDescent="0.2">
      <c r="A61" s="24"/>
      <c r="B61" s="24"/>
      <c r="C61" s="24"/>
      <c r="D61" s="186" t="s">
        <v>180</v>
      </c>
      <c r="E61" s="65"/>
      <c r="F61" s="200">
        <v>346.6</v>
      </c>
      <c r="G61" s="201">
        <f>F73</f>
        <v>334.7</v>
      </c>
      <c r="H61" s="201">
        <f t="shared" ref="H61" si="31">G73</f>
        <v>324.99999999999994</v>
      </c>
      <c r="I61" s="201">
        <f>H73</f>
        <v>330.5</v>
      </c>
      <c r="J61" s="201">
        <f>I73</f>
        <v>469.8</v>
      </c>
      <c r="K61" s="120">
        <f>J73</f>
        <v>541</v>
      </c>
      <c r="L61" s="120">
        <f t="shared" ref="L61:O61" si="32">K73</f>
        <v>546.95461942323357</v>
      </c>
      <c r="M61" s="120">
        <f t="shared" si="32"/>
        <v>552.97477949799304</v>
      </c>
      <c r="N61" s="120">
        <f t="shared" si="32"/>
        <v>559.06120160992839</v>
      </c>
      <c r="O61" s="120">
        <f t="shared" si="32"/>
        <v>565.21461508475784</v>
      </c>
      <c r="Q61" t="s">
        <v>199</v>
      </c>
      <c r="V61" t="b">
        <f t="shared" si="17"/>
        <v>0</v>
      </c>
      <c r="W61" t="b">
        <f t="shared" si="18"/>
        <v>0</v>
      </c>
      <c r="X61" t="b">
        <f t="shared" si="19"/>
        <v>0</v>
      </c>
      <c r="Y61" t="b">
        <f t="shared" si="20"/>
        <v>0</v>
      </c>
      <c r="Z61" t="b">
        <f t="shared" si="21"/>
        <v>0</v>
      </c>
      <c r="AA61" t="b">
        <f t="shared" si="22"/>
        <v>0</v>
      </c>
      <c r="AB61" t="b">
        <f t="shared" si="23"/>
        <v>0</v>
      </c>
      <c r="AC61" t="b">
        <f t="shared" si="24"/>
        <v>0</v>
      </c>
      <c r="AD61" t="b">
        <f t="shared" si="25"/>
        <v>0</v>
      </c>
      <c r="AE61" t="b">
        <f t="shared" si="26"/>
        <v>0</v>
      </c>
    </row>
    <row r="62" spans="1:31" x14ac:dyDescent="0.2">
      <c r="A62" s="24"/>
      <c r="B62" s="24"/>
      <c r="C62" s="24"/>
      <c r="D62" s="186" t="s">
        <v>166</v>
      </c>
      <c r="E62" s="65"/>
      <c r="F62" s="200">
        <v>20.7</v>
      </c>
      <c r="G62" s="200">
        <v>22.5</v>
      </c>
      <c r="H62" s="200">
        <v>24.8</v>
      </c>
      <c r="I62" s="200">
        <v>44.2</v>
      </c>
      <c r="J62" s="200">
        <v>46.1</v>
      </c>
      <c r="K62" s="120">
        <f>K63*K61</f>
        <v>55.573560883450646</v>
      </c>
      <c r="L62" s="120">
        <f t="shared" ref="L62:O62" si="33">L63*L61</f>
        <v>56.185241853977168</v>
      </c>
      <c r="M62" s="120">
        <f t="shared" si="33"/>
        <v>56.803655407475809</v>
      </c>
      <c r="N62" s="120">
        <f t="shared" si="33"/>
        <v>57.42887564740191</v>
      </c>
      <c r="O62" s="120">
        <f t="shared" si="33"/>
        <v>58.060977492844572</v>
      </c>
      <c r="V62" t="b">
        <f t="shared" si="17"/>
        <v>0</v>
      </c>
      <c r="W62" t="b">
        <f t="shared" si="18"/>
        <v>0</v>
      </c>
      <c r="X62" t="b">
        <f t="shared" si="19"/>
        <v>0</v>
      </c>
      <c r="Y62" t="b">
        <f t="shared" si="20"/>
        <v>0</v>
      </c>
      <c r="Z62" t="b">
        <f t="shared" si="21"/>
        <v>0</v>
      </c>
      <c r="AA62" t="b">
        <f t="shared" si="22"/>
        <v>0</v>
      </c>
      <c r="AB62" t="b">
        <f t="shared" si="23"/>
        <v>0</v>
      </c>
      <c r="AC62" t="b">
        <f t="shared" si="24"/>
        <v>0</v>
      </c>
      <c r="AD62" t="b">
        <f t="shared" si="25"/>
        <v>0</v>
      </c>
      <c r="AE62" t="b">
        <f t="shared" si="26"/>
        <v>0</v>
      </c>
    </row>
    <row r="63" spans="1:31" x14ac:dyDescent="0.2">
      <c r="A63" s="24"/>
      <c r="B63" s="24"/>
      <c r="C63" s="24"/>
      <c r="D63" s="183" t="s">
        <v>200</v>
      </c>
      <c r="E63" s="65"/>
      <c r="F63" s="74">
        <f>F62/F61</f>
        <v>5.9723023658395838E-2</v>
      </c>
      <c r="G63" s="74">
        <f t="shared" ref="G63:J63" si="34">G62/G61</f>
        <v>6.7224380041828499E-2</v>
      </c>
      <c r="H63" s="74">
        <f t="shared" si="34"/>
        <v>7.6307692307692326E-2</v>
      </c>
      <c r="I63" s="74">
        <f t="shared" si="34"/>
        <v>0.13373676248108926</v>
      </c>
      <c r="J63" s="74">
        <f t="shared" si="34"/>
        <v>9.8126862494678585E-2</v>
      </c>
      <c r="K63" s="74">
        <f>AVERAGE($H$63:$J$63)</f>
        <v>0.10272377242782005</v>
      </c>
      <c r="L63" s="74">
        <f t="shared" ref="L63:O63" si="35">AVERAGE($H$63:$J$63)</f>
        <v>0.10272377242782005</v>
      </c>
      <c r="M63" s="74">
        <f t="shared" si="35"/>
        <v>0.10272377242782005</v>
      </c>
      <c r="N63" s="74">
        <f t="shared" si="35"/>
        <v>0.10272377242782005</v>
      </c>
      <c r="O63" s="74">
        <f t="shared" si="35"/>
        <v>0.10272377242782005</v>
      </c>
      <c r="Q63" t="s">
        <v>197</v>
      </c>
      <c r="V63" t="b">
        <f t="shared" si="17"/>
        <v>0</v>
      </c>
      <c r="W63" t="b">
        <f t="shared" si="18"/>
        <v>0</v>
      </c>
      <c r="X63" t="b">
        <f t="shared" si="19"/>
        <v>0</v>
      </c>
      <c r="Y63" t="b">
        <f t="shared" si="20"/>
        <v>0</v>
      </c>
      <c r="Z63" t="b">
        <f t="shared" si="21"/>
        <v>0</v>
      </c>
      <c r="AA63" t="b">
        <f t="shared" si="22"/>
        <v>0</v>
      </c>
      <c r="AB63" t="b">
        <f t="shared" si="23"/>
        <v>0</v>
      </c>
      <c r="AC63" t="b">
        <f t="shared" si="24"/>
        <v>0</v>
      </c>
      <c r="AD63" t="b">
        <f t="shared" si="25"/>
        <v>0</v>
      </c>
      <c r="AE63" t="b">
        <f t="shared" si="26"/>
        <v>0</v>
      </c>
    </row>
    <row r="64" spans="1:31" x14ac:dyDescent="0.2">
      <c r="A64" s="24"/>
      <c r="B64" s="24"/>
      <c r="C64" s="24"/>
      <c r="D64" s="183"/>
      <c r="E64" s="65"/>
      <c r="F64" s="74"/>
      <c r="G64" s="74"/>
      <c r="H64" s="74"/>
      <c r="I64" s="74"/>
      <c r="J64" s="74"/>
      <c r="K64" s="74"/>
      <c r="L64" s="74"/>
      <c r="M64" s="74"/>
      <c r="N64" s="74"/>
      <c r="O64" s="74"/>
      <c r="V64" t="b">
        <f t="shared" si="17"/>
        <v>0</v>
      </c>
      <c r="W64" t="b">
        <f t="shared" si="18"/>
        <v>0</v>
      </c>
      <c r="X64" t="b">
        <f t="shared" si="19"/>
        <v>0</v>
      </c>
      <c r="Y64" t="b">
        <f t="shared" si="20"/>
        <v>0</v>
      </c>
      <c r="Z64" t="b">
        <f t="shared" si="21"/>
        <v>0</v>
      </c>
      <c r="AA64" t="b">
        <f t="shared" si="22"/>
        <v>0</v>
      </c>
      <c r="AB64" t="b">
        <f t="shared" si="23"/>
        <v>0</v>
      </c>
      <c r="AC64" t="b">
        <f t="shared" si="24"/>
        <v>0</v>
      </c>
      <c r="AD64" t="b">
        <f t="shared" si="25"/>
        <v>0</v>
      </c>
      <c r="AE64" t="b">
        <f t="shared" si="26"/>
        <v>0</v>
      </c>
    </row>
    <row r="65" spans="1:31" x14ac:dyDescent="0.2">
      <c r="A65" s="24"/>
      <c r="B65" s="24"/>
      <c r="C65" s="24"/>
      <c r="D65" s="173" t="s">
        <v>194</v>
      </c>
      <c r="E65" s="65"/>
      <c r="F65" s="200">
        <v>0</v>
      </c>
      <c r="G65" s="200">
        <v>0</v>
      </c>
      <c r="H65" s="200">
        <v>19.3</v>
      </c>
      <c r="I65" s="200">
        <v>132.4</v>
      </c>
      <c r="J65" s="200">
        <v>61.9</v>
      </c>
      <c r="K65" s="120">
        <v>0</v>
      </c>
      <c r="L65" s="120">
        <v>0</v>
      </c>
      <c r="M65" s="120">
        <v>0</v>
      </c>
      <c r="N65" s="120">
        <v>0</v>
      </c>
      <c r="O65" s="120">
        <v>0</v>
      </c>
      <c r="Q65" t="s">
        <v>80</v>
      </c>
      <c r="V65" t="b">
        <f t="shared" si="17"/>
        <v>0</v>
      </c>
      <c r="W65" t="b">
        <f t="shared" si="18"/>
        <v>0</v>
      </c>
      <c r="X65" t="b">
        <f t="shared" si="19"/>
        <v>0</v>
      </c>
      <c r="Y65" t="b">
        <f t="shared" si="20"/>
        <v>0</v>
      </c>
      <c r="Z65" t="b">
        <f t="shared" si="21"/>
        <v>0</v>
      </c>
      <c r="AA65" t="b">
        <f t="shared" si="22"/>
        <v>0</v>
      </c>
      <c r="AB65" t="b">
        <f t="shared" si="23"/>
        <v>0</v>
      </c>
      <c r="AC65" t="b">
        <f t="shared" si="24"/>
        <v>0</v>
      </c>
      <c r="AD65" t="b">
        <f t="shared" si="25"/>
        <v>0</v>
      </c>
      <c r="AE65" t="b">
        <f t="shared" si="26"/>
        <v>0</v>
      </c>
    </row>
    <row r="66" spans="1:31" x14ac:dyDescent="0.2">
      <c r="A66" s="24"/>
      <c r="B66" s="24"/>
      <c r="C66" s="24"/>
      <c r="D66" s="173" t="s">
        <v>196</v>
      </c>
      <c r="E66" s="65"/>
      <c r="F66" s="200">
        <v>-0.1</v>
      </c>
      <c r="G66" s="200">
        <v>-0.1</v>
      </c>
      <c r="H66" s="200">
        <v>-1.4</v>
      </c>
      <c r="I66" s="200">
        <v>-9</v>
      </c>
      <c r="J66" s="200">
        <v>-0.2</v>
      </c>
      <c r="K66" s="120">
        <v>0</v>
      </c>
      <c r="L66" s="120">
        <v>0</v>
      </c>
      <c r="M66" s="120">
        <v>0</v>
      </c>
      <c r="N66" s="120">
        <v>0</v>
      </c>
      <c r="O66" s="120">
        <v>0</v>
      </c>
      <c r="V66" t="b">
        <f t="shared" si="17"/>
        <v>0</v>
      </c>
      <c r="W66" t="b">
        <f t="shared" si="18"/>
        <v>0</v>
      </c>
      <c r="X66" t="b">
        <f t="shared" si="19"/>
        <v>0</v>
      </c>
      <c r="Y66" t="b">
        <f t="shared" si="20"/>
        <v>0</v>
      </c>
      <c r="Z66" t="b">
        <f t="shared" si="21"/>
        <v>0</v>
      </c>
      <c r="AA66" t="b">
        <f t="shared" si="22"/>
        <v>0</v>
      </c>
      <c r="AB66" t="b">
        <f t="shared" si="23"/>
        <v>0</v>
      </c>
      <c r="AC66" t="b">
        <f t="shared" si="24"/>
        <v>0</v>
      </c>
      <c r="AD66" t="b">
        <f t="shared" si="25"/>
        <v>0</v>
      </c>
      <c r="AE66" t="b">
        <f t="shared" si="26"/>
        <v>0</v>
      </c>
    </row>
    <row r="67" spans="1:31" x14ac:dyDescent="0.2">
      <c r="A67" s="24"/>
      <c r="B67" s="24"/>
      <c r="C67" s="24"/>
      <c r="D67" s="183"/>
      <c r="E67" s="65"/>
      <c r="F67" s="74"/>
      <c r="G67" s="74"/>
      <c r="H67" s="74"/>
      <c r="I67" s="74"/>
      <c r="J67" s="74"/>
      <c r="K67" s="74"/>
      <c r="L67" s="74"/>
      <c r="M67" s="74"/>
      <c r="N67" s="74"/>
      <c r="O67" s="74"/>
      <c r="V67" t="b">
        <f t="shared" si="17"/>
        <v>0</v>
      </c>
      <c r="W67" t="b">
        <f t="shared" si="18"/>
        <v>0</v>
      </c>
      <c r="X67" t="b">
        <f t="shared" si="19"/>
        <v>0</v>
      </c>
      <c r="Y67" t="b">
        <f t="shared" si="20"/>
        <v>0</v>
      </c>
      <c r="Z67" t="b">
        <f t="shared" si="21"/>
        <v>0</v>
      </c>
      <c r="AA67" t="b">
        <f t="shared" si="22"/>
        <v>0</v>
      </c>
      <c r="AB67" t="b">
        <f t="shared" si="23"/>
        <v>0</v>
      </c>
      <c r="AC67" t="b">
        <f t="shared" si="24"/>
        <v>0</v>
      </c>
      <c r="AD67" t="b">
        <f t="shared" si="25"/>
        <v>0</v>
      </c>
      <c r="AE67" t="b">
        <f t="shared" si="26"/>
        <v>0</v>
      </c>
    </row>
    <row r="68" spans="1:31" x14ac:dyDescent="0.2">
      <c r="A68" s="24"/>
      <c r="B68" s="24"/>
      <c r="C68" s="24"/>
      <c r="D68" s="186" t="s">
        <v>60</v>
      </c>
      <c r="E68" s="65"/>
      <c r="F68" s="200">
        <v>-22.8</v>
      </c>
      <c r="G68" s="200">
        <v>-23</v>
      </c>
      <c r="H68" s="200">
        <v>-35.5</v>
      </c>
      <c r="I68" s="200">
        <v>-29.3</v>
      </c>
      <c r="J68" s="200">
        <v>-36.299999999999997</v>
      </c>
      <c r="K68" s="120">
        <f>K69*K61</f>
        <v>-49.618941460217137</v>
      </c>
      <c r="L68" s="120">
        <f>L69*L61</f>
        <v>-50.165081779217694</v>
      </c>
      <c r="M68" s="120">
        <f>M69*M61</f>
        <v>-50.717233295540474</v>
      </c>
      <c r="N68" s="120">
        <f>N69*N61</f>
        <v>-51.275462172572439</v>
      </c>
      <c r="O68" s="120">
        <f>O69*O61</f>
        <v>-51.839835301940411</v>
      </c>
      <c r="V68" t="b">
        <f t="shared" si="17"/>
        <v>0</v>
      </c>
      <c r="W68" t="b">
        <f t="shared" si="18"/>
        <v>0</v>
      </c>
      <c r="X68" t="b">
        <f t="shared" si="19"/>
        <v>0</v>
      </c>
      <c r="Y68" t="b">
        <f t="shared" si="20"/>
        <v>0</v>
      </c>
      <c r="Z68" t="b">
        <f t="shared" si="21"/>
        <v>0</v>
      </c>
      <c r="AA68" t="b">
        <f t="shared" si="22"/>
        <v>0</v>
      </c>
      <c r="AB68" t="b">
        <f t="shared" si="23"/>
        <v>0</v>
      </c>
      <c r="AC68" t="b">
        <f t="shared" si="24"/>
        <v>0</v>
      </c>
      <c r="AD68" t="b">
        <f t="shared" si="25"/>
        <v>0</v>
      </c>
      <c r="AE68" t="b">
        <f t="shared" si="26"/>
        <v>0</v>
      </c>
    </row>
    <row r="69" spans="1:31" x14ac:dyDescent="0.2">
      <c r="A69" s="24"/>
      <c r="B69" s="24"/>
      <c r="C69" s="24"/>
      <c r="D69" s="188" t="s">
        <v>200</v>
      </c>
      <c r="E69" s="65"/>
      <c r="F69" s="74">
        <f>F68/F61</f>
        <v>-6.5781881130986722E-2</v>
      </c>
      <c r="G69" s="74">
        <f>G68/G61</f>
        <v>-6.8718255153869146E-2</v>
      </c>
      <c r="H69" s="74">
        <f>H68/H61</f>
        <v>-0.10923076923076926</v>
      </c>
      <c r="I69" s="74">
        <f>I68/I61</f>
        <v>-8.8653555219364605E-2</v>
      </c>
      <c r="J69" s="74">
        <f>J68/J61</f>
        <v>-7.7266922094508292E-2</v>
      </c>
      <c r="K69" s="74">
        <f>AVERAGE($H$69:$J$69)</f>
        <v>-9.1717082181547394E-2</v>
      </c>
      <c r="L69" s="74">
        <f t="shared" ref="L69:O69" si="36">AVERAGE($H$69:$J$69)</f>
        <v>-9.1717082181547394E-2</v>
      </c>
      <c r="M69" s="74">
        <f t="shared" si="36"/>
        <v>-9.1717082181547394E-2</v>
      </c>
      <c r="N69" s="74">
        <f t="shared" si="36"/>
        <v>-9.1717082181547394E-2</v>
      </c>
      <c r="O69" s="74">
        <f t="shared" si="36"/>
        <v>-9.1717082181547394E-2</v>
      </c>
      <c r="Q69" t="s">
        <v>197</v>
      </c>
      <c r="V69" t="b">
        <f t="shared" si="17"/>
        <v>0</v>
      </c>
      <c r="W69" t="b">
        <f t="shared" si="18"/>
        <v>0</v>
      </c>
      <c r="X69" t="b">
        <f t="shared" si="19"/>
        <v>0</v>
      </c>
      <c r="Y69" t="b">
        <f t="shared" si="20"/>
        <v>0</v>
      </c>
      <c r="Z69" t="b">
        <f t="shared" si="21"/>
        <v>0</v>
      </c>
      <c r="AA69" t="b">
        <f t="shared" si="22"/>
        <v>0</v>
      </c>
      <c r="AB69" t="b">
        <f t="shared" si="23"/>
        <v>0</v>
      </c>
      <c r="AC69" t="b">
        <f t="shared" si="24"/>
        <v>0</v>
      </c>
      <c r="AD69" t="b">
        <f t="shared" si="25"/>
        <v>0</v>
      </c>
      <c r="AE69" t="b">
        <f t="shared" si="26"/>
        <v>0</v>
      </c>
    </row>
    <row r="70" spans="1:31" x14ac:dyDescent="0.2">
      <c r="A70" s="24"/>
      <c r="B70" s="24"/>
      <c r="C70" s="24"/>
      <c r="D70" s="173" t="s">
        <v>201</v>
      </c>
      <c r="E70" s="65"/>
      <c r="F70" s="200">
        <v>-8</v>
      </c>
      <c r="G70" s="200">
        <v>-8.8000000000000007</v>
      </c>
      <c r="H70" s="200">
        <v>0</v>
      </c>
      <c r="I70" s="200">
        <v>0</v>
      </c>
      <c r="J70" s="200">
        <v>0</v>
      </c>
      <c r="K70" s="120">
        <v>0</v>
      </c>
      <c r="L70" s="120">
        <v>0</v>
      </c>
      <c r="M70" s="120">
        <v>0</v>
      </c>
      <c r="N70" s="120">
        <v>0</v>
      </c>
      <c r="O70" s="120">
        <v>0</v>
      </c>
      <c r="Q70" t="s">
        <v>195</v>
      </c>
      <c r="V70" t="b">
        <f t="shared" si="17"/>
        <v>0</v>
      </c>
      <c r="W70" t="b">
        <f t="shared" si="18"/>
        <v>0</v>
      </c>
      <c r="X70" t="b">
        <f t="shared" si="19"/>
        <v>0</v>
      </c>
      <c r="Y70" t="b">
        <f t="shared" si="20"/>
        <v>0</v>
      </c>
      <c r="Z70" t="b">
        <f t="shared" si="21"/>
        <v>0</v>
      </c>
      <c r="AA70" t="b">
        <f t="shared" si="22"/>
        <v>0</v>
      </c>
      <c r="AB70" t="b">
        <f t="shared" si="23"/>
        <v>0</v>
      </c>
      <c r="AC70" t="b">
        <f t="shared" si="24"/>
        <v>0</v>
      </c>
      <c r="AD70" t="b">
        <f t="shared" si="25"/>
        <v>0</v>
      </c>
      <c r="AE70" t="b">
        <f t="shared" si="26"/>
        <v>0</v>
      </c>
    </row>
    <row r="71" spans="1:31" x14ac:dyDescent="0.2">
      <c r="A71" s="24"/>
      <c r="B71" s="24"/>
      <c r="C71" s="24"/>
      <c r="D71" s="186" t="s">
        <v>198</v>
      </c>
      <c r="E71" s="65"/>
      <c r="F71" s="200">
        <v>-1.7</v>
      </c>
      <c r="G71" s="200">
        <v>-0.3</v>
      </c>
      <c r="H71" s="200">
        <v>-1.7</v>
      </c>
      <c r="I71" s="200">
        <v>1</v>
      </c>
      <c r="J71" s="200">
        <v>-0.3</v>
      </c>
      <c r="K71" s="120">
        <v>0</v>
      </c>
      <c r="L71" s="120">
        <v>0</v>
      </c>
      <c r="M71" s="120">
        <v>0</v>
      </c>
      <c r="N71" s="120">
        <v>0</v>
      </c>
      <c r="O71" s="120">
        <v>0</v>
      </c>
      <c r="Q71" t="s">
        <v>195</v>
      </c>
      <c r="V71" t="b">
        <f t="shared" si="17"/>
        <v>0</v>
      </c>
      <c r="W71" t="b">
        <f t="shared" si="18"/>
        <v>0</v>
      </c>
      <c r="X71" t="b">
        <f t="shared" si="19"/>
        <v>0</v>
      </c>
      <c r="Y71" t="b">
        <f t="shared" si="20"/>
        <v>0</v>
      </c>
      <c r="Z71" t="b">
        <f t="shared" si="21"/>
        <v>0</v>
      </c>
      <c r="AA71" t="b">
        <f t="shared" si="22"/>
        <v>0</v>
      </c>
      <c r="AB71" t="b">
        <f t="shared" si="23"/>
        <v>0</v>
      </c>
      <c r="AC71" t="b">
        <f t="shared" si="24"/>
        <v>0</v>
      </c>
      <c r="AD71" t="b">
        <f t="shared" si="25"/>
        <v>0</v>
      </c>
      <c r="AE71" t="b">
        <f t="shared" si="26"/>
        <v>0</v>
      </c>
    </row>
    <row r="72" spans="1:31" x14ac:dyDescent="0.2">
      <c r="A72" s="24"/>
      <c r="B72" s="24"/>
      <c r="C72" s="24"/>
      <c r="D72" s="186"/>
      <c r="E72" s="65"/>
      <c r="F72" s="201"/>
      <c r="G72" s="201"/>
      <c r="H72" s="201"/>
      <c r="I72" s="201"/>
      <c r="J72" s="201"/>
      <c r="K72" s="120"/>
      <c r="L72" s="120"/>
      <c r="M72" s="120"/>
      <c r="N72" s="120"/>
      <c r="O72" s="120"/>
      <c r="V72" t="b">
        <f t="shared" si="17"/>
        <v>0</v>
      </c>
      <c r="W72" t="b">
        <f t="shared" si="18"/>
        <v>0</v>
      </c>
      <c r="X72" t="b">
        <f t="shared" si="19"/>
        <v>0</v>
      </c>
      <c r="Y72" t="b">
        <f t="shared" si="20"/>
        <v>0</v>
      </c>
      <c r="Z72" t="b">
        <f t="shared" si="21"/>
        <v>0</v>
      </c>
      <c r="AA72" t="b">
        <f t="shared" si="22"/>
        <v>0</v>
      </c>
      <c r="AB72" t="b">
        <f t="shared" si="23"/>
        <v>0</v>
      </c>
      <c r="AC72" t="b">
        <f t="shared" si="24"/>
        <v>0</v>
      </c>
      <c r="AD72" t="b">
        <f t="shared" si="25"/>
        <v>0</v>
      </c>
      <c r="AE72" t="b">
        <f t="shared" si="26"/>
        <v>0</v>
      </c>
    </row>
    <row r="73" spans="1:31" x14ac:dyDescent="0.2">
      <c r="A73" s="24"/>
      <c r="B73" s="24"/>
      <c r="C73" s="24"/>
      <c r="D73" s="186" t="s">
        <v>181</v>
      </c>
      <c r="E73" s="65"/>
      <c r="F73" s="201">
        <f>SUM(F61:F62,F65:F66,F68,F70:F71)</f>
        <v>334.7</v>
      </c>
      <c r="G73" s="201">
        <f>SUM(G61:G62,G65:G66,G68,G70:G71)</f>
        <v>324.99999999999994</v>
      </c>
      <c r="H73" s="201">
        <f>SUM(H61:H62,H65:H66,H68,H70:H71)</f>
        <v>330.5</v>
      </c>
      <c r="I73" s="201">
        <f>SUM(I61:I62,I65:I66,I68,I70:I71)</f>
        <v>469.8</v>
      </c>
      <c r="J73" s="201">
        <f>SUM(J61:J62,J65:J66,J68,J70:J71)</f>
        <v>541</v>
      </c>
      <c r="K73" s="201">
        <f>SUM(K61:K62,K65:K66,K68,K70:K71)</f>
        <v>546.95461942323357</v>
      </c>
      <c r="L73" s="201">
        <f>SUM(L61:L62,L65:L66,L68,L70:L71)</f>
        <v>552.97477949799304</v>
      </c>
      <c r="M73" s="201">
        <f>SUM(M61:M62,M65:M66,M68,M70:M71)</f>
        <v>559.06120160992839</v>
      </c>
      <c r="N73" s="201">
        <f>SUM(N61:N62,N65:N66,N68,N70:N71)</f>
        <v>565.21461508475784</v>
      </c>
      <c r="O73" s="201">
        <f>SUM(O61:O62,O65:O66,O68,O70:O71)</f>
        <v>571.43575727566201</v>
      </c>
      <c r="V73" t="b">
        <f t="shared" si="17"/>
        <v>0</v>
      </c>
      <c r="W73" t="b">
        <f t="shared" si="18"/>
        <v>0</v>
      </c>
      <c r="X73" t="b">
        <f t="shared" si="19"/>
        <v>0</v>
      </c>
      <c r="Y73" t="b">
        <f t="shared" si="20"/>
        <v>0</v>
      </c>
      <c r="Z73" t="b">
        <f t="shared" si="21"/>
        <v>0</v>
      </c>
      <c r="AA73" t="b">
        <f t="shared" si="22"/>
        <v>0</v>
      </c>
      <c r="AB73" t="b">
        <f t="shared" si="23"/>
        <v>0</v>
      </c>
      <c r="AC73" t="b">
        <f t="shared" si="24"/>
        <v>0</v>
      </c>
      <c r="AD73" t="b">
        <f t="shared" si="25"/>
        <v>0</v>
      </c>
      <c r="AE73" t="b">
        <f t="shared" si="26"/>
        <v>0</v>
      </c>
    </row>
    <row r="74" spans="1:31" x14ac:dyDescent="0.2">
      <c r="A74" s="24"/>
      <c r="B74" s="24"/>
      <c r="C74" s="24"/>
      <c r="D74" s="24"/>
      <c r="E74" s="65"/>
      <c r="F74" s="25"/>
      <c r="G74" s="25"/>
      <c r="H74" s="25"/>
      <c r="I74" s="25"/>
      <c r="J74" s="25"/>
      <c r="V74" t="b">
        <f t="shared" si="17"/>
        <v>0</v>
      </c>
      <c r="W74" t="b">
        <f t="shared" si="18"/>
        <v>0</v>
      </c>
      <c r="X74" t="b">
        <f t="shared" si="19"/>
        <v>0</v>
      </c>
      <c r="Y74" t="b">
        <f t="shared" si="20"/>
        <v>0</v>
      </c>
      <c r="Z74" t="b">
        <f t="shared" si="21"/>
        <v>0</v>
      </c>
      <c r="AA74" t="b">
        <f t="shared" si="22"/>
        <v>0</v>
      </c>
      <c r="AB74" t="b">
        <f t="shared" si="23"/>
        <v>0</v>
      </c>
      <c r="AC74" t="b">
        <f t="shared" si="24"/>
        <v>0</v>
      </c>
      <c r="AD74" t="b">
        <f t="shared" si="25"/>
        <v>0</v>
      </c>
      <c r="AE74" t="b">
        <f t="shared" si="26"/>
        <v>0</v>
      </c>
    </row>
    <row r="75" spans="1:31" x14ac:dyDescent="0.2">
      <c r="A75" s="24"/>
      <c r="B75" s="24"/>
      <c r="C75" s="24"/>
      <c r="D75" s="161" t="s">
        <v>202</v>
      </c>
      <c r="E75" s="70"/>
      <c r="F75" s="35"/>
      <c r="G75" s="35"/>
      <c r="H75" s="35"/>
      <c r="I75" s="35"/>
      <c r="J75" s="35"/>
      <c r="K75" s="99"/>
      <c r="L75" s="99"/>
      <c r="M75" s="99"/>
      <c r="N75" s="99"/>
      <c r="O75" s="99"/>
      <c r="V75" t="b">
        <f t="shared" si="17"/>
        <v>0</v>
      </c>
      <c r="W75" t="b">
        <f t="shared" si="18"/>
        <v>0</v>
      </c>
      <c r="X75" t="b">
        <f t="shared" si="19"/>
        <v>0</v>
      </c>
      <c r="Y75" t="b">
        <f t="shared" si="20"/>
        <v>0</v>
      </c>
      <c r="Z75" t="b">
        <f t="shared" si="21"/>
        <v>0</v>
      </c>
      <c r="AA75" t="b">
        <f t="shared" si="22"/>
        <v>0</v>
      </c>
      <c r="AB75" t="b">
        <f t="shared" si="23"/>
        <v>0</v>
      </c>
      <c r="AC75" t="b">
        <f t="shared" si="24"/>
        <v>0</v>
      </c>
      <c r="AD75" t="b">
        <f t="shared" si="25"/>
        <v>0</v>
      </c>
      <c r="AE75" t="b">
        <f t="shared" si="26"/>
        <v>0</v>
      </c>
    </row>
    <row r="76" spans="1:31" x14ac:dyDescent="0.2">
      <c r="A76" s="24"/>
      <c r="B76" s="24"/>
      <c r="C76" s="24"/>
      <c r="D76" s="186" t="s">
        <v>180</v>
      </c>
      <c r="E76" s="65"/>
      <c r="F76" s="200">
        <v>0</v>
      </c>
      <c r="G76" s="201">
        <f>F87</f>
        <v>62.1</v>
      </c>
      <c r="H76" s="201">
        <f t="shared" ref="H76" si="37">G87</f>
        <v>26.5</v>
      </c>
      <c r="I76" s="201">
        <f>H87</f>
        <v>23.1</v>
      </c>
      <c r="J76" s="201">
        <f>I87</f>
        <v>18.8</v>
      </c>
      <c r="K76" s="120">
        <f>J87</f>
        <v>19.100000000000001</v>
      </c>
      <c r="L76" s="120">
        <f t="shared" ref="L76:O76" si="38">K87</f>
        <v>19.134161041537183</v>
      </c>
      <c r="M76" s="120">
        <f t="shared" si="38"/>
        <v>19.168383181333994</v>
      </c>
      <c r="N76" s="120">
        <f t="shared" si="38"/>
        <v>19.202666528666882</v>
      </c>
      <c r="O76" s="120">
        <f t="shared" si="38"/>
        <v>19.237011193007746</v>
      </c>
      <c r="V76" t="b">
        <f t="shared" ref="V76:V107" si="39">OR(ROUND(F76,8)=-0.00133017,ROUND(F76-E76,8)=-0.00133017)</f>
        <v>0</v>
      </c>
      <c r="W76" t="b">
        <f t="shared" ref="W76:W107" si="40">OR(ROUND(G76,8)=-0.00133017,ROUND(G76-F76,8)=-0.00133017)</f>
        <v>0</v>
      </c>
      <c r="X76" t="b">
        <f t="shared" ref="X76:X107" si="41">OR(ROUND(H76,8)=-0.00133017,ROUND(H76-G76,8)=-0.00133017)</f>
        <v>0</v>
      </c>
      <c r="Y76" t="b">
        <f t="shared" ref="Y76:Y107" si="42">OR(ROUND(I76,8)=-0.00133017,ROUND(I76-H76,8)=-0.00133017)</f>
        <v>0</v>
      </c>
      <c r="Z76" t="b">
        <f t="shared" ref="Z76:Z107" si="43">OR(ROUND(J76,8)=-0.00133017,ROUND(J76-I76,8)=-0.00133017)</f>
        <v>0</v>
      </c>
      <c r="AA76" t="b">
        <f t="shared" ref="AA76:AA107" si="44">OR(ROUND(K76,8)=-0.00133017,ROUND(K76-J76,8)=-0.00133017)</f>
        <v>0</v>
      </c>
      <c r="AB76" t="b">
        <f t="shared" ref="AB76:AB107" si="45">OR(ROUND(L76,8)=-0.00133017,ROUND(L76-K76,8)=-0.00133017)</f>
        <v>0</v>
      </c>
      <c r="AC76" t="b">
        <f t="shared" ref="AC76:AC107" si="46">OR(ROUND(M76,8)=-0.00133017,ROUND(M76-L76,8)=-0.00133017)</f>
        <v>0</v>
      </c>
      <c r="AD76" t="b">
        <f t="shared" ref="AD76:AD107" si="47">OR(ROUND(N76,8)=-0.00133017,ROUND(N76-M76,8)=-0.00133017)</f>
        <v>0</v>
      </c>
      <c r="AE76" t="b">
        <f t="shared" ref="AE76:AE107" si="48">OR(ROUND(O76,8)=-0.00133017,ROUND(O76-N76,8)=-0.00133017)</f>
        <v>0</v>
      </c>
    </row>
    <row r="77" spans="1:31" x14ac:dyDescent="0.2">
      <c r="A77" s="24"/>
      <c r="B77" s="24"/>
      <c r="C77" s="24"/>
      <c r="D77" s="185" t="s">
        <v>203</v>
      </c>
      <c r="E77" s="65"/>
      <c r="F77" s="200">
        <v>67.900000000000006</v>
      </c>
      <c r="G77" s="200">
        <v>0</v>
      </c>
      <c r="H77" s="200">
        <v>0</v>
      </c>
      <c r="I77" s="200">
        <v>0</v>
      </c>
      <c r="J77" s="200">
        <v>0</v>
      </c>
      <c r="K77" s="120">
        <v>0</v>
      </c>
      <c r="L77" s="120">
        <v>0</v>
      </c>
      <c r="M77" s="120">
        <v>0</v>
      </c>
      <c r="N77" s="120">
        <v>0</v>
      </c>
      <c r="O77" s="120">
        <v>0</v>
      </c>
      <c r="Q77" t="s">
        <v>195</v>
      </c>
      <c r="V77" t="b">
        <f t="shared" si="39"/>
        <v>0</v>
      </c>
      <c r="W77" t="b">
        <f t="shared" si="40"/>
        <v>0</v>
      </c>
      <c r="X77" t="b">
        <f t="shared" si="41"/>
        <v>0</v>
      </c>
      <c r="Y77" t="b">
        <f t="shared" si="42"/>
        <v>0</v>
      </c>
      <c r="Z77" t="b">
        <f t="shared" si="43"/>
        <v>0</v>
      </c>
      <c r="AA77" t="b">
        <f t="shared" si="44"/>
        <v>0</v>
      </c>
      <c r="AB77" t="b">
        <f t="shared" si="45"/>
        <v>0</v>
      </c>
      <c r="AC77" t="b">
        <f t="shared" si="46"/>
        <v>0</v>
      </c>
      <c r="AD77" t="b">
        <f t="shared" si="47"/>
        <v>0</v>
      </c>
      <c r="AE77" t="b">
        <f t="shared" si="48"/>
        <v>0</v>
      </c>
    </row>
    <row r="78" spans="1:31" x14ac:dyDescent="0.2">
      <c r="A78" s="24"/>
      <c r="B78" s="24"/>
      <c r="C78" s="24"/>
      <c r="D78" s="186" t="s">
        <v>166</v>
      </c>
      <c r="E78" s="65"/>
      <c r="F78" s="200">
        <v>1.8</v>
      </c>
      <c r="G78" s="200">
        <v>1</v>
      </c>
      <c r="H78" s="200">
        <v>0.4</v>
      </c>
      <c r="I78" s="200">
        <v>2.2000000000000002</v>
      </c>
      <c r="J78" s="200">
        <v>3.6</v>
      </c>
      <c r="K78" s="120">
        <f>K79*K76</f>
        <v>2.7382472137791289</v>
      </c>
      <c r="L78" s="120">
        <f t="shared" ref="L78:O78" si="49">L79*L76</f>
        <v>2.7431446680623215</v>
      </c>
      <c r="M78" s="120">
        <f t="shared" si="49"/>
        <v>2.7480508816198177</v>
      </c>
      <c r="N78" s="120">
        <f t="shared" si="49"/>
        <v>2.7529658701178965</v>
      </c>
      <c r="O78" s="120">
        <f t="shared" si="49"/>
        <v>2.7578896492508571</v>
      </c>
      <c r="V78" t="b">
        <f t="shared" si="39"/>
        <v>0</v>
      </c>
      <c r="W78" t="b">
        <f t="shared" si="40"/>
        <v>0</v>
      </c>
      <c r="X78" t="b">
        <f t="shared" si="41"/>
        <v>0</v>
      </c>
      <c r="Y78" t="b">
        <f t="shared" si="42"/>
        <v>0</v>
      </c>
      <c r="Z78" t="b">
        <f t="shared" si="43"/>
        <v>0</v>
      </c>
      <c r="AA78" t="b">
        <f t="shared" si="44"/>
        <v>0</v>
      </c>
      <c r="AB78" t="b">
        <f t="shared" si="45"/>
        <v>0</v>
      </c>
      <c r="AC78" t="b">
        <f t="shared" si="46"/>
        <v>0</v>
      </c>
      <c r="AD78" t="b">
        <f t="shared" si="47"/>
        <v>0</v>
      </c>
      <c r="AE78" t="b">
        <f t="shared" si="48"/>
        <v>0</v>
      </c>
    </row>
    <row r="79" spans="1:31" x14ac:dyDescent="0.2">
      <c r="A79" s="24"/>
      <c r="B79" s="24"/>
      <c r="C79" s="24"/>
      <c r="D79" s="183" t="s">
        <v>204</v>
      </c>
      <c r="E79" s="65"/>
      <c r="F79" s="74">
        <f>IFERROR(F78/F76,0)</f>
        <v>0</v>
      </c>
      <c r="G79" s="74">
        <f>G78/G76</f>
        <v>1.610305958132045E-2</v>
      </c>
      <c r="H79" s="74">
        <f>H78/H76</f>
        <v>1.509433962264151E-2</v>
      </c>
      <c r="I79" s="74">
        <f>I78/I76</f>
        <v>9.5238095238095247E-2</v>
      </c>
      <c r="J79" s="74">
        <f>J78/J76</f>
        <v>0.19148936170212766</v>
      </c>
      <c r="K79" s="184">
        <f>AVERAGE($I$79:$J$79)</f>
        <v>0.14336372847011145</v>
      </c>
      <c r="L79" s="184">
        <f t="shared" ref="L79:O79" si="50">AVERAGE($I$79:$J$79)</f>
        <v>0.14336372847011145</v>
      </c>
      <c r="M79" s="184">
        <f t="shared" si="50"/>
        <v>0.14336372847011145</v>
      </c>
      <c r="N79" s="184">
        <f t="shared" si="50"/>
        <v>0.14336372847011145</v>
      </c>
      <c r="O79" s="184">
        <f t="shared" si="50"/>
        <v>0.14336372847011145</v>
      </c>
      <c r="Q79" t="s">
        <v>205</v>
      </c>
      <c r="V79" t="b">
        <f t="shared" si="39"/>
        <v>0</v>
      </c>
      <c r="W79" t="b">
        <f t="shared" si="40"/>
        <v>0</v>
      </c>
      <c r="X79" t="b">
        <f t="shared" si="41"/>
        <v>0</v>
      </c>
      <c r="Y79" t="b">
        <f t="shared" si="42"/>
        <v>0</v>
      </c>
      <c r="Z79" t="b">
        <f t="shared" si="43"/>
        <v>0</v>
      </c>
      <c r="AA79" t="b">
        <f t="shared" si="44"/>
        <v>0</v>
      </c>
      <c r="AB79" t="b">
        <f t="shared" si="45"/>
        <v>0</v>
      </c>
      <c r="AC79" t="b">
        <f t="shared" si="46"/>
        <v>0</v>
      </c>
      <c r="AD79" t="b">
        <f t="shared" si="47"/>
        <v>0</v>
      </c>
      <c r="AE79" t="b">
        <f t="shared" si="48"/>
        <v>0</v>
      </c>
    </row>
    <row r="80" spans="1:31" x14ac:dyDescent="0.2">
      <c r="A80" s="24"/>
      <c r="B80" s="24"/>
      <c r="C80" s="24"/>
      <c r="D80" s="183"/>
      <c r="E80" s="65"/>
      <c r="F80" s="74"/>
      <c r="G80" s="74"/>
      <c r="H80" s="74"/>
      <c r="I80" s="74"/>
      <c r="J80" s="74"/>
      <c r="K80" s="184"/>
      <c r="L80" s="184"/>
      <c r="M80" s="184"/>
      <c r="N80" s="184"/>
      <c r="O80" s="184"/>
      <c r="V80" t="b">
        <f t="shared" si="39"/>
        <v>0</v>
      </c>
      <c r="W80" t="b">
        <f t="shared" si="40"/>
        <v>0</v>
      </c>
      <c r="X80" t="b">
        <f t="shared" si="41"/>
        <v>0</v>
      </c>
      <c r="Y80" t="b">
        <f t="shared" si="42"/>
        <v>0</v>
      </c>
      <c r="Z80" t="b">
        <f t="shared" si="43"/>
        <v>0</v>
      </c>
      <c r="AA80" t="b">
        <f t="shared" si="44"/>
        <v>0</v>
      </c>
      <c r="AB80" t="b">
        <f t="shared" si="45"/>
        <v>0</v>
      </c>
      <c r="AC80" t="b">
        <f t="shared" si="46"/>
        <v>0</v>
      </c>
      <c r="AD80" t="b">
        <f t="shared" si="47"/>
        <v>0</v>
      </c>
      <c r="AE80" t="b">
        <f t="shared" si="48"/>
        <v>0</v>
      </c>
    </row>
    <row r="81" spans="1:31" x14ac:dyDescent="0.2">
      <c r="A81" s="24"/>
      <c r="B81" s="24"/>
      <c r="C81" s="24"/>
      <c r="D81" s="186" t="s">
        <v>60</v>
      </c>
      <c r="E81" s="65"/>
      <c r="F81" s="200">
        <v>-7.5</v>
      </c>
      <c r="G81" s="200">
        <v>-5.3</v>
      </c>
      <c r="H81" s="200">
        <v>-3.4</v>
      </c>
      <c r="I81" s="200">
        <v>-3.6</v>
      </c>
      <c r="J81" s="200">
        <v>-3.7</v>
      </c>
      <c r="K81" s="120">
        <f>K82*K76</f>
        <v>-2.7040861722419458</v>
      </c>
      <c r="L81" s="120">
        <f t="shared" ref="L81:O81" si="51">L82*L76</f>
        <v>-2.7089225282655103</v>
      </c>
      <c r="M81" s="120">
        <f t="shared" si="51"/>
        <v>-2.7137675342869283</v>
      </c>
      <c r="N81" s="120">
        <f t="shared" si="51"/>
        <v>-2.7186212057770347</v>
      </c>
      <c r="O81" s="120">
        <f t="shared" si="51"/>
        <v>-2.7234835582343342</v>
      </c>
      <c r="V81" t="b">
        <f t="shared" si="39"/>
        <v>0</v>
      </c>
      <c r="W81" t="b">
        <f t="shared" si="40"/>
        <v>0</v>
      </c>
      <c r="X81" t="b">
        <f t="shared" si="41"/>
        <v>0</v>
      </c>
      <c r="Y81" t="b">
        <f t="shared" si="42"/>
        <v>0</v>
      </c>
      <c r="Z81" t="b">
        <f t="shared" si="43"/>
        <v>0</v>
      </c>
      <c r="AA81" t="b">
        <f t="shared" si="44"/>
        <v>0</v>
      </c>
      <c r="AB81" t="b">
        <f t="shared" si="45"/>
        <v>0</v>
      </c>
      <c r="AC81" t="b">
        <f t="shared" si="46"/>
        <v>0</v>
      </c>
      <c r="AD81" t="b">
        <f t="shared" si="47"/>
        <v>0</v>
      </c>
      <c r="AE81" t="b">
        <f t="shared" si="48"/>
        <v>0</v>
      </c>
    </row>
    <row r="82" spans="1:31" x14ac:dyDescent="0.2">
      <c r="A82" s="24"/>
      <c r="B82" s="24"/>
      <c r="C82" s="24"/>
      <c r="D82" s="183" t="s">
        <v>204</v>
      </c>
      <c r="E82" s="65"/>
      <c r="F82" s="74">
        <f>IFERROR(F81/F76,0)</f>
        <v>0</v>
      </c>
      <c r="G82" s="74">
        <f t="shared" ref="G82:J82" si="52">IFERROR(G81/G76,0)</f>
        <v>-8.534621578099838E-2</v>
      </c>
      <c r="H82" s="74">
        <f t="shared" si="52"/>
        <v>-0.12830188679245283</v>
      </c>
      <c r="I82" s="74">
        <f t="shared" si="52"/>
        <v>-0.15584415584415584</v>
      </c>
      <c r="J82" s="74">
        <f t="shared" si="52"/>
        <v>-0.19680851063829788</v>
      </c>
      <c r="K82" s="74">
        <f>AVERAGE($G$82:$J$82)</f>
        <v>-0.14157519226397622</v>
      </c>
      <c r="L82" s="74">
        <f t="shared" ref="L82:O82" si="53">AVERAGE($G$82:$J$82)</f>
        <v>-0.14157519226397622</v>
      </c>
      <c r="M82" s="74">
        <f t="shared" si="53"/>
        <v>-0.14157519226397622</v>
      </c>
      <c r="N82" s="74">
        <f t="shared" si="53"/>
        <v>-0.14157519226397622</v>
      </c>
      <c r="O82" s="74">
        <f t="shared" si="53"/>
        <v>-0.14157519226397622</v>
      </c>
      <c r="Q82" t="s">
        <v>206</v>
      </c>
      <c r="V82" t="b">
        <f t="shared" si="39"/>
        <v>0</v>
      </c>
      <c r="W82" t="b">
        <f t="shared" si="40"/>
        <v>0</v>
      </c>
      <c r="X82" t="b">
        <f t="shared" si="41"/>
        <v>0</v>
      </c>
      <c r="Y82" t="b">
        <f t="shared" si="42"/>
        <v>0</v>
      </c>
      <c r="Z82" t="b">
        <f t="shared" si="43"/>
        <v>0</v>
      </c>
      <c r="AA82" t="b">
        <f t="shared" si="44"/>
        <v>0</v>
      </c>
      <c r="AB82" t="b">
        <f t="shared" si="45"/>
        <v>0</v>
      </c>
      <c r="AC82" t="b">
        <f t="shared" si="46"/>
        <v>0</v>
      </c>
      <c r="AD82" t="b">
        <f t="shared" si="47"/>
        <v>0</v>
      </c>
      <c r="AE82" t="b">
        <f t="shared" si="48"/>
        <v>0</v>
      </c>
    </row>
    <row r="83" spans="1:31" x14ac:dyDescent="0.2">
      <c r="A83" s="24"/>
      <c r="B83" s="24"/>
      <c r="C83" s="24"/>
      <c r="D83" s="183"/>
      <c r="E83" s="65"/>
      <c r="F83" s="207"/>
      <c r="G83" s="207"/>
      <c r="H83" s="207"/>
      <c r="I83" s="207"/>
      <c r="J83" s="207"/>
      <c r="K83" s="207"/>
      <c r="L83" s="207"/>
      <c r="M83" s="207"/>
      <c r="N83" s="207"/>
      <c r="O83" s="207"/>
      <c r="V83" t="b">
        <f t="shared" si="39"/>
        <v>0</v>
      </c>
      <c r="W83" t="b">
        <f t="shared" si="40"/>
        <v>0</v>
      </c>
      <c r="X83" t="b">
        <f t="shared" si="41"/>
        <v>0</v>
      </c>
      <c r="Y83" t="b">
        <f t="shared" si="42"/>
        <v>0</v>
      </c>
      <c r="Z83" t="b">
        <f t="shared" si="43"/>
        <v>0</v>
      </c>
      <c r="AA83" t="b">
        <f t="shared" si="44"/>
        <v>0</v>
      </c>
      <c r="AB83" t="b">
        <f t="shared" si="45"/>
        <v>0</v>
      </c>
      <c r="AC83" t="b">
        <f t="shared" si="46"/>
        <v>0</v>
      </c>
      <c r="AD83" t="b">
        <f t="shared" si="47"/>
        <v>0</v>
      </c>
      <c r="AE83" t="b">
        <f t="shared" si="48"/>
        <v>0</v>
      </c>
    </row>
    <row r="84" spans="1:31" x14ac:dyDescent="0.2">
      <c r="A84" s="24"/>
      <c r="B84" s="24"/>
      <c r="C84" s="24"/>
      <c r="D84" s="173" t="s">
        <v>207</v>
      </c>
      <c r="E84" s="65"/>
      <c r="F84" s="200">
        <v>-0.3</v>
      </c>
      <c r="G84" s="200">
        <v>0</v>
      </c>
      <c r="H84" s="200">
        <v>0</v>
      </c>
      <c r="I84" s="200">
        <v>0</v>
      </c>
      <c r="J84" s="200">
        <v>0</v>
      </c>
      <c r="K84" s="120">
        <v>0</v>
      </c>
      <c r="L84" s="120">
        <v>0</v>
      </c>
      <c r="M84" s="120">
        <v>0</v>
      </c>
      <c r="N84" s="120">
        <v>0</v>
      </c>
      <c r="O84" s="120">
        <v>0</v>
      </c>
      <c r="Q84" t="s">
        <v>195</v>
      </c>
      <c r="V84" t="b">
        <f t="shared" si="39"/>
        <v>0</v>
      </c>
      <c r="W84" t="b">
        <f t="shared" si="40"/>
        <v>0</v>
      </c>
      <c r="X84" t="b">
        <f t="shared" si="41"/>
        <v>0</v>
      </c>
      <c r="Y84" t="b">
        <f t="shared" si="42"/>
        <v>0</v>
      </c>
      <c r="Z84" t="b">
        <f t="shared" si="43"/>
        <v>0</v>
      </c>
      <c r="AA84" t="b">
        <f t="shared" si="44"/>
        <v>0</v>
      </c>
      <c r="AB84" t="b">
        <f t="shared" si="45"/>
        <v>0</v>
      </c>
      <c r="AC84" t="b">
        <f t="shared" si="46"/>
        <v>0</v>
      </c>
      <c r="AD84" t="b">
        <f t="shared" si="47"/>
        <v>0</v>
      </c>
      <c r="AE84" t="b">
        <f t="shared" si="48"/>
        <v>0</v>
      </c>
    </row>
    <row r="85" spans="1:31" x14ac:dyDescent="0.2">
      <c r="A85" s="24"/>
      <c r="B85" s="24"/>
      <c r="C85" s="24"/>
      <c r="D85" s="186" t="s">
        <v>198</v>
      </c>
      <c r="E85" s="65"/>
      <c r="F85" s="200">
        <v>0.2</v>
      </c>
      <c r="G85" s="200">
        <f>G76+SUM(G77:G78,G81)-G87</f>
        <v>31.300000000000004</v>
      </c>
      <c r="H85" s="200">
        <f>H76+SUM(H78,H81)-H87</f>
        <v>0.39999999999999858</v>
      </c>
      <c r="I85" s="200">
        <f>I76+SUM(I78,I81)-I87</f>
        <v>2.9000000000000021</v>
      </c>
      <c r="J85" s="200">
        <f>J76+SUM(J78,J81)-J87</f>
        <v>-0.40000000000000213</v>
      </c>
      <c r="K85" s="120">
        <v>0</v>
      </c>
      <c r="L85" s="120">
        <v>0</v>
      </c>
      <c r="M85" s="120">
        <v>0</v>
      </c>
      <c r="N85" s="120">
        <v>0</v>
      </c>
      <c r="O85" s="120">
        <v>0</v>
      </c>
      <c r="Q85" t="s">
        <v>195</v>
      </c>
      <c r="V85" t="b">
        <f t="shared" si="39"/>
        <v>0</v>
      </c>
      <c r="W85" t="b">
        <f t="shared" si="40"/>
        <v>0</v>
      </c>
      <c r="X85" t="b">
        <f t="shared" si="41"/>
        <v>0</v>
      </c>
      <c r="Y85" t="b">
        <f t="shared" si="42"/>
        <v>0</v>
      </c>
      <c r="Z85" t="b">
        <f t="shared" si="43"/>
        <v>0</v>
      </c>
      <c r="AA85" t="b">
        <f t="shared" si="44"/>
        <v>0</v>
      </c>
      <c r="AB85" t="b">
        <f t="shared" si="45"/>
        <v>0</v>
      </c>
      <c r="AC85" t="b">
        <f t="shared" si="46"/>
        <v>0</v>
      </c>
      <c r="AD85" t="b">
        <f t="shared" si="47"/>
        <v>0</v>
      </c>
      <c r="AE85" t="b">
        <f t="shared" si="48"/>
        <v>0</v>
      </c>
    </row>
    <row r="86" spans="1:31" x14ac:dyDescent="0.2">
      <c r="A86" s="24"/>
      <c r="B86" s="24"/>
      <c r="C86" s="24"/>
      <c r="D86" s="186"/>
      <c r="E86" s="65"/>
      <c r="F86" s="201"/>
      <c r="H86" s="201"/>
      <c r="I86" s="201"/>
      <c r="J86" s="201"/>
      <c r="V86" t="b">
        <f t="shared" si="39"/>
        <v>0</v>
      </c>
      <c r="W86" t="b">
        <f t="shared" si="40"/>
        <v>0</v>
      </c>
      <c r="X86" t="b">
        <f t="shared" si="41"/>
        <v>0</v>
      </c>
      <c r="Y86" t="b">
        <f t="shared" si="42"/>
        <v>0</v>
      </c>
      <c r="Z86" t="b">
        <f t="shared" si="43"/>
        <v>0</v>
      </c>
      <c r="AA86" t="b">
        <f t="shared" si="44"/>
        <v>0</v>
      </c>
      <c r="AB86" t="b">
        <f t="shared" si="45"/>
        <v>0</v>
      </c>
      <c r="AC86" t="b">
        <f t="shared" si="46"/>
        <v>0</v>
      </c>
      <c r="AD86" t="b">
        <f t="shared" si="47"/>
        <v>0</v>
      </c>
      <c r="AE86" t="b">
        <f t="shared" si="48"/>
        <v>0</v>
      </c>
    </row>
    <row r="87" spans="1:31" x14ac:dyDescent="0.2">
      <c r="A87" s="24"/>
      <c r="B87" s="24"/>
      <c r="C87" s="24"/>
      <c r="D87" s="186" t="s">
        <v>181</v>
      </c>
      <c r="E87" s="65"/>
      <c r="F87" s="201">
        <f>FSM!F103</f>
        <v>62.1</v>
      </c>
      <c r="G87" s="201">
        <f>FSM!G103</f>
        <v>26.5</v>
      </c>
      <c r="H87" s="201">
        <f>FSM!H103</f>
        <v>23.1</v>
      </c>
      <c r="I87" s="201">
        <f>FSM!I103</f>
        <v>18.8</v>
      </c>
      <c r="J87" s="201">
        <f>FSM!J103</f>
        <v>19.100000000000001</v>
      </c>
      <c r="K87" s="120">
        <f>SUM(K76:K78,K81,K85)</f>
        <v>19.134161041537183</v>
      </c>
      <c r="L87" s="120">
        <f t="shared" ref="L87:O87" si="54">SUM(L76:L78,L81,L85)</f>
        <v>19.168383181333994</v>
      </c>
      <c r="M87" s="120">
        <f t="shared" si="54"/>
        <v>19.202666528666882</v>
      </c>
      <c r="N87" s="120">
        <f t="shared" si="54"/>
        <v>19.237011193007746</v>
      </c>
      <c r="O87" s="120">
        <f t="shared" si="54"/>
        <v>19.271417284024267</v>
      </c>
      <c r="V87" t="b">
        <f t="shared" si="39"/>
        <v>0</v>
      </c>
      <c r="W87" t="b">
        <f t="shared" si="40"/>
        <v>0</v>
      </c>
      <c r="X87" t="b">
        <f t="shared" si="41"/>
        <v>0</v>
      </c>
      <c r="Y87" t="b">
        <f t="shared" si="42"/>
        <v>0</v>
      </c>
      <c r="Z87" t="b">
        <f t="shared" si="43"/>
        <v>0</v>
      </c>
      <c r="AA87" t="b">
        <f t="shared" si="44"/>
        <v>0</v>
      </c>
      <c r="AB87" t="b">
        <f t="shared" si="45"/>
        <v>0</v>
      </c>
      <c r="AC87" t="b">
        <f t="shared" si="46"/>
        <v>0</v>
      </c>
      <c r="AD87" t="b">
        <f t="shared" si="47"/>
        <v>0</v>
      </c>
      <c r="AE87" t="b">
        <f t="shared" si="48"/>
        <v>0</v>
      </c>
    </row>
    <row r="88" spans="1:31" x14ac:dyDescent="0.2">
      <c r="A88" s="24"/>
      <c r="B88" s="24"/>
      <c r="C88" s="24"/>
      <c r="D88" s="24"/>
      <c r="E88" s="65"/>
      <c r="F88" s="25"/>
      <c r="G88" s="25"/>
      <c r="H88" s="25"/>
      <c r="I88" s="25"/>
      <c r="J88" s="25"/>
      <c r="V88" t="b">
        <f t="shared" si="39"/>
        <v>0</v>
      </c>
      <c r="W88" t="b">
        <f t="shared" si="40"/>
        <v>0</v>
      </c>
      <c r="X88" t="b">
        <f t="shared" si="41"/>
        <v>0</v>
      </c>
      <c r="Y88" t="b">
        <f t="shared" si="42"/>
        <v>0</v>
      </c>
      <c r="Z88" t="b">
        <f t="shared" si="43"/>
        <v>0</v>
      </c>
      <c r="AA88" t="b">
        <f t="shared" si="44"/>
        <v>0</v>
      </c>
      <c r="AB88" t="b">
        <f t="shared" si="45"/>
        <v>0</v>
      </c>
      <c r="AC88" t="b">
        <f t="shared" si="46"/>
        <v>0</v>
      </c>
      <c r="AD88" t="b">
        <f t="shared" si="47"/>
        <v>0</v>
      </c>
      <c r="AE88" t="b">
        <f t="shared" si="48"/>
        <v>0</v>
      </c>
    </row>
    <row r="89" spans="1:31" x14ac:dyDescent="0.2">
      <c r="A89" s="24"/>
      <c r="B89" s="24"/>
      <c r="C89" s="24"/>
      <c r="D89" s="155" t="s">
        <v>208</v>
      </c>
      <c r="E89" s="76"/>
      <c r="F89" s="83"/>
      <c r="G89" s="83"/>
      <c r="H89" s="83"/>
      <c r="I89" s="83"/>
      <c r="J89" s="83"/>
      <c r="K89" s="83"/>
      <c r="L89" s="83"/>
      <c r="M89" s="99"/>
      <c r="N89" s="99"/>
      <c r="O89" s="99"/>
      <c r="V89" t="b">
        <f t="shared" si="39"/>
        <v>0</v>
      </c>
      <c r="W89" t="b">
        <f t="shared" si="40"/>
        <v>0</v>
      </c>
      <c r="X89" t="b">
        <f t="shared" si="41"/>
        <v>0</v>
      </c>
      <c r="Y89" t="b">
        <f t="shared" si="42"/>
        <v>0</v>
      </c>
      <c r="Z89" t="b">
        <f t="shared" si="43"/>
        <v>0</v>
      </c>
      <c r="AA89" t="b">
        <f t="shared" si="44"/>
        <v>0</v>
      </c>
      <c r="AB89" t="b">
        <f t="shared" si="45"/>
        <v>0</v>
      </c>
      <c r="AC89" t="b">
        <f t="shared" si="46"/>
        <v>0</v>
      </c>
      <c r="AD89" t="b">
        <f t="shared" si="47"/>
        <v>0</v>
      </c>
      <c r="AE89" t="b">
        <f t="shared" si="48"/>
        <v>0</v>
      </c>
    </row>
    <row r="90" spans="1:31" x14ac:dyDescent="0.2">
      <c r="A90" s="24"/>
      <c r="B90" s="24"/>
      <c r="C90" s="24"/>
      <c r="D90" s="186" t="s">
        <v>209</v>
      </c>
      <c r="E90" s="65"/>
      <c r="F90" s="201">
        <f>F48</f>
        <v>2.2999999999999998</v>
      </c>
      <c r="G90" s="201">
        <f>G48</f>
        <v>1.1000000000000001</v>
      </c>
      <c r="H90" s="201">
        <f>H48</f>
        <v>1.8</v>
      </c>
      <c r="I90" s="201">
        <f>I48</f>
        <v>8.1</v>
      </c>
      <c r="J90" s="201">
        <f>J48</f>
        <v>2.5</v>
      </c>
      <c r="K90" s="201">
        <f>K48</f>
        <v>1.9616893661801227</v>
      </c>
      <c r="L90" s="201">
        <f>L48</f>
        <v>1.6562866003463608</v>
      </c>
      <c r="M90" s="201">
        <f>M48</f>
        <v>1.3984300214812992</v>
      </c>
      <c r="N90" s="201">
        <f>N48</f>
        <v>1.1807174703769461</v>
      </c>
      <c r="O90" s="201">
        <f>O48</f>
        <v>0.99689918225341645</v>
      </c>
      <c r="V90" t="b">
        <f t="shared" si="39"/>
        <v>0</v>
      </c>
      <c r="W90" t="b">
        <f t="shared" si="40"/>
        <v>0</v>
      </c>
      <c r="X90" t="b">
        <f t="shared" si="41"/>
        <v>0</v>
      </c>
      <c r="Y90" t="b">
        <f t="shared" si="42"/>
        <v>0</v>
      </c>
      <c r="Z90" t="b">
        <f t="shared" si="43"/>
        <v>0</v>
      </c>
      <c r="AA90" t="b">
        <f t="shared" si="44"/>
        <v>0</v>
      </c>
      <c r="AB90" t="b">
        <f t="shared" si="45"/>
        <v>0</v>
      </c>
      <c r="AC90" t="b">
        <f t="shared" si="46"/>
        <v>0</v>
      </c>
      <c r="AD90" t="b">
        <f t="shared" si="47"/>
        <v>0</v>
      </c>
      <c r="AE90" t="b">
        <f t="shared" si="48"/>
        <v>0</v>
      </c>
    </row>
    <row r="91" spans="1:31" x14ac:dyDescent="0.2">
      <c r="A91" s="24"/>
      <c r="B91" s="24"/>
      <c r="C91" s="24"/>
      <c r="D91" s="186" t="s">
        <v>210</v>
      </c>
      <c r="E91" s="24"/>
      <c r="F91" s="201">
        <f>F62</f>
        <v>20.7</v>
      </c>
      <c r="G91" s="201">
        <f>G62</f>
        <v>22.5</v>
      </c>
      <c r="H91" s="201">
        <f>H62</f>
        <v>24.8</v>
      </c>
      <c r="I91" s="201">
        <f>I62</f>
        <v>44.2</v>
      </c>
      <c r="J91" s="201">
        <f>J62</f>
        <v>46.1</v>
      </c>
      <c r="K91" s="201">
        <f>K62</f>
        <v>55.573560883450646</v>
      </c>
      <c r="L91" s="201">
        <f>L62</f>
        <v>56.185241853977168</v>
      </c>
      <c r="M91" s="201">
        <f>M62</f>
        <v>56.803655407475809</v>
      </c>
      <c r="N91" s="201">
        <f>N62</f>
        <v>57.42887564740191</v>
      </c>
      <c r="O91" s="201">
        <f>O62</f>
        <v>58.060977492844572</v>
      </c>
      <c r="V91" t="b">
        <f t="shared" si="39"/>
        <v>0</v>
      </c>
      <c r="W91" t="b">
        <f t="shared" si="40"/>
        <v>0</v>
      </c>
      <c r="X91" t="b">
        <f t="shared" si="41"/>
        <v>0</v>
      </c>
      <c r="Y91" t="b">
        <f t="shared" si="42"/>
        <v>0</v>
      </c>
      <c r="Z91" t="b">
        <f t="shared" si="43"/>
        <v>0</v>
      </c>
      <c r="AA91" t="b">
        <f t="shared" si="44"/>
        <v>0</v>
      </c>
      <c r="AB91" t="b">
        <f t="shared" si="45"/>
        <v>0</v>
      </c>
      <c r="AC91" t="b">
        <f t="shared" si="46"/>
        <v>0</v>
      </c>
      <c r="AD91" t="b">
        <f t="shared" si="47"/>
        <v>0</v>
      </c>
      <c r="AE91" t="b">
        <f t="shared" si="48"/>
        <v>0</v>
      </c>
    </row>
    <row r="92" spans="1:31" x14ac:dyDescent="0.2">
      <c r="A92" s="24"/>
      <c r="B92" s="24"/>
      <c r="C92" s="24"/>
      <c r="D92" s="186" t="s">
        <v>211</v>
      </c>
      <c r="E92" s="65"/>
      <c r="F92" s="201">
        <f t="shared" ref="F92:O92" si="55">F78</f>
        <v>1.8</v>
      </c>
      <c r="G92" s="201">
        <f t="shared" si="55"/>
        <v>1</v>
      </c>
      <c r="H92" s="201">
        <f t="shared" si="55"/>
        <v>0.4</v>
      </c>
      <c r="I92" s="201">
        <f t="shared" si="55"/>
        <v>2.2000000000000002</v>
      </c>
      <c r="J92" s="201">
        <f t="shared" si="55"/>
        <v>3.6</v>
      </c>
      <c r="K92" s="201">
        <f t="shared" si="55"/>
        <v>2.7382472137791289</v>
      </c>
      <c r="L92" s="201">
        <f t="shared" si="55"/>
        <v>2.7431446680623215</v>
      </c>
      <c r="M92" s="201">
        <f t="shared" si="55"/>
        <v>2.7480508816198177</v>
      </c>
      <c r="N92" s="201">
        <f t="shared" si="55"/>
        <v>2.7529658701178965</v>
      </c>
      <c r="O92" s="201">
        <f t="shared" si="55"/>
        <v>2.7578896492508571</v>
      </c>
      <c r="V92" t="b">
        <f t="shared" si="39"/>
        <v>0</v>
      </c>
      <c r="W92" t="b">
        <f t="shared" si="40"/>
        <v>0</v>
      </c>
      <c r="X92" t="b">
        <f t="shared" si="41"/>
        <v>0</v>
      </c>
      <c r="Y92" t="b">
        <f t="shared" si="42"/>
        <v>0</v>
      </c>
      <c r="Z92" t="b">
        <f t="shared" si="43"/>
        <v>0</v>
      </c>
      <c r="AA92" t="b">
        <f t="shared" si="44"/>
        <v>0</v>
      </c>
      <c r="AB92" t="b">
        <f t="shared" si="45"/>
        <v>0</v>
      </c>
      <c r="AC92" t="b">
        <f t="shared" si="46"/>
        <v>0</v>
      </c>
      <c r="AD92" t="b">
        <f t="shared" si="47"/>
        <v>0</v>
      </c>
      <c r="AE92" t="b">
        <f t="shared" si="48"/>
        <v>0</v>
      </c>
    </row>
    <row r="93" spans="1:31" x14ac:dyDescent="0.2">
      <c r="A93" s="24"/>
      <c r="B93" s="24"/>
      <c r="C93" s="24"/>
      <c r="D93" s="191" t="s">
        <v>208</v>
      </c>
      <c r="E93" s="65"/>
      <c r="F93" s="205">
        <f>SUM(F90:F92)</f>
        <v>24.8</v>
      </c>
      <c r="G93" s="205">
        <f t="shared" ref="G93:O93" si="56">SUM(G90:G92)</f>
        <v>24.6</v>
      </c>
      <c r="H93" s="205">
        <f t="shared" si="56"/>
        <v>27</v>
      </c>
      <c r="I93" s="205">
        <f t="shared" si="56"/>
        <v>54.500000000000007</v>
      </c>
      <c r="J93" s="205">
        <f t="shared" si="56"/>
        <v>52.2</v>
      </c>
      <c r="K93" s="205">
        <f>SUM(K90:K92)</f>
        <v>60.273497463409896</v>
      </c>
      <c r="L93" s="205">
        <f t="shared" si="56"/>
        <v>60.584673122385851</v>
      </c>
      <c r="M93" s="205">
        <f t="shared" si="56"/>
        <v>60.950136310576923</v>
      </c>
      <c r="N93" s="205">
        <f t="shared" si="56"/>
        <v>61.362558987896755</v>
      </c>
      <c r="O93" s="205">
        <f t="shared" si="56"/>
        <v>61.815766324348843</v>
      </c>
      <c r="V93" t="b">
        <f t="shared" si="39"/>
        <v>0</v>
      </c>
      <c r="W93" t="b">
        <f t="shared" si="40"/>
        <v>0</v>
      </c>
      <c r="X93" t="b">
        <f t="shared" si="41"/>
        <v>0</v>
      </c>
      <c r="Y93" t="b">
        <f t="shared" si="42"/>
        <v>0</v>
      </c>
      <c r="Z93" t="b">
        <f t="shared" si="43"/>
        <v>0</v>
      </c>
      <c r="AA93" t="b">
        <f t="shared" si="44"/>
        <v>0</v>
      </c>
      <c r="AB93" t="b">
        <f t="shared" si="45"/>
        <v>0</v>
      </c>
      <c r="AC93" t="b">
        <f t="shared" si="46"/>
        <v>0</v>
      </c>
      <c r="AD93" t="b">
        <f t="shared" si="47"/>
        <v>0</v>
      </c>
      <c r="AE93" t="b">
        <f t="shared" si="48"/>
        <v>0</v>
      </c>
    </row>
    <row r="94" spans="1:31" x14ac:dyDescent="0.2">
      <c r="A94" s="24"/>
      <c r="B94" s="24"/>
      <c r="C94" s="24"/>
      <c r="D94" s="23"/>
      <c r="E94" s="65"/>
      <c r="F94" s="205"/>
      <c r="G94" s="205"/>
      <c r="H94" s="205"/>
      <c r="I94" s="205"/>
      <c r="J94" s="205"/>
      <c r="K94" s="205"/>
      <c r="L94" s="205"/>
      <c r="M94" s="120"/>
      <c r="N94" s="120"/>
      <c r="O94" s="120"/>
      <c r="V94" t="b">
        <f t="shared" si="39"/>
        <v>0</v>
      </c>
      <c r="W94" t="b">
        <f t="shared" si="40"/>
        <v>0</v>
      </c>
      <c r="X94" t="b">
        <f t="shared" si="41"/>
        <v>0</v>
      </c>
      <c r="Y94" t="b">
        <f t="shared" si="42"/>
        <v>0</v>
      </c>
      <c r="Z94" t="b">
        <f t="shared" si="43"/>
        <v>0</v>
      </c>
      <c r="AA94" t="b">
        <f t="shared" si="44"/>
        <v>0</v>
      </c>
      <c r="AB94" t="b">
        <f t="shared" si="45"/>
        <v>0</v>
      </c>
      <c r="AC94" t="b">
        <f t="shared" si="46"/>
        <v>0</v>
      </c>
      <c r="AD94" t="b">
        <f t="shared" si="47"/>
        <v>0</v>
      </c>
      <c r="AE94" t="b">
        <f t="shared" si="48"/>
        <v>0</v>
      </c>
    </row>
    <row r="95" spans="1:31" x14ac:dyDescent="0.2">
      <c r="A95" s="24"/>
      <c r="B95" s="24"/>
      <c r="C95" s="24"/>
      <c r="D95" s="155" t="s">
        <v>212</v>
      </c>
      <c r="E95" s="76"/>
      <c r="F95" s="206"/>
      <c r="G95" s="206"/>
      <c r="H95" s="206"/>
      <c r="I95" s="206"/>
      <c r="J95" s="206"/>
      <c r="K95" s="206"/>
      <c r="L95" s="206"/>
      <c r="M95" s="196"/>
      <c r="N95" s="196"/>
      <c r="O95" s="196"/>
      <c r="V95" t="b">
        <f t="shared" si="39"/>
        <v>0</v>
      </c>
      <c r="W95" t="b">
        <f t="shared" si="40"/>
        <v>0</v>
      </c>
      <c r="X95" t="b">
        <f t="shared" si="41"/>
        <v>0</v>
      </c>
      <c r="Y95" t="b">
        <f t="shared" si="42"/>
        <v>0</v>
      </c>
      <c r="Z95" t="b">
        <f t="shared" si="43"/>
        <v>0</v>
      </c>
      <c r="AA95" t="b">
        <f t="shared" si="44"/>
        <v>0</v>
      </c>
      <c r="AB95" t="b">
        <f t="shared" si="45"/>
        <v>0</v>
      </c>
      <c r="AC95" t="b">
        <f t="shared" si="46"/>
        <v>0</v>
      </c>
      <c r="AD95" t="b">
        <f t="shared" si="47"/>
        <v>0</v>
      </c>
      <c r="AE95" t="b">
        <f t="shared" si="48"/>
        <v>0</v>
      </c>
    </row>
    <row r="96" spans="1:31" x14ac:dyDescent="0.2">
      <c r="A96" s="24"/>
      <c r="B96" s="24"/>
      <c r="C96" s="24"/>
      <c r="D96" s="186" t="s">
        <v>213</v>
      </c>
      <c r="E96" s="65"/>
      <c r="F96" s="201">
        <f>F54</f>
        <v>-4.0999999999999996</v>
      </c>
      <c r="G96" s="201">
        <f>G54</f>
        <v>-3.7</v>
      </c>
      <c r="H96" s="201">
        <f>H54</f>
        <v>-2.8</v>
      </c>
      <c r="I96" s="201">
        <f>I54</f>
        <v>-2.8</v>
      </c>
      <c r="J96" s="201">
        <f>J54</f>
        <v>-3.2</v>
      </c>
      <c r="K96" s="201">
        <f>K54</f>
        <v>-3.6897767785902946</v>
      </c>
      <c r="L96" s="201">
        <f>L54</f>
        <v>-3.115339228528561</v>
      </c>
      <c r="M96" s="201">
        <f>M54</f>
        <v>-2.6303321558972259</v>
      </c>
      <c r="N96" s="201">
        <f>N54</f>
        <v>-2.2208327064320268</v>
      </c>
      <c r="O96" s="201">
        <f>O54</f>
        <v>-1.8750855852559911</v>
      </c>
      <c r="V96" t="b">
        <f t="shared" si="39"/>
        <v>0</v>
      </c>
      <c r="W96" t="b">
        <f t="shared" si="40"/>
        <v>0</v>
      </c>
      <c r="X96" t="b">
        <f t="shared" si="41"/>
        <v>0</v>
      </c>
      <c r="Y96" t="b">
        <f t="shared" si="42"/>
        <v>0</v>
      </c>
      <c r="Z96" t="b">
        <f t="shared" si="43"/>
        <v>0</v>
      </c>
      <c r="AA96" t="b">
        <f t="shared" si="44"/>
        <v>0</v>
      </c>
      <c r="AB96" t="b">
        <f t="shared" si="45"/>
        <v>0</v>
      </c>
      <c r="AC96" t="b">
        <f t="shared" si="46"/>
        <v>0</v>
      </c>
      <c r="AD96" t="b">
        <f t="shared" si="47"/>
        <v>0</v>
      </c>
      <c r="AE96" t="b">
        <f t="shared" si="48"/>
        <v>0</v>
      </c>
    </row>
    <row r="97" spans="1:31" x14ac:dyDescent="0.2">
      <c r="A97" s="24"/>
      <c r="B97" s="24"/>
      <c r="C97" s="24"/>
      <c r="D97" s="186" t="s">
        <v>214</v>
      </c>
      <c r="E97" s="65"/>
      <c r="F97" s="201">
        <f t="shared" ref="F97:O97" si="57">F68</f>
        <v>-22.8</v>
      </c>
      <c r="G97" s="201">
        <f t="shared" si="57"/>
        <v>-23</v>
      </c>
      <c r="H97" s="201">
        <f t="shared" si="57"/>
        <v>-35.5</v>
      </c>
      <c r="I97" s="201">
        <f t="shared" si="57"/>
        <v>-29.3</v>
      </c>
      <c r="J97" s="201">
        <f t="shared" si="57"/>
        <v>-36.299999999999997</v>
      </c>
      <c r="K97" s="201">
        <f>K68</f>
        <v>-49.618941460217137</v>
      </c>
      <c r="L97" s="201">
        <f t="shared" si="57"/>
        <v>-50.165081779217694</v>
      </c>
      <c r="M97" s="201">
        <f t="shared" si="57"/>
        <v>-50.717233295540474</v>
      </c>
      <c r="N97" s="201">
        <f t="shared" si="57"/>
        <v>-51.275462172572439</v>
      </c>
      <c r="O97" s="201">
        <f t="shared" si="57"/>
        <v>-51.839835301940411</v>
      </c>
      <c r="V97" t="b">
        <f t="shared" si="39"/>
        <v>0</v>
      </c>
      <c r="W97" t="b">
        <f t="shared" si="40"/>
        <v>0</v>
      </c>
      <c r="X97" t="b">
        <f t="shared" si="41"/>
        <v>0</v>
      </c>
      <c r="Y97" t="b">
        <f t="shared" si="42"/>
        <v>0</v>
      </c>
      <c r="Z97" t="b">
        <f t="shared" si="43"/>
        <v>0</v>
      </c>
      <c r="AA97" t="b">
        <f t="shared" si="44"/>
        <v>0</v>
      </c>
      <c r="AB97" t="b">
        <f t="shared" si="45"/>
        <v>0</v>
      </c>
      <c r="AC97" t="b">
        <f t="shared" si="46"/>
        <v>0</v>
      </c>
      <c r="AD97" t="b">
        <f t="shared" si="47"/>
        <v>0</v>
      </c>
      <c r="AE97" t="b">
        <f t="shared" si="48"/>
        <v>0</v>
      </c>
    </row>
    <row r="98" spans="1:31" x14ac:dyDescent="0.2">
      <c r="A98" s="24"/>
      <c r="B98" s="24"/>
      <c r="C98" s="24"/>
      <c r="D98" s="186" t="s">
        <v>215</v>
      </c>
      <c r="E98" s="65"/>
      <c r="F98" s="201">
        <f t="shared" ref="F98:O98" si="58">F81</f>
        <v>-7.5</v>
      </c>
      <c r="G98" s="201">
        <f t="shared" si="58"/>
        <v>-5.3</v>
      </c>
      <c r="H98" s="201">
        <f t="shared" si="58"/>
        <v>-3.4</v>
      </c>
      <c r="I98" s="201">
        <f t="shared" si="58"/>
        <v>-3.6</v>
      </c>
      <c r="J98" s="201">
        <f t="shared" si="58"/>
        <v>-3.7</v>
      </c>
      <c r="K98" s="201">
        <f>K81</f>
        <v>-2.7040861722419458</v>
      </c>
      <c r="L98" s="201">
        <f t="shared" si="58"/>
        <v>-2.7089225282655103</v>
      </c>
      <c r="M98" s="201">
        <f t="shared" si="58"/>
        <v>-2.7137675342869283</v>
      </c>
      <c r="N98" s="201">
        <f t="shared" si="58"/>
        <v>-2.7186212057770347</v>
      </c>
      <c r="O98" s="201">
        <f t="shared" si="58"/>
        <v>-2.7234835582343342</v>
      </c>
      <c r="V98" t="b">
        <f t="shared" si="39"/>
        <v>0</v>
      </c>
      <c r="W98" t="b">
        <f t="shared" si="40"/>
        <v>0</v>
      </c>
      <c r="X98" t="b">
        <f t="shared" si="41"/>
        <v>0</v>
      </c>
      <c r="Y98" t="b">
        <f t="shared" si="42"/>
        <v>0</v>
      </c>
      <c r="Z98" t="b">
        <f t="shared" si="43"/>
        <v>0</v>
      </c>
      <c r="AA98" t="b">
        <f t="shared" si="44"/>
        <v>0</v>
      </c>
      <c r="AB98" t="b">
        <f t="shared" si="45"/>
        <v>0</v>
      </c>
      <c r="AC98" t="b">
        <f t="shared" si="46"/>
        <v>0</v>
      </c>
      <c r="AD98" t="b">
        <f t="shared" si="47"/>
        <v>0</v>
      </c>
      <c r="AE98" t="b">
        <f t="shared" si="48"/>
        <v>0</v>
      </c>
    </row>
    <row r="99" spans="1:31" x14ac:dyDescent="0.2">
      <c r="A99" s="24"/>
      <c r="B99" s="24"/>
      <c r="C99" s="24"/>
      <c r="D99" s="191" t="s">
        <v>216</v>
      </c>
      <c r="E99" s="65"/>
      <c r="F99" s="205">
        <f>SUM(F96:F98)</f>
        <v>-34.4</v>
      </c>
      <c r="G99" s="205">
        <f t="shared" ref="G99:O99" si="59">SUM(G96:G98)</f>
        <v>-32</v>
      </c>
      <c r="H99" s="205">
        <f t="shared" si="59"/>
        <v>-41.699999999999996</v>
      </c>
      <c r="I99" s="205">
        <f t="shared" si="59"/>
        <v>-35.700000000000003</v>
      </c>
      <c r="J99" s="205">
        <f t="shared" si="59"/>
        <v>-43.2</v>
      </c>
      <c r="K99" s="205">
        <f>SUM(K96:K98)</f>
        <v>-56.012804411049373</v>
      </c>
      <c r="L99" s="205">
        <f t="shared" si="59"/>
        <v>-55.989343536011766</v>
      </c>
      <c r="M99" s="205">
        <f t="shared" si="59"/>
        <v>-56.061332985724633</v>
      </c>
      <c r="N99" s="205">
        <f t="shared" si="59"/>
        <v>-56.2149160847815</v>
      </c>
      <c r="O99" s="205">
        <f t="shared" si="59"/>
        <v>-56.438404445430734</v>
      </c>
      <c r="V99" t="b">
        <f t="shared" si="39"/>
        <v>0</v>
      </c>
      <c r="W99" t="b">
        <f t="shared" si="40"/>
        <v>0</v>
      </c>
      <c r="X99" t="b">
        <f t="shared" si="41"/>
        <v>0</v>
      </c>
      <c r="Y99" t="b">
        <f t="shared" si="42"/>
        <v>0</v>
      </c>
      <c r="Z99" t="b">
        <f t="shared" si="43"/>
        <v>0</v>
      </c>
      <c r="AA99" t="b">
        <f t="shared" si="44"/>
        <v>0</v>
      </c>
      <c r="AB99" t="b">
        <f t="shared" si="45"/>
        <v>0</v>
      </c>
      <c r="AC99" t="b">
        <f t="shared" si="46"/>
        <v>0</v>
      </c>
      <c r="AD99" t="b">
        <f t="shared" si="47"/>
        <v>0</v>
      </c>
      <c r="AE99" t="b">
        <f t="shared" si="48"/>
        <v>0</v>
      </c>
    </row>
    <row r="100" spans="1:31" x14ac:dyDescent="0.2">
      <c r="A100" s="24"/>
      <c r="B100" s="24"/>
      <c r="C100" s="24"/>
      <c r="D100" s="24"/>
      <c r="E100" s="65"/>
      <c r="F100" s="24"/>
      <c r="G100" s="24"/>
      <c r="H100" s="24"/>
      <c r="I100" s="24"/>
      <c r="J100" s="24"/>
      <c r="V100" t="b">
        <f t="shared" si="39"/>
        <v>0</v>
      </c>
      <c r="W100" t="b">
        <f t="shared" si="40"/>
        <v>0</v>
      </c>
      <c r="X100" t="b">
        <f t="shared" si="41"/>
        <v>0</v>
      </c>
      <c r="Y100" t="b">
        <f t="shared" si="42"/>
        <v>0</v>
      </c>
      <c r="Z100" t="b">
        <f t="shared" si="43"/>
        <v>0</v>
      </c>
      <c r="AA100" t="b">
        <f t="shared" si="44"/>
        <v>0</v>
      </c>
      <c r="AB100" t="b">
        <f t="shared" si="45"/>
        <v>0</v>
      </c>
      <c r="AC100" t="b">
        <f t="shared" si="46"/>
        <v>0</v>
      </c>
      <c r="AD100" t="b">
        <f t="shared" si="47"/>
        <v>0</v>
      </c>
      <c r="AE100" t="b">
        <f t="shared" si="48"/>
        <v>0</v>
      </c>
    </row>
    <row r="101" spans="1:31" x14ac:dyDescent="0.2">
      <c r="D101" s="106" t="s">
        <v>217</v>
      </c>
      <c r="E101" s="171"/>
      <c r="F101" s="171"/>
      <c r="G101" s="171"/>
      <c r="H101" s="171"/>
      <c r="I101" s="171"/>
      <c r="J101" s="171"/>
      <c r="K101" s="171"/>
      <c r="L101" s="171"/>
      <c r="M101" s="171"/>
      <c r="N101" s="171"/>
      <c r="O101" s="171"/>
      <c r="V101" t="b">
        <f t="shared" si="39"/>
        <v>0</v>
      </c>
      <c r="W101" t="b">
        <f t="shared" si="40"/>
        <v>0</v>
      </c>
      <c r="X101" t="b">
        <f t="shared" si="41"/>
        <v>0</v>
      </c>
      <c r="Y101" t="b">
        <f t="shared" si="42"/>
        <v>0</v>
      </c>
      <c r="Z101" t="b">
        <f t="shared" si="43"/>
        <v>0</v>
      </c>
      <c r="AA101" t="b">
        <f t="shared" si="44"/>
        <v>0</v>
      </c>
      <c r="AB101" t="b">
        <f t="shared" si="45"/>
        <v>0</v>
      </c>
      <c r="AC101" t="b">
        <f t="shared" si="46"/>
        <v>0</v>
      </c>
      <c r="AD101" t="b">
        <f t="shared" si="47"/>
        <v>0</v>
      </c>
      <c r="AE101" t="b">
        <f t="shared" si="48"/>
        <v>0</v>
      </c>
    </row>
    <row r="102" spans="1:31" x14ac:dyDescent="0.2">
      <c r="V102" t="b">
        <f t="shared" si="39"/>
        <v>0</v>
      </c>
      <c r="W102" t="b">
        <f t="shared" si="40"/>
        <v>0</v>
      </c>
      <c r="X102" t="b">
        <f t="shared" si="41"/>
        <v>0</v>
      </c>
      <c r="Y102" t="b">
        <f t="shared" si="42"/>
        <v>0</v>
      </c>
      <c r="Z102" t="b">
        <f t="shared" si="43"/>
        <v>0</v>
      </c>
      <c r="AA102" t="b">
        <f t="shared" si="44"/>
        <v>0</v>
      </c>
      <c r="AB102" t="b">
        <f t="shared" si="45"/>
        <v>0</v>
      </c>
      <c r="AC102" t="b">
        <f t="shared" si="46"/>
        <v>0</v>
      </c>
      <c r="AD102" t="b">
        <f t="shared" si="47"/>
        <v>0</v>
      </c>
      <c r="AE102" t="b">
        <f t="shared" si="48"/>
        <v>0</v>
      </c>
    </row>
    <row r="103" spans="1:31" x14ac:dyDescent="0.2">
      <c r="A103" s="24"/>
      <c r="B103" s="24"/>
      <c r="C103" s="24"/>
      <c r="D103" s="161" t="s">
        <v>127</v>
      </c>
      <c r="E103" s="70"/>
      <c r="F103" s="35"/>
      <c r="G103" s="35"/>
      <c r="H103" s="35"/>
      <c r="I103" s="35"/>
      <c r="J103" s="35"/>
      <c r="K103" s="99"/>
      <c r="L103" s="99"/>
      <c r="M103" s="99"/>
      <c r="N103" s="99"/>
      <c r="O103" s="99"/>
      <c r="V103" t="b">
        <f t="shared" si="39"/>
        <v>0</v>
      </c>
      <c r="W103" t="b">
        <f t="shared" si="40"/>
        <v>0</v>
      </c>
      <c r="X103" t="b">
        <f t="shared" si="41"/>
        <v>0</v>
      </c>
      <c r="Y103" t="b">
        <f t="shared" si="42"/>
        <v>0</v>
      </c>
      <c r="Z103" t="b">
        <f t="shared" si="43"/>
        <v>0</v>
      </c>
      <c r="AA103" t="b">
        <f t="shared" si="44"/>
        <v>0</v>
      </c>
      <c r="AB103" t="b">
        <f t="shared" si="45"/>
        <v>0</v>
      </c>
      <c r="AC103" t="b">
        <f t="shared" si="46"/>
        <v>0</v>
      </c>
      <c r="AD103" t="b">
        <f t="shared" si="47"/>
        <v>0</v>
      </c>
      <c r="AE103" t="b">
        <f t="shared" si="48"/>
        <v>0</v>
      </c>
    </row>
    <row r="104" spans="1:31" x14ac:dyDescent="0.2">
      <c r="D104" s="173" t="s">
        <v>180</v>
      </c>
      <c r="F104" s="200">
        <v>197.7</v>
      </c>
      <c r="G104" s="120">
        <f t="shared" ref="G104:O104" si="60">F105</f>
        <v>191.4</v>
      </c>
      <c r="H104" s="120">
        <f t="shared" si="60"/>
        <v>184.3</v>
      </c>
      <c r="I104" s="120">
        <f t="shared" si="60"/>
        <v>90.9</v>
      </c>
      <c r="J104" s="120">
        <f t="shared" si="60"/>
        <v>118.4</v>
      </c>
      <c r="K104" s="120">
        <f t="shared" si="60"/>
        <v>115.8</v>
      </c>
      <c r="L104" s="120">
        <f t="shared" si="60"/>
        <v>168.54288812496821</v>
      </c>
      <c r="M104" s="120">
        <f t="shared" si="60"/>
        <v>135.13579672365984</v>
      </c>
      <c r="N104" s="120">
        <f t="shared" si="60"/>
        <v>186.92213494903143</v>
      </c>
      <c r="O104" s="120">
        <f t="shared" si="60"/>
        <v>149.69624631313405</v>
      </c>
      <c r="V104" t="b">
        <f t="shared" si="39"/>
        <v>0</v>
      </c>
      <c r="W104" t="b">
        <f t="shared" si="40"/>
        <v>0</v>
      </c>
      <c r="X104" t="b">
        <f t="shared" si="41"/>
        <v>0</v>
      </c>
      <c r="Y104" t="b">
        <f t="shared" si="42"/>
        <v>0</v>
      </c>
      <c r="Z104" t="b">
        <f t="shared" si="43"/>
        <v>0</v>
      </c>
      <c r="AA104" t="b">
        <f t="shared" si="44"/>
        <v>0</v>
      </c>
      <c r="AB104" t="b">
        <f t="shared" si="45"/>
        <v>0</v>
      </c>
      <c r="AC104" t="b">
        <f t="shared" si="46"/>
        <v>0</v>
      </c>
      <c r="AD104" t="b">
        <f t="shared" si="47"/>
        <v>0</v>
      </c>
      <c r="AE104" t="b">
        <f t="shared" si="48"/>
        <v>0</v>
      </c>
    </row>
    <row r="105" spans="1:31" x14ac:dyDescent="0.2">
      <c r="D105" s="173" t="s">
        <v>181</v>
      </c>
      <c r="F105" s="120">
        <f>FSM!F113</f>
        <v>191.4</v>
      </c>
      <c r="G105" s="120">
        <f>FSM!G113</f>
        <v>184.3</v>
      </c>
      <c r="H105" s="120">
        <f>FSM!H113</f>
        <v>90.9</v>
      </c>
      <c r="I105" s="120">
        <f>FSM!I113</f>
        <v>118.4</v>
      </c>
      <c r="J105" s="120">
        <f>FSM!J113</f>
        <v>115.8</v>
      </c>
      <c r="K105" s="120">
        <f>K106*2-K104</f>
        <v>168.54288812496821</v>
      </c>
      <c r="L105" s="120">
        <f>L106*2-L104</f>
        <v>135.13579672365984</v>
      </c>
      <c r="M105" s="120">
        <f>M106*2-M104</f>
        <v>186.92213494903143</v>
      </c>
      <c r="N105" s="120">
        <f>N106*2-N104</f>
        <v>149.69624631313405</v>
      </c>
      <c r="O105" s="120">
        <f>O106*2-O104</f>
        <v>204.19431714295104</v>
      </c>
      <c r="Q105" t="s">
        <v>182</v>
      </c>
      <c r="V105" t="b">
        <f t="shared" si="39"/>
        <v>0</v>
      </c>
      <c r="W105" t="b">
        <f t="shared" si="40"/>
        <v>0</v>
      </c>
      <c r="X105" t="b">
        <f t="shared" si="41"/>
        <v>0</v>
      </c>
      <c r="Y105" t="b">
        <f t="shared" si="42"/>
        <v>0</v>
      </c>
      <c r="Z105" t="b">
        <f t="shared" si="43"/>
        <v>0</v>
      </c>
      <c r="AA105" t="b">
        <f t="shared" si="44"/>
        <v>0</v>
      </c>
      <c r="AB105" t="b">
        <f t="shared" si="45"/>
        <v>0</v>
      </c>
      <c r="AC105" t="b">
        <f t="shared" si="46"/>
        <v>0</v>
      </c>
      <c r="AD105" t="b">
        <f t="shared" si="47"/>
        <v>0</v>
      </c>
      <c r="AE105" t="b">
        <f t="shared" si="48"/>
        <v>0</v>
      </c>
    </row>
    <row r="106" spans="1:31" x14ac:dyDescent="0.2">
      <c r="D106" s="173" t="s">
        <v>183</v>
      </c>
      <c r="F106" s="120">
        <f>AVERAGE(F104:F105)</f>
        <v>194.55</v>
      </c>
      <c r="G106" s="120">
        <f>AVERAGE(G104:G105)</f>
        <v>187.85000000000002</v>
      </c>
      <c r="H106" s="120">
        <f>AVERAGE(H104:H105)</f>
        <v>137.60000000000002</v>
      </c>
      <c r="I106" s="120">
        <f>AVERAGE(I104:I105)</f>
        <v>104.65</v>
      </c>
      <c r="J106" s="120">
        <f>AVERAGE(J104:J105)</f>
        <v>117.1</v>
      </c>
      <c r="K106" s="120">
        <f>K107*-FSM!K26</f>
        <v>142.17144406248411</v>
      </c>
      <c r="L106" s="120">
        <f>L107*-FSM!L26</f>
        <v>151.83934242431403</v>
      </c>
      <c r="M106" s="120">
        <f>M107*-FSM!M26</f>
        <v>161.02896583634563</v>
      </c>
      <c r="N106" s="120">
        <f>N107*-FSM!N26</f>
        <v>168.30919063108274</v>
      </c>
      <c r="O106" s="120">
        <f>O107*-FSM!O26</f>
        <v>176.94528172804254</v>
      </c>
      <c r="V106" t="b">
        <f t="shared" si="39"/>
        <v>0</v>
      </c>
      <c r="W106" t="b">
        <f t="shared" si="40"/>
        <v>0</v>
      </c>
      <c r="X106" t="b">
        <f t="shared" si="41"/>
        <v>0</v>
      </c>
      <c r="Y106" t="b">
        <f t="shared" si="42"/>
        <v>0</v>
      </c>
      <c r="Z106" t="b">
        <f t="shared" si="43"/>
        <v>0</v>
      </c>
      <c r="AA106" t="b">
        <f t="shared" si="44"/>
        <v>0</v>
      </c>
      <c r="AB106" t="b">
        <f t="shared" si="45"/>
        <v>0</v>
      </c>
      <c r="AC106" t="b">
        <f t="shared" si="46"/>
        <v>0</v>
      </c>
      <c r="AD106" t="b">
        <f t="shared" si="47"/>
        <v>0</v>
      </c>
      <c r="AE106" t="b">
        <f t="shared" si="48"/>
        <v>0</v>
      </c>
    </row>
    <row r="107" spans="1:31" x14ac:dyDescent="0.2">
      <c r="D107" s="183" t="s">
        <v>218</v>
      </c>
      <c r="F107" s="175">
        <f>F106/-FSM!F26</f>
        <v>0.10505994167836701</v>
      </c>
      <c r="G107" s="175">
        <f>G106/-FSM!G26</f>
        <v>9.0933294607416018E-2</v>
      </c>
      <c r="H107" s="175">
        <f>H106/-FSM!H26</f>
        <v>6.878968154776785E-2</v>
      </c>
      <c r="I107" s="175">
        <f>I106/-FSM!I26</f>
        <v>4.4904526925552461E-2</v>
      </c>
      <c r="J107" s="175">
        <f>J106/-FSM!J26</f>
        <v>4.7081055001608238E-2</v>
      </c>
      <c r="K107" s="175">
        <f>K108/$E$6</f>
        <v>5.359175449164285E-2</v>
      </c>
      <c r="L107" s="175">
        <f>L108/$E$6</f>
        <v>5.359175449164285E-2</v>
      </c>
      <c r="M107" s="175">
        <f>M108/$E$6</f>
        <v>5.359175449164285E-2</v>
      </c>
      <c r="N107" s="175">
        <f>N108/$E$6</f>
        <v>5.359175449164285E-2</v>
      </c>
      <c r="O107" s="175">
        <f>O108/$E$6</f>
        <v>5.359175449164285E-2</v>
      </c>
      <c r="V107" t="b">
        <f t="shared" si="39"/>
        <v>0</v>
      </c>
      <c r="W107" t="b">
        <f t="shared" si="40"/>
        <v>0</v>
      </c>
      <c r="X107" t="b">
        <f t="shared" si="41"/>
        <v>0</v>
      </c>
      <c r="Y107" t="b">
        <f t="shared" si="42"/>
        <v>0</v>
      </c>
      <c r="Z107" t="b">
        <f t="shared" si="43"/>
        <v>0</v>
      </c>
      <c r="AA107" t="b">
        <f t="shared" si="44"/>
        <v>0</v>
      </c>
      <c r="AB107" t="b">
        <f t="shared" si="45"/>
        <v>0</v>
      </c>
      <c r="AC107" t="b">
        <f t="shared" si="46"/>
        <v>0</v>
      </c>
      <c r="AD107" t="b">
        <f t="shared" si="47"/>
        <v>0</v>
      </c>
      <c r="AE107" t="b">
        <f t="shared" si="48"/>
        <v>0</v>
      </c>
    </row>
    <row r="108" spans="1:31" x14ac:dyDescent="0.2">
      <c r="D108" s="173" t="s">
        <v>185</v>
      </c>
      <c r="F108" s="8">
        <f>F107*$E$6</f>
        <v>38.373143698023547</v>
      </c>
      <c r="G108" s="8">
        <f>G107*$E$6</f>
        <v>33.213385855358702</v>
      </c>
      <c r="H108" s="8">
        <f>H107*$E$6</f>
        <v>25.125431185322206</v>
      </c>
      <c r="I108" s="8">
        <f>I107*$E$6</f>
        <v>16.401378459558035</v>
      </c>
      <c r="J108" s="8">
        <f>J107*$E$6</f>
        <v>17.196355339337408</v>
      </c>
      <c r="K108" s="8">
        <f>AVERAGE($H$108:$J$108)</f>
        <v>19.574388328072551</v>
      </c>
      <c r="L108" s="8">
        <f t="shared" ref="L108:O108" si="61">AVERAGE($H$108:$J$108)</f>
        <v>19.574388328072551</v>
      </c>
      <c r="M108" s="8">
        <f t="shared" si="61"/>
        <v>19.574388328072551</v>
      </c>
      <c r="N108" s="8">
        <f t="shared" si="61"/>
        <v>19.574388328072551</v>
      </c>
      <c r="O108" s="8">
        <f t="shared" si="61"/>
        <v>19.574388328072551</v>
      </c>
      <c r="V108" t="b">
        <f t="shared" ref="V108:V139" si="62">OR(ROUND(F108,8)=-0.00133017,ROUND(F108-E108,8)=-0.00133017)</f>
        <v>0</v>
      </c>
      <c r="W108" t="b">
        <f t="shared" ref="W108:W139" si="63">OR(ROUND(G108,8)=-0.00133017,ROUND(G108-F108,8)=-0.00133017)</f>
        <v>0</v>
      </c>
      <c r="X108" t="b">
        <f t="shared" ref="X108:X139" si="64">OR(ROUND(H108,8)=-0.00133017,ROUND(H108-G108,8)=-0.00133017)</f>
        <v>0</v>
      </c>
      <c r="Y108" t="b">
        <f t="shared" ref="Y108:Y139" si="65">OR(ROUND(I108,8)=-0.00133017,ROUND(I108-H108,8)=-0.00133017)</f>
        <v>0</v>
      </c>
      <c r="Z108" t="b">
        <f t="shared" ref="Z108:Z139" si="66">OR(ROUND(J108,8)=-0.00133017,ROUND(J108-I108,8)=-0.00133017)</f>
        <v>0</v>
      </c>
      <c r="AA108" t="b">
        <f t="shared" ref="AA108:AA139" si="67">OR(ROUND(K108,8)=-0.00133017,ROUND(K108-J108,8)=-0.00133017)</f>
        <v>0</v>
      </c>
      <c r="AB108" t="b">
        <f t="shared" ref="AB108:AB139" si="68">OR(ROUND(L108,8)=-0.00133017,ROUND(L108-K108,8)=-0.00133017)</f>
        <v>0</v>
      </c>
      <c r="AC108" t="b">
        <f t="shared" ref="AC108:AC139" si="69">OR(ROUND(M108,8)=-0.00133017,ROUND(M108-L108,8)=-0.00133017)</f>
        <v>0</v>
      </c>
      <c r="AD108" t="b">
        <f t="shared" ref="AD108:AD139" si="70">OR(ROUND(N108,8)=-0.00133017,ROUND(N108-M108,8)=-0.00133017)</f>
        <v>0</v>
      </c>
      <c r="AE108" t="b">
        <f t="shared" ref="AE108:AE139" si="71">OR(ROUND(O108,8)=-0.00133017,ROUND(O108-N108,8)=-0.00133017)</f>
        <v>0</v>
      </c>
    </row>
    <row r="109" spans="1:31" x14ac:dyDescent="0.2">
      <c r="V109" t="b">
        <f t="shared" si="62"/>
        <v>0</v>
      </c>
      <c r="W109" t="b">
        <f t="shared" si="63"/>
        <v>0</v>
      </c>
      <c r="X109" t="b">
        <f t="shared" si="64"/>
        <v>0</v>
      </c>
      <c r="Y109" t="b">
        <f t="shared" si="65"/>
        <v>0</v>
      </c>
      <c r="Z109" t="b">
        <f t="shared" si="66"/>
        <v>0</v>
      </c>
      <c r="AA109" t="b">
        <f t="shared" si="67"/>
        <v>0</v>
      </c>
      <c r="AB109" t="b">
        <f t="shared" si="68"/>
        <v>0</v>
      </c>
      <c r="AC109" t="b">
        <f t="shared" si="69"/>
        <v>0</v>
      </c>
      <c r="AD109" t="b">
        <f t="shared" si="70"/>
        <v>0</v>
      </c>
      <c r="AE109" t="b">
        <f t="shared" si="71"/>
        <v>0</v>
      </c>
    </row>
    <row r="110" spans="1:31" x14ac:dyDescent="0.2">
      <c r="D110" s="161" t="s">
        <v>219</v>
      </c>
      <c r="E110" s="70"/>
      <c r="F110" s="35"/>
      <c r="G110" s="35"/>
      <c r="H110" s="35"/>
      <c r="I110" s="35"/>
      <c r="J110" s="35"/>
      <c r="K110" s="99"/>
      <c r="L110" s="99"/>
      <c r="M110" s="99"/>
      <c r="N110" s="99"/>
      <c r="O110" s="99"/>
      <c r="V110" t="b">
        <f t="shared" si="62"/>
        <v>0</v>
      </c>
      <c r="W110" t="b">
        <f t="shared" si="63"/>
        <v>0</v>
      </c>
      <c r="X110" t="b">
        <f t="shared" si="64"/>
        <v>0</v>
      </c>
      <c r="Y110" t="b">
        <f t="shared" si="65"/>
        <v>0</v>
      </c>
      <c r="Z110" t="b">
        <f t="shared" si="66"/>
        <v>0</v>
      </c>
      <c r="AA110" t="b">
        <f t="shared" si="67"/>
        <v>0</v>
      </c>
      <c r="AB110" t="b">
        <f t="shared" si="68"/>
        <v>0</v>
      </c>
      <c r="AC110" t="b">
        <f t="shared" si="69"/>
        <v>0</v>
      </c>
      <c r="AD110" t="b">
        <f t="shared" si="70"/>
        <v>0</v>
      </c>
      <c r="AE110" t="b">
        <f t="shared" si="71"/>
        <v>0</v>
      </c>
    </row>
    <row r="111" spans="1:31" x14ac:dyDescent="0.2">
      <c r="A111" s="42"/>
      <c r="B111" s="42"/>
      <c r="C111" s="42"/>
      <c r="D111" s="190" t="s">
        <v>220</v>
      </c>
      <c r="E111" s="181"/>
      <c r="F111" s="202">
        <f>FSM!F115</f>
        <v>0</v>
      </c>
      <c r="G111" s="202">
        <f>FSM!G115</f>
        <v>0</v>
      </c>
      <c r="H111" s="202">
        <f>FSM!H115</f>
        <v>432.4</v>
      </c>
      <c r="I111" s="202">
        <f>FSM!I115</f>
        <v>527.5</v>
      </c>
      <c r="J111" s="202">
        <f>FSM!J115</f>
        <v>539.5</v>
      </c>
      <c r="K111" s="202">
        <f>K112*FSM!K22</f>
        <v>580.36863089315193</v>
      </c>
      <c r="L111" s="202">
        <f>L112*FSM!L22</f>
        <v>619.83467819167538</v>
      </c>
      <c r="M111" s="202">
        <f>M112*FSM!M22</f>
        <v>657.34832372882295</v>
      </c>
      <c r="N111" s="202">
        <f>N112*FSM!N22</f>
        <v>687.067471090504</v>
      </c>
      <c r="O111" s="202">
        <f>O112*FSM!O22</f>
        <v>722.32150117553488</v>
      </c>
      <c r="V111" t="b">
        <f t="shared" si="62"/>
        <v>0</v>
      </c>
      <c r="W111" t="b">
        <f t="shared" si="63"/>
        <v>0</v>
      </c>
      <c r="X111" t="b">
        <f t="shared" si="64"/>
        <v>0</v>
      </c>
      <c r="Y111" t="b">
        <f t="shared" si="65"/>
        <v>0</v>
      </c>
      <c r="Z111" t="b">
        <f t="shared" si="66"/>
        <v>0</v>
      </c>
      <c r="AA111" t="b">
        <f t="shared" si="67"/>
        <v>0</v>
      </c>
      <c r="AB111" t="b">
        <f t="shared" si="68"/>
        <v>0</v>
      </c>
      <c r="AC111" t="b">
        <f t="shared" si="69"/>
        <v>0</v>
      </c>
      <c r="AD111" t="b">
        <f t="shared" si="70"/>
        <v>0</v>
      </c>
      <c r="AE111" t="b">
        <f t="shared" si="71"/>
        <v>0</v>
      </c>
    </row>
    <row r="112" spans="1:31" x14ac:dyDescent="0.2">
      <c r="A112" s="24"/>
      <c r="B112" s="24"/>
      <c r="C112" s="24"/>
      <c r="D112" s="176" t="s">
        <v>184</v>
      </c>
      <c r="E112" s="65"/>
      <c r="F112" s="74">
        <f>F111/FSM!F22</f>
        <v>0</v>
      </c>
      <c r="G112" s="74">
        <f>G111/FSM!G22</f>
        <v>0</v>
      </c>
      <c r="H112" s="74">
        <f>H111/FSM!H22</f>
        <v>0.15671777028741257</v>
      </c>
      <c r="I112" s="74">
        <f>I111/FSM!I22</f>
        <v>0.17917190312829046</v>
      </c>
      <c r="J112" s="74">
        <f>J111/FSM!J22</f>
        <v>0.16773932779902373</v>
      </c>
      <c r="K112" s="74">
        <f>K113/$E$6</f>
        <v>0.16787633373824223</v>
      </c>
      <c r="L112" s="74">
        <f t="shared" ref="L112:O112" si="72">L113/$E$6</f>
        <v>0.16787633373824223</v>
      </c>
      <c r="M112" s="74">
        <f t="shared" si="72"/>
        <v>0.16787633373824223</v>
      </c>
      <c r="N112" s="74">
        <f t="shared" si="72"/>
        <v>0.16787633373824223</v>
      </c>
      <c r="O112" s="74">
        <f t="shared" si="72"/>
        <v>0.16787633373824223</v>
      </c>
      <c r="V112" t="b">
        <f t="shared" si="62"/>
        <v>0</v>
      </c>
      <c r="W112" t="b">
        <f t="shared" si="63"/>
        <v>0</v>
      </c>
      <c r="X112" t="b">
        <f t="shared" si="64"/>
        <v>0</v>
      </c>
      <c r="Y112" t="b">
        <f t="shared" si="65"/>
        <v>0</v>
      </c>
      <c r="Z112" t="b">
        <f t="shared" si="66"/>
        <v>0</v>
      </c>
      <c r="AA112" t="b">
        <f t="shared" si="67"/>
        <v>0</v>
      </c>
      <c r="AB112" t="b">
        <f t="shared" si="68"/>
        <v>0</v>
      </c>
      <c r="AC112" t="b">
        <f t="shared" si="69"/>
        <v>0</v>
      </c>
      <c r="AD112" t="b">
        <f t="shared" si="70"/>
        <v>0</v>
      </c>
      <c r="AE112" t="b">
        <f t="shared" si="71"/>
        <v>0</v>
      </c>
    </row>
    <row r="113" spans="1:31" x14ac:dyDescent="0.2">
      <c r="A113" s="24"/>
      <c r="B113" s="24"/>
      <c r="C113" s="24"/>
      <c r="D113" s="173" t="s">
        <v>185</v>
      </c>
      <c r="E113" s="65"/>
      <c r="F113" s="263">
        <f>F112*$E$6</f>
        <v>0</v>
      </c>
      <c r="G113" s="263">
        <f t="shared" ref="G113:J113" si="73">G112*$E$6</f>
        <v>0</v>
      </c>
      <c r="H113" s="263">
        <f t="shared" si="73"/>
        <v>57.24116559747744</v>
      </c>
      <c r="I113" s="263">
        <f t="shared" si="73"/>
        <v>65.442537617608082</v>
      </c>
      <c r="J113" s="263">
        <f t="shared" si="73"/>
        <v>61.266789478593417</v>
      </c>
      <c r="K113" s="264">
        <f>AVERAGE($H$113:$J$113)</f>
        <v>61.316830897892977</v>
      </c>
      <c r="L113" s="264">
        <f>AVERAGE($H$113:$J$113)</f>
        <v>61.316830897892977</v>
      </c>
      <c r="M113" s="264">
        <f>AVERAGE($H$113:$J$113)</f>
        <v>61.316830897892977</v>
      </c>
      <c r="N113" s="264">
        <f>AVERAGE($H$113:$J$113)</f>
        <v>61.316830897892977</v>
      </c>
      <c r="O113" s="264">
        <f>AVERAGE($H$113:$J$113)</f>
        <v>61.316830897892977</v>
      </c>
      <c r="Q113" t="s">
        <v>221</v>
      </c>
      <c r="V113" t="b">
        <f t="shared" si="62"/>
        <v>0</v>
      </c>
      <c r="W113" t="b">
        <f t="shared" si="63"/>
        <v>0</v>
      </c>
      <c r="X113" t="b">
        <f t="shared" si="64"/>
        <v>0</v>
      </c>
      <c r="Y113" t="b">
        <f t="shared" si="65"/>
        <v>0</v>
      </c>
      <c r="Z113" t="b">
        <f t="shared" si="66"/>
        <v>0</v>
      </c>
      <c r="AA113" t="b">
        <f t="shared" si="67"/>
        <v>0</v>
      </c>
      <c r="AB113" t="b">
        <f t="shared" si="68"/>
        <v>0</v>
      </c>
      <c r="AC113" t="b">
        <f t="shared" si="69"/>
        <v>0</v>
      </c>
      <c r="AD113" t="b">
        <f t="shared" si="70"/>
        <v>0</v>
      </c>
      <c r="AE113" t="b">
        <f t="shared" si="71"/>
        <v>0</v>
      </c>
    </row>
    <row r="114" spans="1:31" x14ac:dyDescent="0.2">
      <c r="V114" t="b">
        <f t="shared" si="62"/>
        <v>0</v>
      </c>
      <c r="W114" t="b">
        <f t="shared" si="63"/>
        <v>0</v>
      </c>
      <c r="X114" t="b">
        <f t="shared" si="64"/>
        <v>0</v>
      </c>
      <c r="Y114" t="b">
        <f t="shared" si="65"/>
        <v>0</v>
      </c>
      <c r="Z114" t="b">
        <f t="shared" si="66"/>
        <v>0</v>
      </c>
      <c r="AA114" t="b">
        <f t="shared" si="67"/>
        <v>0</v>
      </c>
      <c r="AB114" t="b">
        <f t="shared" si="68"/>
        <v>0</v>
      </c>
      <c r="AC114" t="b">
        <f t="shared" si="69"/>
        <v>0</v>
      </c>
      <c r="AD114" t="b">
        <f t="shared" si="70"/>
        <v>0</v>
      </c>
      <c r="AE114" t="b">
        <f t="shared" si="71"/>
        <v>0</v>
      </c>
    </row>
    <row r="115" spans="1:31" x14ac:dyDescent="0.2">
      <c r="A115" s="42"/>
      <c r="B115" s="42"/>
      <c r="C115" s="42"/>
      <c r="D115" s="190" t="s">
        <v>222</v>
      </c>
      <c r="E115" s="181"/>
      <c r="F115" s="202">
        <f>FSM!F127</f>
        <v>0</v>
      </c>
      <c r="G115" s="202">
        <f>FSM!G127</f>
        <v>0</v>
      </c>
      <c r="H115" s="202">
        <f>FSM!H127</f>
        <v>31.4</v>
      </c>
      <c r="I115" s="202">
        <f>FSM!I127</f>
        <v>47.2</v>
      </c>
      <c r="J115" s="202">
        <f>FSM!J127</f>
        <v>57.4</v>
      </c>
      <c r="K115" s="202">
        <f>K116*FSM!K22</f>
        <v>52.155472898049126</v>
      </c>
      <c r="L115" s="202">
        <f>L116*FSM!L22</f>
        <v>55.702133159654849</v>
      </c>
      <c r="M115" s="202">
        <f>M116*FSM!M22</f>
        <v>59.07333866417828</v>
      </c>
      <c r="N115" s="202">
        <f>N116*FSM!N22</f>
        <v>61.744082915792816</v>
      </c>
      <c r="O115" s="202">
        <f>O116*FSM!O22</f>
        <v>64.912225563022403</v>
      </c>
      <c r="V115" t="b">
        <f t="shared" si="62"/>
        <v>0</v>
      </c>
      <c r="W115" t="b">
        <f t="shared" si="63"/>
        <v>0</v>
      </c>
      <c r="X115" t="b">
        <f t="shared" si="64"/>
        <v>0</v>
      </c>
      <c r="Y115" t="b">
        <f t="shared" si="65"/>
        <v>0</v>
      </c>
      <c r="Z115" t="b">
        <f t="shared" si="66"/>
        <v>0</v>
      </c>
      <c r="AA115" t="b">
        <f t="shared" si="67"/>
        <v>0</v>
      </c>
      <c r="AB115" t="b">
        <f t="shared" si="68"/>
        <v>0</v>
      </c>
      <c r="AC115" t="b">
        <f t="shared" si="69"/>
        <v>0</v>
      </c>
      <c r="AD115" t="b">
        <f t="shared" si="70"/>
        <v>0</v>
      </c>
      <c r="AE115" t="b">
        <f t="shared" si="71"/>
        <v>0</v>
      </c>
    </row>
    <row r="116" spans="1:31" x14ac:dyDescent="0.2">
      <c r="A116" s="24"/>
      <c r="B116" s="24"/>
      <c r="C116" s="24"/>
      <c r="D116" s="176" t="s">
        <v>184</v>
      </c>
      <c r="E116" s="65"/>
      <c r="F116" s="74">
        <f>F115/FSM!F22</f>
        <v>0</v>
      </c>
      <c r="G116" s="74">
        <f>G115/FSM!G22</f>
        <v>0</v>
      </c>
      <c r="H116" s="74">
        <f>H115/FSM!H22</f>
        <v>1.1380522634192309E-2</v>
      </c>
      <c r="I116" s="74">
        <f>I115/FSM!I22</f>
        <v>1.6032064128256512E-2</v>
      </c>
      <c r="J116" s="74">
        <f>J115/FSM!J22</f>
        <v>1.7846593912259429E-2</v>
      </c>
      <c r="K116" s="74">
        <f>K117/$E$6</f>
        <v>1.5086393558236084E-2</v>
      </c>
      <c r="L116" s="74">
        <f t="shared" ref="L116:O116" si="74">L117/$E$6</f>
        <v>1.5086393558236084E-2</v>
      </c>
      <c r="M116" s="74">
        <f t="shared" si="74"/>
        <v>1.5086393558236084E-2</v>
      </c>
      <c r="N116" s="74">
        <f t="shared" si="74"/>
        <v>1.5086393558236084E-2</v>
      </c>
      <c r="O116" s="74">
        <f t="shared" si="74"/>
        <v>1.5086393558236084E-2</v>
      </c>
      <c r="V116" t="b">
        <f t="shared" si="62"/>
        <v>0</v>
      </c>
      <c r="W116" t="b">
        <f t="shared" si="63"/>
        <v>0</v>
      </c>
      <c r="X116" t="b">
        <f t="shared" si="64"/>
        <v>0</v>
      </c>
      <c r="Y116" t="b">
        <f t="shared" si="65"/>
        <v>0</v>
      </c>
      <c r="Z116" t="b">
        <f t="shared" si="66"/>
        <v>0</v>
      </c>
      <c r="AA116" t="b">
        <f t="shared" si="67"/>
        <v>0</v>
      </c>
      <c r="AB116" t="b">
        <f t="shared" si="68"/>
        <v>0</v>
      </c>
      <c r="AC116" t="b">
        <f t="shared" si="69"/>
        <v>0</v>
      </c>
      <c r="AD116" t="b">
        <f t="shared" si="70"/>
        <v>0</v>
      </c>
      <c r="AE116" t="b">
        <f t="shared" si="71"/>
        <v>0</v>
      </c>
    </row>
    <row r="117" spans="1:31" x14ac:dyDescent="0.2">
      <c r="A117" s="24"/>
      <c r="B117" s="24"/>
      <c r="C117" s="24"/>
      <c r="D117" s="173" t="s">
        <v>185</v>
      </c>
      <c r="E117" s="65"/>
      <c r="F117" s="263">
        <f>F116*$E$6</f>
        <v>0</v>
      </c>
      <c r="G117" s="263">
        <f t="shared" ref="G117:J117" si="75">G116*$E$6</f>
        <v>0</v>
      </c>
      <c r="H117" s="263">
        <f t="shared" si="75"/>
        <v>4.156735892138741</v>
      </c>
      <c r="I117" s="263">
        <f t="shared" si="75"/>
        <v>5.8557114228456912</v>
      </c>
      <c r="J117" s="263">
        <f t="shared" si="75"/>
        <v>6.5184684264527561</v>
      </c>
      <c r="K117" s="264">
        <f>AVERAGE($H$117:$J$117)</f>
        <v>5.5103052471457294</v>
      </c>
      <c r="L117" s="264">
        <f>AVERAGE($H$117:$J$117)</f>
        <v>5.5103052471457294</v>
      </c>
      <c r="M117" s="264">
        <f>AVERAGE($H$117:$J$117)</f>
        <v>5.5103052471457294</v>
      </c>
      <c r="N117" s="264">
        <f>AVERAGE($H$117:$J$117)</f>
        <v>5.5103052471457294</v>
      </c>
      <c r="O117" s="264">
        <f>AVERAGE($H$117:$J$117)</f>
        <v>5.5103052471457294</v>
      </c>
      <c r="Q117" t="s">
        <v>221</v>
      </c>
      <c r="V117" t="b">
        <f t="shared" si="62"/>
        <v>0</v>
      </c>
      <c r="W117" t="b">
        <f t="shared" si="63"/>
        <v>0</v>
      </c>
      <c r="X117" t="b">
        <f t="shared" si="64"/>
        <v>0</v>
      </c>
      <c r="Y117" t="b">
        <f t="shared" si="65"/>
        <v>0</v>
      </c>
      <c r="Z117" t="b">
        <f t="shared" si="66"/>
        <v>0</v>
      </c>
      <c r="AA117" t="b">
        <f t="shared" si="67"/>
        <v>0</v>
      </c>
      <c r="AB117" t="b">
        <f t="shared" si="68"/>
        <v>0</v>
      </c>
      <c r="AC117" t="b">
        <f t="shared" si="69"/>
        <v>0</v>
      </c>
      <c r="AD117" t="b">
        <f t="shared" si="70"/>
        <v>0</v>
      </c>
      <c r="AE117" t="b">
        <f t="shared" si="71"/>
        <v>0</v>
      </c>
    </row>
    <row r="118" spans="1:31" x14ac:dyDescent="0.2">
      <c r="V118" t="b">
        <f t="shared" si="62"/>
        <v>0</v>
      </c>
      <c r="W118" t="b">
        <f t="shared" si="63"/>
        <v>0</v>
      </c>
      <c r="X118" t="b">
        <f t="shared" si="64"/>
        <v>0</v>
      </c>
      <c r="Y118" t="b">
        <f t="shared" si="65"/>
        <v>0</v>
      </c>
      <c r="Z118" t="b">
        <f t="shared" si="66"/>
        <v>0</v>
      </c>
      <c r="AA118" t="b">
        <f t="shared" si="67"/>
        <v>0</v>
      </c>
      <c r="AB118" t="b">
        <f t="shared" si="68"/>
        <v>0</v>
      </c>
      <c r="AC118" t="b">
        <f t="shared" si="69"/>
        <v>0</v>
      </c>
      <c r="AD118" t="b">
        <f t="shared" si="70"/>
        <v>0</v>
      </c>
      <c r="AE118" t="b">
        <f t="shared" si="71"/>
        <v>0</v>
      </c>
    </row>
    <row r="119" spans="1:31" x14ac:dyDescent="0.2">
      <c r="D119" s="161" t="s">
        <v>223</v>
      </c>
      <c r="E119" s="70"/>
      <c r="F119" s="35"/>
      <c r="G119" s="35"/>
      <c r="H119" s="35"/>
      <c r="I119" s="35"/>
      <c r="J119" s="35"/>
      <c r="K119" s="99"/>
      <c r="L119" s="99"/>
      <c r="M119" s="99"/>
      <c r="N119" s="99"/>
      <c r="O119" s="99"/>
      <c r="V119" t="b">
        <f t="shared" si="62"/>
        <v>0</v>
      </c>
      <c r="W119" t="b">
        <f t="shared" si="63"/>
        <v>0</v>
      </c>
      <c r="X119" t="b">
        <f t="shared" si="64"/>
        <v>0</v>
      </c>
      <c r="Y119" t="b">
        <f t="shared" si="65"/>
        <v>0</v>
      </c>
      <c r="Z119" t="b">
        <f t="shared" si="66"/>
        <v>0</v>
      </c>
      <c r="AA119" t="b">
        <f t="shared" si="67"/>
        <v>0</v>
      </c>
      <c r="AB119" t="b">
        <f t="shared" si="68"/>
        <v>0</v>
      </c>
      <c r="AC119" t="b">
        <f t="shared" si="69"/>
        <v>0</v>
      </c>
      <c r="AD119" t="b">
        <f t="shared" si="70"/>
        <v>0</v>
      </c>
      <c r="AE119" t="b">
        <f t="shared" si="71"/>
        <v>0</v>
      </c>
    </row>
    <row r="120" spans="1:31" x14ac:dyDescent="0.2">
      <c r="D120" s="173" t="s">
        <v>224</v>
      </c>
      <c r="F120" s="120">
        <f>FSM!F120</f>
        <v>6.8</v>
      </c>
      <c r="G120" s="120">
        <f>FSM!G120</f>
        <v>7.6</v>
      </c>
      <c r="H120" s="120">
        <f>FSM!H120</f>
        <v>6.4</v>
      </c>
      <c r="I120" s="120">
        <f>FSM!I120</f>
        <v>8.3000000000000007</v>
      </c>
      <c r="J120" s="120">
        <f>FSM!J120</f>
        <v>8.6999999999999993</v>
      </c>
      <c r="K120" s="120">
        <f>K121*K126</f>
        <v>9.3462993127641383</v>
      </c>
      <c r="L120" s="120">
        <f t="shared" ref="L120:O120" si="76">L121*L126</f>
        <v>9.9818634544305329</v>
      </c>
      <c r="M120" s="120">
        <f t="shared" si="76"/>
        <v>10.585985973877435</v>
      </c>
      <c r="N120" s="120">
        <f t="shared" si="76"/>
        <v>11.064585318805767</v>
      </c>
      <c r="O120" s="120">
        <f t="shared" si="76"/>
        <v>11.63231882405883</v>
      </c>
      <c r="V120" t="b">
        <f t="shared" si="62"/>
        <v>0</v>
      </c>
      <c r="W120" t="b">
        <f t="shared" si="63"/>
        <v>0</v>
      </c>
      <c r="X120" t="b">
        <f t="shared" si="64"/>
        <v>0</v>
      </c>
      <c r="Y120" t="b">
        <f t="shared" si="65"/>
        <v>0</v>
      </c>
      <c r="Z120" t="b">
        <f t="shared" si="66"/>
        <v>0</v>
      </c>
      <c r="AA120" t="b">
        <f t="shared" si="67"/>
        <v>0</v>
      </c>
      <c r="AB120" t="b">
        <f t="shared" si="68"/>
        <v>0</v>
      </c>
      <c r="AC120" t="b">
        <f t="shared" si="69"/>
        <v>0</v>
      </c>
      <c r="AD120" t="b">
        <f t="shared" si="70"/>
        <v>0</v>
      </c>
      <c r="AE120" t="b">
        <f t="shared" si="71"/>
        <v>0</v>
      </c>
    </row>
    <row r="121" spans="1:31" x14ac:dyDescent="0.2">
      <c r="D121" s="176" t="s">
        <v>225</v>
      </c>
      <c r="F121" s="74">
        <f>F120/F126</f>
        <v>0.67999999999999994</v>
      </c>
      <c r="G121" s="74">
        <f t="shared" ref="G121:J121" si="77">G120/G126</f>
        <v>0.70370370370370361</v>
      </c>
      <c r="H121" s="74">
        <f t="shared" si="77"/>
        <v>0.66666666666666663</v>
      </c>
      <c r="I121" s="74">
        <f t="shared" si="77"/>
        <v>0.69166666666666676</v>
      </c>
      <c r="J121" s="74">
        <f t="shared" si="77"/>
        <v>0.66923076923076918</v>
      </c>
      <c r="K121" s="184">
        <f>AVERAGE($F$121:$J$121)</f>
        <v>0.68225356125356118</v>
      </c>
      <c r="L121" s="184">
        <f t="shared" ref="L121:O121" si="78">AVERAGE($F$121:$J$121)</f>
        <v>0.68225356125356118</v>
      </c>
      <c r="M121" s="184">
        <f t="shared" si="78"/>
        <v>0.68225356125356118</v>
      </c>
      <c r="N121" s="184">
        <f t="shared" si="78"/>
        <v>0.68225356125356118</v>
      </c>
      <c r="O121" s="184">
        <f t="shared" si="78"/>
        <v>0.68225356125356118</v>
      </c>
      <c r="Q121" t="s">
        <v>90</v>
      </c>
      <c r="V121" t="b">
        <f t="shared" si="62"/>
        <v>0</v>
      </c>
      <c r="W121" t="b">
        <f t="shared" si="63"/>
        <v>0</v>
      </c>
      <c r="X121" t="b">
        <f t="shared" si="64"/>
        <v>0</v>
      </c>
      <c r="Y121" t="b">
        <f t="shared" si="65"/>
        <v>0</v>
      </c>
      <c r="Z121" t="b">
        <f t="shared" si="66"/>
        <v>0</v>
      </c>
      <c r="AA121" t="b">
        <f t="shared" si="67"/>
        <v>0</v>
      </c>
      <c r="AB121" t="b">
        <f t="shared" si="68"/>
        <v>0</v>
      </c>
      <c r="AC121" t="b">
        <f t="shared" si="69"/>
        <v>0</v>
      </c>
      <c r="AD121" t="b">
        <f t="shared" si="70"/>
        <v>0</v>
      </c>
      <c r="AE121" t="b">
        <f t="shared" si="71"/>
        <v>0</v>
      </c>
    </row>
    <row r="122" spans="1:31" x14ac:dyDescent="0.2">
      <c r="D122" s="176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V122" t="b">
        <f t="shared" si="62"/>
        <v>0</v>
      </c>
      <c r="W122" t="b">
        <f t="shared" si="63"/>
        <v>0</v>
      </c>
      <c r="X122" t="b">
        <f t="shared" si="64"/>
        <v>0</v>
      </c>
      <c r="Y122" t="b">
        <f t="shared" si="65"/>
        <v>0</v>
      </c>
      <c r="Z122" t="b">
        <f t="shared" si="66"/>
        <v>0</v>
      </c>
      <c r="AA122" t="b">
        <f t="shared" si="67"/>
        <v>0</v>
      </c>
      <c r="AB122" t="b">
        <f t="shared" si="68"/>
        <v>0</v>
      </c>
      <c r="AC122" t="b">
        <f t="shared" si="69"/>
        <v>0</v>
      </c>
      <c r="AD122" t="b">
        <f t="shared" si="70"/>
        <v>0</v>
      </c>
      <c r="AE122" t="b">
        <f t="shared" si="71"/>
        <v>0</v>
      </c>
    </row>
    <row r="123" spans="1:31" x14ac:dyDescent="0.2">
      <c r="D123" s="185" t="s">
        <v>226</v>
      </c>
      <c r="F123" s="81">
        <f>FSM!F131</f>
        <v>3.2</v>
      </c>
      <c r="G123" s="81">
        <f>FSM!G131</f>
        <v>3.2</v>
      </c>
      <c r="H123" s="81">
        <f>FSM!H131</f>
        <v>3.2</v>
      </c>
      <c r="I123" s="81">
        <f>FSM!I131</f>
        <v>3.7</v>
      </c>
      <c r="J123" s="81">
        <f>FSM!J131</f>
        <v>4.3</v>
      </c>
      <c r="K123" s="120">
        <f>K124*K126</f>
        <v>4.3528586595173175</v>
      </c>
      <c r="L123" s="120">
        <f t="shared" ref="L123:O123" si="79">L124*L126</f>
        <v>4.6488604015065835</v>
      </c>
      <c r="M123" s="120">
        <f t="shared" si="79"/>
        <v>4.9302188143055998</v>
      </c>
      <c r="N123" s="120">
        <f t="shared" si="79"/>
        <v>5.1531172293141481</v>
      </c>
      <c r="O123" s="120">
        <f t="shared" si="79"/>
        <v>5.4175281605223899</v>
      </c>
      <c r="V123" t="b">
        <f t="shared" si="62"/>
        <v>0</v>
      </c>
      <c r="W123" t="b">
        <f t="shared" si="63"/>
        <v>0</v>
      </c>
      <c r="X123" t="b">
        <f t="shared" si="64"/>
        <v>0</v>
      </c>
      <c r="Y123" t="b">
        <f t="shared" si="65"/>
        <v>0</v>
      </c>
      <c r="Z123" t="b">
        <f t="shared" si="66"/>
        <v>0</v>
      </c>
      <c r="AA123" t="b">
        <f t="shared" si="67"/>
        <v>0</v>
      </c>
      <c r="AB123" t="b">
        <f t="shared" si="68"/>
        <v>0</v>
      </c>
      <c r="AC123" t="b">
        <f t="shared" si="69"/>
        <v>0</v>
      </c>
      <c r="AD123" t="b">
        <f t="shared" si="70"/>
        <v>0</v>
      </c>
      <c r="AE123" t="b">
        <f t="shared" si="71"/>
        <v>0</v>
      </c>
    </row>
    <row r="124" spans="1:31" x14ac:dyDescent="0.2">
      <c r="D124" s="176" t="s">
        <v>225</v>
      </c>
      <c r="F124" s="74">
        <f>F123/F126</f>
        <v>0.32</v>
      </c>
      <c r="G124" s="74">
        <f t="shared" ref="G124:J124" si="80">G123/G126</f>
        <v>0.29629629629629628</v>
      </c>
      <c r="H124" s="74">
        <f t="shared" si="80"/>
        <v>0.33333333333333331</v>
      </c>
      <c r="I124" s="74">
        <f t="shared" si="80"/>
        <v>0.30833333333333335</v>
      </c>
      <c r="J124" s="74">
        <f t="shared" si="80"/>
        <v>0.33076923076923076</v>
      </c>
      <c r="K124" s="184">
        <f>AVERAGE($F$124:$J$124)</f>
        <v>0.31774643874643871</v>
      </c>
      <c r="L124" s="184">
        <f t="shared" ref="L124:O124" si="81">AVERAGE($F$124:$J$124)</f>
        <v>0.31774643874643871</v>
      </c>
      <c r="M124" s="184">
        <f t="shared" si="81"/>
        <v>0.31774643874643871</v>
      </c>
      <c r="N124" s="184">
        <f t="shared" si="81"/>
        <v>0.31774643874643871</v>
      </c>
      <c r="O124" s="184">
        <f t="shared" si="81"/>
        <v>0.31774643874643871</v>
      </c>
      <c r="Q124" t="s">
        <v>90</v>
      </c>
      <c r="V124" t="b">
        <f t="shared" si="62"/>
        <v>0</v>
      </c>
      <c r="W124" t="b">
        <f t="shared" si="63"/>
        <v>0</v>
      </c>
      <c r="X124" t="b">
        <f t="shared" si="64"/>
        <v>0</v>
      </c>
      <c r="Y124" t="b">
        <f t="shared" si="65"/>
        <v>0</v>
      </c>
      <c r="Z124" t="b">
        <f t="shared" si="66"/>
        <v>0</v>
      </c>
      <c r="AA124" t="b">
        <f t="shared" si="67"/>
        <v>0</v>
      </c>
      <c r="AB124" t="b">
        <f t="shared" si="68"/>
        <v>0</v>
      </c>
      <c r="AC124" t="b">
        <f t="shared" si="69"/>
        <v>0</v>
      </c>
      <c r="AD124" t="b">
        <f t="shared" si="70"/>
        <v>0</v>
      </c>
      <c r="AE124" t="b">
        <f t="shared" si="71"/>
        <v>0</v>
      </c>
    </row>
    <row r="125" spans="1:31" x14ac:dyDescent="0.2">
      <c r="D125" s="176"/>
      <c r="F125" s="74"/>
      <c r="G125" s="74"/>
      <c r="H125" s="74"/>
      <c r="I125" s="74"/>
      <c r="J125" s="74"/>
      <c r="K125" s="184"/>
      <c r="L125" s="184"/>
      <c r="M125" s="184"/>
      <c r="N125" s="184"/>
      <c r="O125" s="184"/>
      <c r="V125" t="b">
        <f t="shared" si="62"/>
        <v>0</v>
      </c>
      <c r="W125" t="b">
        <f t="shared" si="63"/>
        <v>0</v>
      </c>
      <c r="X125" t="b">
        <f t="shared" si="64"/>
        <v>0</v>
      </c>
      <c r="Y125" t="b">
        <f t="shared" si="65"/>
        <v>0</v>
      </c>
      <c r="Z125" t="b">
        <f t="shared" si="66"/>
        <v>0</v>
      </c>
      <c r="AA125" t="b">
        <f t="shared" si="67"/>
        <v>0</v>
      </c>
      <c r="AB125" t="b">
        <f t="shared" si="68"/>
        <v>0</v>
      </c>
      <c r="AC125" t="b">
        <f t="shared" si="69"/>
        <v>0</v>
      </c>
      <c r="AD125" t="b">
        <f t="shared" si="70"/>
        <v>0</v>
      </c>
      <c r="AE125" t="b">
        <f t="shared" si="71"/>
        <v>0</v>
      </c>
    </row>
    <row r="126" spans="1:31" x14ac:dyDescent="0.2">
      <c r="D126" s="173" t="s">
        <v>227</v>
      </c>
      <c r="F126" s="263">
        <f>SUM(F120,F123)</f>
        <v>10</v>
      </c>
      <c r="G126" s="263">
        <f t="shared" ref="G126:J126" si="82">SUM(G120,G123)</f>
        <v>10.8</v>
      </c>
      <c r="H126" s="263">
        <f t="shared" si="82"/>
        <v>9.6000000000000014</v>
      </c>
      <c r="I126" s="263">
        <f t="shared" si="82"/>
        <v>12</v>
      </c>
      <c r="J126" s="263">
        <f t="shared" si="82"/>
        <v>13</v>
      </c>
      <c r="K126" s="120">
        <f>K127*FSM!K22</f>
        <v>13.699157972281458</v>
      </c>
      <c r="L126" s="120">
        <f>L127*FSM!L22</f>
        <v>14.630723855937118</v>
      </c>
      <c r="M126" s="120">
        <f>M127*FSM!M22</f>
        <v>15.516204788183035</v>
      </c>
      <c r="N126" s="120">
        <f>N127*FSM!N22</f>
        <v>16.217702548119917</v>
      </c>
      <c r="O126" s="120">
        <f>O127*FSM!O22</f>
        <v>17.049846984581222</v>
      </c>
      <c r="V126" t="b">
        <f t="shared" si="62"/>
        <v>0</v>
      </c>
      <c r="W126" t="b">
        <f t="shared" si="63"/>
        <v>0</v>
      </c>
      <c r="X126" t="b">
        <f t="shared" si="64"/>
        <v>0</v>
      </c>
      <c r="Y126" t="b">
        <f t="shared" si="65"/>
        <v>0</v>
      </c>
      <c r="Z126" t="b">
        <f t="shared" si="66"/>
        <v>0</v>
      </c>
      <c r="AA126" t="b">
        <f t="shared" si="67"/>
        <v>0</v>
      </c>
      <c r="AB126" t="b">
        <f t="shared" si="68"/>
        <v>0</v>
      </c>
      <c r="AC126" t="b">
        <f t="shared" si="69"/>
        <v>0</v>
      </c>
      <c r="AD126" t="b">
        <f t="shared" si="70"/>
        <v>0</v>
      </c>
      <c r="AE126" t="b">
        <f t="shared" si="71"/>
        <v>0</v>
      </c>
    </row>
    <row r="127" spans="1:31" x14ac:dyDescent="0.2">
      <c r="D127" s="176" t="s">
        <v>184</v>
      </c>
      <c r="F127" s="74">
        <f>F126/FSM!F22</f>
        <v>4.0264132710581407E-3</v>
      </c>
      <c r="G127" s="74">
        <f>G126/FSM!G22</f>
        <v>4.1892940263770365E-3</v>
      </c>
      <c r="H127" s="74">
        <f>H126/FSM!H22</f>
        <v>3.4793954550396875E-3</v>
      </c>
      <c r="I127" s="74">
        <f>I126/FSM!I22</f>
        <v>4.0759485071838585E-3</v>
      </c>
      <c r="J127" s="74">
        <f>J126/FSM!J22</f>
        <v>4.041911513229488E-3</v>
      </c>
      <c r="K127" s="6">
        <f>AVERAGE($F$127:$J$127)</f>
        <v>3.9625925545776425E-3</v>
      </c>
      <c r="L127" s="6">
        <f t="shared" ref="L127:O127" si="83">AVERAGE($F$127:$J$127)</f>
        <v>3.9625925545776425E-3</v>
      </c>
      <c r="M127" s="6">
        <f t="shared" si="83"/>
        <v>3.9625925545776425E-3</v>
      </c>
      <c r="N127" s="6">
        <f t="shared" si="83"/>
        <v>3.9625925545776425E-3</v>
      </c>
      <c r="O127" s="6">
        <f t="shared" si="83"/>
        <v>3.9625925545776425E-3</v>
      </c>
      <c r="V127" t="b">
        <f t="shared" si="62"/>
        <v>0</v>
      </c>
      <c r="W127" t="b">
        <f t="shared" si="63"/>
        <v>0</v>
      </c>
      <c r="X127" t="b">
        <f t="shared" si="64"/>
        <v>0</v>
      </c>
      <c r="Y127" t="b">
        <f t="shared" si="65"/>
        <v>0</v>
      </c>
      <c r="Z127" t="b">
        <f t="shared" si="66"/>
        <v>0</v>
      </c>
      <c r="AA127" t="b">
        <f t="shared" si="67"/>
        <v>0</v>
      </c>
      <c r="AB127" t="b">
        <f t="shared" si="68"/>
        <v>0</v>
      </c>
      <c r="AC127" t="b">
        <f t="shared" si="69"/>
        <v>0</v>
      </c>
      <c r="AD127" t="b">
        <f t="shared" si="70"/>
        <v>0</v>
      </c>
      <c r="AE127" t="b">
        <f t="shared" si="71"/>
        <v>0</v>
      </c>
    </row>
    <row r="128" spans="1:31" x14ac:dyDescent="0.2">
      <c r="D128" s="176"/>
      <c r="V128" t="b">
        <f t="shared" si="62"/>
        <v>0</v>
      </c>
      <c r="W128" t="b">
        <f t="shared" si="63"/>
        <v>0</v>
      </c>
      <c r="X128" t="b">
        <f t="shared" si="64"/>
        <v>0</v>
      </c>
      <c r="Y128" t="b">
        <f t="shared" si="65"/>
        <v>0</v>
      </c>
      <c r="Z128" t="b">
        <f t="shared" si="66"/>
        <v>0</v>
      </c>
      <c r="AA128" t="b">
        <f t="shared" si="67"/>
        <v>0</v>
      </c>
      <c r="AB128" t="b">
        <f t="shared" si="68"/>
        <v>0</v>
      </c>
      <c r="AC128" t="b">
        <f t="shared" si="69"/>
        <v>0</v>
      </c>
      <c r="AD128" t="b">
        <f t="shared" si="70"/>
        <v>0</v>
      </c>
      <c r="AE128" t="b">
        <f t="shared" si="71"/>
        <v>0</v>
      </c>
    </row>
    <row r="129" spans="1:31" x14ac:dyDescent="0.2">
      <c r="A129" s="42"/>
      <c r="B129" s="42"/>
      <c r="C129" s="42"/>
      <c r="D129" s="161" t="s">
        <v>228</v>
      </c>
      <c r="E129" s="178"/>
      <c r="F129" s="179"/>
      <c r="G129" s="179"/>
      <c r="H129" s="180"/>
      <c r="I129" s="180"/>
      <c r="J129" s="180"/>
      <c r="K129" s="180"/>
      <c r="L129" s="180"/>
      <c r="M129" s="180"/>
      <c r="N129" s="180"/>
      <c r="O129" s="180"/>
      <c r="V129" t="b">
        <f t="shared" si="62"/>
        <v>0</v>
      </c>
      <c r="W129" t="b">
        <f t="shared" si="63"/>
        <v>0</v>
      </c>
      <c r="X129" t="b">
        <f t="shared" si="64"/>
        <v>0</v>
      </c>
      <c r="Y129" t="b">
        <f t="shared" si="65"/>
        <v>0</v>
      </c>
      <c r="Z129" t="b">
        <f t="shared" si="66"/>
        <v>0</v>
      </c>
      <c r="AA129" t="b">
        <f t="shared" si="67"/>
        <v>0</v>
      </c>
      <c r="AB129" t="b">
        <f t="shared" si="68"/>
        <v>0</v>
      </c>
      <c r="AC129" t="b">
        <f t="shared" si="69"/>
        <v>0</v>
      </c>
      <c r="AD129" t="b">
        <f t="shared" si="70"/>
        <v>0</v>
      </c>
      <c r="AE129" t="b">
        <f t="shared" si="71"/>
        <v>0</v>
      </c>
    </row>
    <row r="130" spans="1:31" x14ac:dyDescent="0.2">
      <c r="A130" s="42"/>
      <c r="B130" s="42"/>
      <c r="C130" s="42"/>
      <c r="D130" s="190" t="s">
        <v>229</v>
      </c>
      <c r="E130" s="181"/>
      <c r="F130" s="202">
        <f>FSM!F114</f>
        <v>2</v>
      </c>
      <c r="G130" s="202">
        <f>FSM!G114</f>
        <v>1.6</v>
      </c>
      <c r="H130" s="202">
        <f>FSM!H114</f>
        <v>2.1</v>
      </c>
      <c r="I130" s="202">
        <f>FSM!I114</f>
        <v>1.1000000000000001</v>
      </c>
      <c r="J130" s="202">
        <f>FSM!J114</f>
        <v>0</v>
      </c>
      <c r="K130" s="202">
        <f>$J$130</f>
        <v>0</v>
      </c>
      <c r="L130" s="202">
        <f>$J$130</f>
        <v>0</v>
      </c>
      <c r="M130" s="202">
        <f>$J$130</f>
        <v>0</v>
      </c>
      <c r="N130" s="202">
        <f>$J$130</f>
        <v>0</v>
      </c>
      <c r="O130" s="202">
        <f>$J$130</f>
        <v>0</v>
      </c>
      <c r="Q130" t="s">
        <v>32</v>
      </c>
      <c r="V130" t="b">
        <f t="shared" si="62"/>
        <v>0</v>
      </c>
      <c r="W130" t="b">
        <f t="shared" si="63"/>
        <v>0</v>
      </c>
      <c r="X130" t="b">
        <f t="shared" si="64"/>
        <v>0</v>
      </c>
      <c r="Y130" t="b">
        <f t="shared" si="65"/>
        <v>0</v>
      </c>
      <c r="Z130" t="b">
        <f t="shared" si="66"/>
        <v>0</v>
      </c>
      <c r="AA130" t="b">
        <f t="shared" si="67"/>
        <v>0</v>
      </c>
      <c r="AB130" t="b">
        <f t="shared" si="68"/>
        <v>0</v>
      </c>
      <c r="AC130" t="b">
        <f t="shared" si="69"/>
        <v>0</v>
      </c>
      <c r="AD130" t="b">
        <f t="shared" si="70"/>
        <v>0</v>
      </c>
      <c r="AE130" t="b">
        <f t="shared" si="71"/>
        <v>0</v>
      </c>
    </row>
    <row r="131" spans="1:31" x14ac:dyDescent="0.2">
      <c r="A131" s="42"/>
      <c r="B131" s="42"/>
      <c r="C131" s="42"/>
      <c r="D131" s="190" t="s">
        <v>230</v>
      </c>
      <c r="E131" s="181"/>
      <c r="F131" s="202">
        <f>FSM!F126</f>
        <v>230.9</v>
      </c>
      <c r="G131" s="202">
        <f>FSM!G126</f>
        <v>230.7</v>
      </c>
      <c r="H131" s="202">
        <f>FSM!H126</f>
        <v>258.8</v>
      </c>
      <c r="I131" s="202">
        <f>FSM!I126</f>
        <v>244.8</v>
      </c>
      <c r="J131" s="202">
        <f>FSM!J126</f>
        <v>264.60000000000002</v>
      </c>
      <c r="K131" s="202">
        <f ca="1">K137*$K$135</f>
        <v>268.84731860006002</v>
      </c>
      <c r="L131" s="202">
        <f ca="1">L137*L135</f>
        <v>289.80423922590614</v>
      </c>
      <c r="M131" s="202">
        <f ca="1">M137*M135</f>
        <v>311.88376210588206</v>
      </c>
      <c r="N131" s="202">
        <f ca="1">N137*N135</f>
        <v>334.83816232762973</v>
      </c>
      <c r="O131" s="202">
        <f ca="1">O137*O135</f>
        <v>358.8355569794864</v>
      </c>
      <c r="V131" t="b">
        <f t="shared" si="62"/>
        <v>0</v>
      </c>
      <c r="W131" t="b">
        <f t="shared" si="63"/>
        <v>0</v>
      </c>
      <c r="X131" t="b">
        <f t="shared" si="64"/>
        <v>0</v>
      </c>
      <c r="Y131" t="b">
        <f t="shared" si="65"/>
        <v>0</v>
      </c>
      <c r="Z131" t="b">
        <f t="shared" si="66"/>
        <v>0</v>
      </c>
      <c r="AA131" t="b">
        <f t="shared" ca="1" si="67"/>
        <v>0</v>
      </c>
      <c r="AB131" t="b">
        <f t="shared" ca="1" si="68"/>
        <v>0</v>
      </c>
      <c r="AC131" t="b">
        <f t="shared" ca="1" si="69"/>
        <v>0</v>
      </c>
      <c r="AD131" t="b">
        <f t="shared" ca="1" si="70"/>
        <v>0</v>
      </c>
      <c r="AE131" t="b">
        <f t="shared" ca="1" si="71"/>
        <v>0</v>
      </c>
    </row>
    <row r="132" spans="1:31" s="185" customFormat="1" x14ac:dyDescent="0.2">
      <c r="A132" s="186"/>
      <c r="B132" s="186"/>
      <c r="C132" s="186"/>
      <c r="D132" s="186" t="s">
        <v>231</v>
      </c>
      <c r="E132" s="265"/>
      <c r="F132" s="8">
        <f>FSM!F119</f>
        <v>6.3</v>
      </c>
      <c r="G132" s="8">
        <f>FSM!G119</f>
        <v>6.9</v>
      </c>
      <c r="H132" s="8">
        <f>FSM!H119</f>
        <v>7</v>
      </c>
      <c r="I132" s="8">
        <f>FSM!I119</f>
        <v>7.5</v>
      </c>
      <c r="J132" s="8">
        <f>FSM!J119</f>
        <v>8.3000000000000007</v>
      </c>
      <c r="K132" s="202">
        <f ca="1">K138*K135</f>
        <v>7.8802212499191864</v>
      </c>
      <c r="L132" s="202">
        <f t="shared" ref="L132:O132" ca="1" si="84">L138*L135</f>
        <v>8.4944924731123557</v>
      </c>
      <c r="M132" s="202">
        <f t="shared" ca="1" si="84"/>
        <v>9.1416684475385477</v>
      </c>
      <c r="N132" s="202">
        <f t="shared" ca="1" si="84"/>
        <v>9.8144880737430142</v>
      </c>
      <c r="O132" s="202">
        <f t="shared" ca="1" si="84"/>
        <v>10.517879055148233</v>
      </c>
      <c r="V132" s="185" t="b">
        <f t="shared" si="62"/>
        <v>0</v>
      </c>
      <c r="W132" s="185" t="b">
        <f t="shared" si="63"/>
        <v>0</v>
      </c>
      <c r="X132" s="185" t="b">
        <f t="shared" si="64"/>
        <v>0</v>
      </c>
      <c r="Y132" s="185" t="b">
        <f t="shared" si="65"/>
        <v>0</v>
      </c>
      <c r="Z132" s="185" t="b">
        <f t="shared" si="66"/>
        <v>0</v>
      </c>
      <c r="AA132" s="185" t="b">
        <f t="shared" ca="1" si="67"/>
        <v>0</v>
      </c>
      <c r="AB132" s="185" t="b">
        <f t="shared" ca="1" si="68"/>
        <v>0</v>
      </c>
      <c r="AC132" s="185" t="b">
        <f t="shared" ca="1" si="69"/>
        <v>0</v>
      </c>
      <c r="AD132" s="185" t="b">
        <f t="shared" ca="1" si="70"/>
        <v>0</v>
      </c>
      <c r="AE132" s="185" t="b">
        <f t="shared" ca="1" si="71"/>
        <v>0</v>
      </c>
    </row>
    <row r="133" spans="1:31" s="185" customFormat="1" x14ac:dyDescent="0.2">
      <c r="A133" s="186"/>
      <c r="B133" s="186"/>
      <c r="C133" s="186"/>
      <c r="D133" s="186" t="s">
        <v>232</v>
      </c>
      <c r="E133" s="265"/>
      <c r="F133" s="8">
        <f>FSM!F130</f>
        <v>76.3</v>
      </c>
      <c r="G133" s="8">
        <f>FSM!G130</f>
        <v>50.7</v>
      </c>
      <c r="H133" s="8">
        <f>FSM!H130</f>
        <v>43.8</v>
      </c>
      <c r="I133" s="8">
        <f>FSM!I130</f>
        <v>38.4</v>
      </c>
      <c r="J133" s="8">
        <f>FSM!J130</f>
        <v>33.9</v>
      </c>
      <c r="K133" s="202">
        <f ca="1">K139*K135</f>
        <v>52.939985233336586</v>
      </c>
      <c r="L133" s="202">
        <f t="shared" ref="L133:O133" ca="1" si="85">L139*L135</f>
        <v>57.066710670829018</v>
      </c>
      <c r="M133" s="202">
        <f t="shared" ca="1" si="85"/>
        <v>61.414492978317433</v>
      </c>
      <c r="N133" s="202">
        <f t="shared" ca="1" si="85"/>
        <v>65.93455148255407</v>
      </c>
      <c r="O133" s="202">
        <f t="shared" ca="1" si="85"/>
        <v>70.659990907143367</v>
      </c>
      <c r="V133" s="185" t="b">
        <f t="shared" si="62"/>
        <v>0</v>
      </c>
      <c r="W133" s="185" t="b">
        <f t="shared" si="63"/>
        <v>0</v>
      </c>
      <c r="X133" s="185" t="b">
        <f t="shared" si="64"/>
        <v>0</v>
      </c>
      <c r="Y133" s="185" t="b">
        <f t="shared" si="65"/>
        <v>0</v>
      </c>
      <c r="Z133" s="185" t="b">
        <f t="shared" si="66"/>
        <v>0</v>
      </c>
      <c r="AA133" s="185" t="b">
        <f t="shared" ca="1" si="67"/>
        <v>0</v>
      </c>
      <c r="AB133" s="185" t="b">
        <f t="shared" ca="1" si="68"/>
        <v>0</v>
      </c>
      <c r="AC133" s="185" t="b">
        <f t="shared" ca="1" si="69"/>
        <v>0</v>
      </c>
      <c r="AD133" s="185" t="b">
        <f t="shared" ca="1" si="70"/>
        <v>0</v>
      </c>
      <c r="AE133" s="185" t="b">
        <f t="shared" ca="1" si="71"/>
        <v>0</v>
      </c>
    </row>
    <row r="134" spans="1:31" x14ac:dyDescent="0.2">
      <c r="A134" s="42"/>
      <c r="B134" s="42"/>
      <c r="C134" s="42"/>
      <c r="D134" s="42"/>
      <c r="E134" s="181"/>
      <c r="F134" s="202"/>
      <c r="G134" s="202"/>
      <c r="H134" s="202"/>
      <c r="I134" s="202"/>
      <c r="J134" s="202"/>
      <c r="K134" s="202"/>
      <c r="L134" s="202"/>
      <c r="M134" s="202"/>
      <c r="N134" s="202"/>
      <c r="O134" s="202"/>
      <c r="V134" t="b">
        <f t="shared" si="62"/>
        <v>0</v>
      </c>
      <c r="W134" t="b">
        <f t="shared" si="63"/>
        <v>0</v>
      </c>
      <c r="X134" t="b">
        <f t="shared" si="64"/>
        <v>0</v>
      </c>
      <c r="Y134" t="b">
        <f t="shared" si="65"/>
        <v>0</v>
      </c>
      <c r="Z134" t="b">
        <f t="shared" si="66"/>
        <v>0</v>
      </c>
      <c r="AA134" t="b">
        <f t="shared" si="67"/>
        <v>0</v>
      </c>
      <c r="AB134" t="b">
        <f t="shared" si="68"/>
        <v>0</v>
      </c>
      <c r="AC134" t="b">
        <f t="shared" si="69"/>
        <v>0</v>
      </c>
      <c r="AD134" t="b">
        <f t="shared" si="70"/>
        <v>0</v>
      </c>
      <c r="AE134" t="b">
        <f t="shared" si="71"/>
        <v>0</v>
      </c>
    </row>
    <row r="135" spans="1:31" x14ac:dyDescent="0.2">
      <c r="A135" s="42"/>
      <c r="B135" s="42"/>
      <c r="C135" s="42"/>
      <c r="D135" s="32" t="s">
        <v>233</v>
      </c>
      <c r="E135" s="181"/>
      <c r="F135" s="203">
        <f>SUM(F130:F133)</f>
        <v>315.5</v>
      </c>
      <c r="G135" s="203">
        <f t="shared" ref="G135:J135" si="86">SUM(G130:G133)</f>
        <v>289.89999999999998</v>
      </c>
      <c r="H135" s="203">
        <f t="shared" si="86"/>
        <v>311.70000000000005</v>
      </c>
      <c r="I135" s="203">
        <f t="shared" si="86"/>
        <v>291.8</v>
      </c>
      <c r="J135" s="203">
        <f t="shared" si="86"/>
        <v>306.8</v>
      </c>
      <c r="K135" s="203">
        <f ca="1">K144</f>
        <v>331.14876951582789</v>
      </c>
      <c r="L135" s="203">
        <f t="shared" ref="L135:O135" ca="1" si="87">L144</f>
        <v>356.96215130526514</v>
      </c>
      <c r="M135" s="203">
        <f t="shared" ca="1" si="87"/>
        <v>384.15828207299433</v>
      </c>
      <c r="N135" s="203">
        <f t="shared" ca="1" si="87"/>
        <v>412.43203026578692</v>
      </c>
      <c r="O135" s="203">
        <f t="shared" ca="1" si="87"/>
        <v>441.99047165894677</v>
      </c>
      <c r="V135" t="b">
        <f t="shared" si="62"/>
        <v>0</v>
      </c>
      <c r="W135" t="b">
        <f t="shared" si="63"/>
        <v>0</v>
      </c>
      <c r="X135" t="b">
        <f t="shared" si="64"/>
        <v>0</v>
      </c>
      <c r="Y135" t="b">
        <f t="shared" si="65"/>
        <v>0</v>
      </c>
      <c r="Z135" t="b">
        <f t="shared" si="66"/>
        <v>0</v>
      </c>
      <c r="AA135" t="b">
        <f t="shared" ca="1" si="67"/>
        <v>0</v>
      </c>
      <c r="AB135" t="b">
        <f t="shared" ca="1" si="68"/>
        <v>0</v>
      </c>
      <c r="AC135" t="b">
        <f t="shared" ca="1" si="69"/>
        <v>0</v>
      </c>
      <c r="AD135" t="b">
        <f t="shared" ca="1" si="70"/>
        <v>0</v>
      </c>
      <c r="AE135" t="b">
        <f t="shared" ca="1" si="71"/>
        <v>0</v>
      </c>
    </row>
    <row r="136" spans="1:31" x14ac:dyDescent="0.2">
      <c r="A136" s="42"/>
      <c r="B136" s="42"/>
      <c r="C136" s="42"/>
      <c r="D136" s="42"/>
      <c r="E136" s="181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V136" t="b">
        <f t="shared" si="62"/>
        <v>0</v>
      </c>
      <c r="W136" t="b">
        <f t="shared" si="63"/>
        <v>0</v>
      </c>
      <c r="X136" t="b">
        <f t="shared" si="64"/>
        <v>0</v>
      </c>
      <c r="Y136" t="b">
        <f t="shared" si="65"/>
        <v>0</v>
      </c>
      <c r="Z136" t="b">
        <f t="shared" si="66"/>
        <v>0</v>
      </c>
      <c r="AA136" t="b">
        <f t="shared" si="67"/>
        <v>0</v>
      </c>
      <c r="AB136" t="b">
        <f t="shared" si="68"/>
        <v>0</v>
      </c>
      <c r="AC136" t="b">
        <f t="shared" si="69"/>
        <v>0</v>
      </c>
      <c r="AD136" t="b">
        <f t="shared" si="70"/>
        <v>0</v>
      </c>
      <c r="AE136" t="b">
        <f t="shared" si="71"/>
        <v>0</v>
      </c>
    </row>
    <row r="137" spans="1:31" x14ac:dyDescent="0.2">
      <c r="A137" s="42"/>
      <c r="B137" s="42"/>
      <c r="C137" s="42"/>
      <c r="D137" s="187" t="s">
        <v>234</v>
      </c>
      <c r="E137" s="181"/>
      <c r="F137" s="204">
        <f>F131/F135</f>
        <v>0.73185419968304277</v>
      </c>
      <c r="G137" s="204">
        <f t="shared" ref="G137:J137" si="88">G131/G135</f>
        <v>0.79579165229389448</v>
      </c>
      <c r="H137" s="204">
        <f t="shared" si="88"/>
        <v>0.83028553095925561</v>
      </c>
      <c r="I137" s="204">
        <f t="shared" si="88"/>
        <v>0.83893077450308429</v>
      </c>
      <c r="J137" s="204">
        <f t="shared" si="88"/>
        <v>0.86245110821382009</v>
      </c>
      <c r="K137" s="204">
        <f>AVERAGE($F$137:$J$137)</f>
        <v>0.81186265313061945</v>
      </c>
      <c r="L137" s="204">
        <f>AVERAGE($F$137:$J$137)</f>
        <v>0.81186265313061945</v>
      </c>
      <c r="M137" s="204">
        <f>AVERAGE($F$137:$J$137)</f>
        <v>0.81186265313061945</v>
      </c>
      <c r="N137" s="204">
        <f>AVERAGE($F$137:$J$137)</f>
        <v>0.81186265313061945</v>
      </c>
      <c r="O137" s="204">
        <f>AVERAGE($F$137:$J$137)</f>
        <v>0.81186265313061945</v>
      </c>
      <c r="Q137" t="s">
        <v>235</v>
      </c>
      <c r="V137" t="b">
        <f t="shared" si="62"/>
        <v>0</v>
      </c>
      <c r="W137" t="b">
        <f t="shared" si="63"/>
        <v>0</v>
      </c>
      <c r="X137" t="b">
        <f t="shared" si="64"/>
        <v>0</v>
      </c>
      <c r="Y137" t="b">
        <f t="shared" si="65"/>
        <v>0</v>
      </c>
      <c r="Z137" t="b">
        <f t="shared" si="66"/>
        <v>0</v>
      </c>
      <c r="AA137" t="b">
        <f t="shared" si="67"/>
        <v>0</v>
      </c>
      <c r="AB137" t="b">
        <f t="shared" si="68"/>
        <v>0</v>
      </c>
      <c r="AC137" t="b">
        <f t="shared" si="69"/>
        <v>0</v>
      </c>
      <c r="AD137" t="b">
        <f t="shared" si="70"/>
        <v>0</v>
      </c>
      <c r="AE137" t="b">
        <f t="shared" si="71"/>
        <v>0</v>
      </c>
    </row>
    <row r="138" spans="1:31" x14ac:dyDescent="0.2">
      <c r="A138" s="24"/>
      <c r="B138" s="24"/>
      <c r="C138" s="24"/>
      <c r="D138" s="186" t="s">
        <v>236</v>
      </c>
      <c r="E138" s="65"/>
      <c r="F138" s="29">
        <f>F132/F135</f>
        <v>1.9968304278922346E-2</v>
      </c>
      <c r="G138" s="29">
        <f t="shared" ref="G138:J138" si="89">G132/G135</f>
        <v>2.3801310796826496E-2</v>
      </c>
      <c r="H138" s="29">
        <f t="shared" si="89"/>
        <v>2.2457491177414177E-2</v>
      </c>
      <c r="I138" s="29">
        <f t="shared" si="89"/>
        <v>2.5702535983550375E-2</v>
      </c>
      <c r="J138" s="29">
        <f t="shared" si="89"/>
        <v>2.7053455019556714E-2</v>
      </c>
      <c r="K138" s="6">
        <f>AVERAGE($F$138:$J$138)</f>
        <v>2.3796619451254025E-2</v>
      </c>
      <c r="L138" s="6">
        <f>AVERAGE($F$138:$J$138)</f>
        <v>2.3796619451254025E-2</v>
      </c>
      <c r="M138" s="6">
        <f>AVERAGE($F$138:$J$138)</f>
        <v>2.3796619451254025E-2</v>
      </c>
      <c r="N138" s="6">
        <f>AVERAGE($F$138:$J$138)</f>
        <v>2.3796619451254025E-2</v>
      </c>
      <c r="O138" s="6">
        <f>AVERAGE($F$138:$J$138)</f>
        <v>2.3796619451254025E-2</v>
      </c>
      <c r="Q138" t="s">
        <v>237</v>
      </c>
      <c r="V138" t="b">
        <f t="shared" si="62"/>
        <v>0</v>
      </c>
      <c r="W138" t="b">
        <f t="shared" si="63"/>
        <v>0</v>
      </c>
      <c r="X138" t="b">
        <f t="shared" si="64"/>
        <v>0</v>
      </c>
      <c r="Y138" t="b">
        <f t="shared" si="65"/>
        <v>0</v>
      </c>
      <c r="Z138" t="b">
        <f t="shared" si="66"/>
        <v>0</v>
      </c>
      <c r="AA138" t="b">
        <f t="shared" si="67"/>
        <v>0</v>
      </c>
      <c r="AB138" t="b">
        <f t="shared" si="68"/>
        <v>0</v>
      </c>
      <c r="AC138" t="b">
        <f t="shared" si="69"/>
        <v>0</v>
      </c>
      <c r="AD138" t="b">
        <f t="shared" si="70"/>
        <v>0</v>
      </c>
      <c r="AE138" t="b">
        <f t="shared" si="71"/>
        <v>0</v>
      </c>
    </row>
    <row r="139" spans="1:31" x14ac:dyDescent="0.2">
      <c r="A139" s="24"/>
      <c r="B139" s="24"/>
      <c r="C139" s="24"/>
      <c r="D139" s="186" t="s">
        <v>238</v>
      </c>
      <c r="E139" s="65"/>
      <c r="F139" s="29">
        <f>F133/F135</f>
        <v>0.24183835182250396</v>
      </c>
      <c r="G139" s="29">
        <f t="shared" ref="G139:J139" si="90">G133/G135</f>
        <v>0.17488789237668165</v>
      </c>
      <c r="H139" s="29">
        <f t="shared" si="90"/>
        <v>0.14051973051010583</v>
      </c>
      <c r="I139" s="29">
        <f t="shared" si="90"/>
        <v>0.13159698423577793</v>
      </c>
      <c r="J139" s="29">
        <f t="shared" si="90"/>
        <v>0.1104954367666232</v>
      </c>
      <c r="K139" s="6">
        <f>AVERAGE($F$139:$J$139)</f>
        <v>0.15986767914233851</v>
      </c>
      <c r="L139" s="6">
        <f>AVERAGE($F$139:$J$139)</f>
        <v>0.15986767914233851</v>
      </c>
      <c r="M139" s="6">
        <f>AVERAGE($F$139:$J$139)</f>
        <v>0.15986767914233851</v>
      </c>
      <c r="N139" s="6">
        <f>AVERAGE($F$139:$J$139)</f>
        <v>0.15986767914233851</v>
      </c>
      <c r="O139" s="6">
        <f>AVERAGE($F$139:$J$139)</f>
        <v>0.15986767914233851</v>
      </c>
      <c r="Q139" t="s">
        <v>237</v>
      </c>
      <c r="V139" t="b">
        <f t="shared" si="62"/>
        <v>0</v>
      </c>
      <c r="W139" t="b">
        <f t="shared" si="63"/>
        <v>0</v>
      </c>
      <c r="X139" t="b">
        <f t="shared" si="64"/>
        <v>0</v>
      </c>
      <c r="Y139" t="b">
        <f t="shared" si="65"/>
        <v>0</v>
      </c>
      <c r="Z139" t="b">
        <f t="shared" si="66"/>
        <v>0</v>
      </c>
      <c r="AA139" t="b">
        <f t="shared" si="67"/>
        <v>0</v>
      </c>
      <c r="AB139" t="b">
        <f t="shared" si="68"/>
        <v>0</v>
      </c>
      <c r="AC139" t="b">
        <f t="shared" si="69"/>
        <v>0</v>
      </c>
      <c r="AD139" t="b">
        <f t="shared" si="70"/>
        <v>0</v>
      </c>
      <c r="AE139" t="b">
        <f t="shared" si="71"/>
        <v>0</v>
      </c>
    </row>
    <row r="140" spans="1:31" x14ac:dyDescent="0.2">
      <c r="A140" s="42"/>
      <c r="B140" s="42"/>
      <c r="C140" s="42"/>
      <c r="D140" s="42"/>
      <c r="E140" s="181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V140" t="b">
        <f t="shared" ref="V140:V176" si="91">OR(ROUND(F140,8)=-0.00133017,ROUND(F140-E140,8)=-0.00133017)</f>
        <v>0</v>
      </c>
      <c r="W140" t="b">
        <f t="shared" ref="W140:W176" si="92">OR(ROUND(G140,8)=-0.00133017,ROUND(G140-F140,8)=-0.00133017)</f>
        <v>0</v>
      </c>
      <c r="X140" t="b">
        <f t="shared" ref="X140:X176" si="93">OR(ROUND(H140,8)=-0.00133017,ROUND(H140-G140,8)=-0.00133017)</f>
        <v>0</v>
      </c>
      <c r="Y140" t="b">
        <f t="shared" ref="Y140:Y176" si="94">OR(ROUND(I140,8)=-0.00133017,ROUND(I140-H140,8)=-0.00133017)</f>
        <v>0</v>
      </c>
      <c r="Z140" t="b">
        <f t="shared" ref="Z140:Z176" si="95">OR(ROUND(J140,8)=-0.00133017,ROUND(J140-I140,8)=-0.00133017)</f>
        <v>0</v>
      </c>
      <c r="AA140" t="b">
        <f t="shared" ref="AA140:AA176" si="96">OR(ROUND(K140,8)=-0.00133017,ROUND(K140-J140,8)=-0.00133017)</f>
        <v>0</v>
      </c>
      <c r="AB140" t="b">
        <f t="shared" ref="AB140:AB176" si="97">OR(ROUND(L140,8)=-0.00133017,ROUND(L140-K140,8)=-0.00133017)</f>
        <v>0</v>
      </c>
      <c r="AC140" t="b">
        <f t="shared" ref="AC140:AC176" si="98">OR(ROUND(M140,8)=-0.00133017,ROUND(M140-L140,8)=-0.00133017)</f>
        <v>0</v>
      </c>
      <c r="AD140" t="b">
        <f t="shared" ref="AD140:AD176" si="99">OR(ROUND(N140,8)=-0.00133017,ROUND(N140-M140,8)=-0.00133017)</f>
        <v>0</v>
      </c>
      <c r="AE140" t="b">
        <f t="shared" ref="AE140:AE176" si="100">OR(ROUND(O140,8)=-0.00133017,ROUND(O140-N140,8)=-0.00133017)</f>
        <v>0</v>
      </c>
    </row>
    <row r="141" spans="1:31" x14ac:dyDescent="0.2">
      <c r="A141" s="42"/>
      <c r="B141" s="42"/>
      <c r="C141" s="42"/>
      <c r="D141" s="32" t="s">
        <v>239</v>
      </c>
      <c r="E141" s="181"/>
      <c r="F141" s="266"/>
      <c r="G141" s="194"/>
      <c r="H141" s="194"/>
      <c r="I141" s="194"/>
      <c r="J141" s="194"/>
      <c r="K141" s="194"/>
      <c r="L141" s="194"/>
      <c r="M141" s="194"/>
      <c r="N141" s="194"/>
      <c r="O141" s="194"/>
      <c r="V141" t="b">
        <f t="shared" si="91"/>
        <v>0</v>
      </c>
      <c r="W141" t="b">
        <f t="shared" si="92"/>
        <v>0</v>
      </c>
      <c r="X141" t="b">
        <f t="shared" si="93"/>
        <v>0</v>
      </c>
      <c r="Y141" t="b">
        <f t="shared" si="94"/>
        <v>0</v>
      </c>
      <c r="Z141" t="b">
        <f t="shared" si="95"/>
        <v>0</v>
      </c>
      <c r="AA141" t="b">
        <f t="shared" si="96"/>
        <v>0</v>
      </c>
      <c r="AB141" t="b">
        <f t="shared" si="97"/>
        <v>0</v>
      </c>
      <c r="AC141" t="b">
        <f t="shared" si="98"/>
        <v>0</v>
      </c>
      <c r="AD141" t="b">
        <f t="shared" si="99"/>
        <v>0</v>
      </c>
      <c r="AE141" t="b">
        <f t="shared" si="100"/>
        <v>0</v>
      </c>
    </row>
    <row r="142" spans="1:31" x14ac:dyDescent="0.2">
      <c r="A142" s="42"/>
      <c r="B142" s="42"/>
      <c r="C142" s="42"/>
      <c r="D142" s="190" t="s">
        <v>240</v>
      </c>
      <c r="E142" s="181"/>
      <c r="F142" s="202">
        <f>FSM!F145</f>
        <v>603.1</v>
      </c>
      <c r="G142" s="202">
        <f>FSM!G145</f>
        <v>706.20000000000016</v>
      </c>
      <c r="H142" s="202">
        <f>FSM!H145</f>
        <v>829.90000000000009</v>
      </c>
      <c r="I142" s="202">
        <f>FSM!I145</f>
        <v>996.80000000000007</v>
      </c>
      <c r="J142" s="202">
        <f>FSM!J145</f>
        <v>1043.8</v>
      </c>
      <c r="K142" s="202">
        <f ca="1">FSM!K145</f>
        <v>1126.6397836395734</v>
      </c>
      <c r="L142" s="202">
        <f ca="1">FSM!L145</f>
        <v>1214.4624952165441</v>
      </c>
      <c r="M142" s="202">
        <f ca="1">FSM!M145</f>
        <v>1306.9896180827623</v>
      </c>
      <c r="N142" s="202">
        <f ca="1">FSM!N145</f>
        <v>1403.1830286552424</v>
      </c>
      <c r="O142" s="202">
        <f ca="1">FSM!O145</f>
        <v>1503.7472435384896</v>
      </c>
      <c r="V142" t="b">
        <f t="shared" si="91"/>
        <v>0</v>
      </c>
      <c r="W142" t="b">
        <f t="shared" si="92"/>
        <v>0</v>
      </c>
      <c r="X142" t="b">
        <f t="shared" si="93"/>
        <v>0</v>
      </c>
      <c r="Y142" t="b">
        <f t="shared" si="94"/>
        <v>0</v>
      </c>
      <c r="Z142" t="b">
        <f t="shared" si="95"/>
        <v>0</v>
      </c>
      <c r="AA142" t="b">
        <f t="shared" ca="1" si="96"/>
        <v>0</v>
      </c>
      <c r="AB142" t="b">
        <f t="shared" ca="1" si="97"/>
        <v>0</v>
      </c>
      <c r="AC142" t="b">
        <f t="shared" ca="1" si="98"/>
        <v>0</v>
      </c>
      <c r="AD142" t="b">
        <f t="shared" ca="1" si="99"/>
        <v>0</v>
      </c>
      <c r="AE142" t="b">
        <f t="shared" ca="1" si="100"/>
        <v>0</v>
      </c>
    </row>
    <row r="143" spans="1:31" x14ac:dyDescent="0.2">
      <c r="A143" s="42"/>
      <c r="B143" s="42"/>
      <c r="C143" s="42"/>
      <c r="D143" s="190" t="s">
        <v>241</v>
      </c>
      <c r="E143" s="181"/>
      <c r="F143" s="278">
        <f>F135/F142</f>
        <v>0.5231304924556458</v>
      </c>
      <c r="G143" s="278">
        <f>G135/G142</f>
        <v>0.41050693854432158</v>
      </c>
      <c r="H143" s="278">
        <f>H135/H142</f>
        <v>0.37558742017110497</v>
      </c>
      <c r="I143" s="278">
        <f>I135/I142</f>
        <v>0.29273675762439805</v>
      </c>
      <c r="J143" s="278">
        <f>J135/J142</f>
        <v>0.29392603947116308</v>
      </c>
      <c r="K143" s="278">
        <f>$J$143</f>
        <v>0.29392603947116308</v>
      </c>
      <c r="L143" s="278">
        <f t="shared" ref="L143:O143" si="101">$J$143</f>
        <v>0.29392603947116308</v>
      </c>
      <c r="M143" s="278">
        <f t="shared" si="101"/>
        <v>0.29392603947116308</v>
      </c>
      <c r="N143" s="278">
        <f t="shared" si="101"/>
        <v>0.29392603947116308</v>
      </c>
      <c r="O143" s="278">
        <f t="shared" si="101"/>
        <v>0.29392603947116308</v>
      </c>
      <c r="V143" t="b">
        <f t="shared" si="91"/>
        <v>0</v>
      </c>
      <c r="W143" t="b">
        <f t="shared" si="92"/>
        <v>0</v>
      </c>
      <c r="X143" t="b">
        <f t="shared" si="93"/>
        <v>0</v>
      </c>
      <c r="Y143" t="b">
        <f t="shared" si="94"/>
        <v>0</v>
      </c>
      <c r="Z143" t="b">
        <f t="shared" si="95"/>
        <v>0</v>
      </c>
      <c r="AA143" t="b">
        <f t="shared" si="96"/>
        <v>0</v>
      </c>
      <c r="AB143" t="b">
        <f t="shared" si="97"/>
        <v>0</v>
      </c>
      <c r="AC143" t="b">
        <f t="shared" si="98"/>
        <v>0</v>
      </c>
      <c r="AD143" t="b">
        <f t="shared" si="99"/>
        <v>0</v>
      </c>
      <c r="AE143" t="b">
        <f t="shared" si="100"/>
        <v>0</v>
      </c>
    </row>
    <row r="144" spans="1:31" x14ac:dyDescent="0.2">
      <c r="A144" s="42"/>
      <c r="B144" s="42"/>
      <c r="C144" s="42"/>
      <c r="D144" s="32" t="s">
        <v>242</v>
      </c>
      <c r="E144" s="181"/>
      <c r="F144" s="203">
        <f>F135</f>
        <v>315.5</v>
      </c>
      <c r="G144" s="203">
        <f>G135</f>
        <v>289.89999999999998</v>
      </c>
      <c r="H144" s="203">
        <f>H135</f>
        <v>311.70000000000005</v>
      </c>
      <c r="I144" s="203">
        <f>I135</f>
        <v>291.8</v>
      </c>
      <c r="J144" s="203">
        <f>J135</f>
        <v>306.8</v>
      </c>
      <c r="K144" s="203">
        <f ca="1">K142*K143</f>
        <v>331.14876951582789</v>
      </c>
      <c r="L144" s="203">
        <f t="shared" ref="L144:O144" ca="1" si="102">L142*L143</f>
        <v>356.96215130526514</v>
      </c>
      <c r="M144" s="203">
        <f t="shared" ca="1" si="102"/>
        <v>384.15828207299433</v>
      </c>
      <c r="N144" s="203">
        <f t="shared" ca="1" si="102"/>
        <v>412.43203026578692</v>
      </c>
      <c r="O144" s="203">
        <f t="shared" ca="1" si="102"/>
        <v>441.99047165894677</v>
      </c>
      <c r="V144" t="b">
        <f t="shared" si="91"/>
        <v>0</v>
      </c>
      <c r="W144" t="b">
        <f t="shared" si="92"/>
        <v>0</v>
      </c>
      <c r="X144" t="b">
        <f t="shared" si="93"/>
        <v>0</v>
      </c>
      <c r="Y144" t="b">
        <f t="shared" si="94"/>
        <v>0</v>
      </c>
      <c r="Z144" t="b">
        <f t="shared" si="95"/>
        <v>0</v>
      </c>
      <c r="AA144" t="b">
        <f t="shared" ca="1" si="96"/>
        <v>0</v>
      </c>
      <c r="AB144" t="b">
        <f t="shared" ca="1" si="97"/>
        <v>0</v>
      </c>
      <c r="AC144" t="b">
        <f t="shared" ca="1" si="98"/>
        <v>0</v>
      </c>
      <c r="AD144" t="b">
        <f t="shared" ca="1" si="99"/>
        <v>0</v>
      </c>
      <c r="AE144" t="b">
        <f t="shared" ca="1" si="100"/>
        <v>0</v>
      </c>
    </row>
    <row r="145" spans="1:31" x14ac:dyDescent="0.2">
      <c r="A145" s="42"/>
      <c r="B145" s="42"/>
      <c r="C145" s="42"/>
      <c r="D145" s="42"/>
      <c r="E145" s="181"/>
      <c r="F145" s="202"/>
      <c r="G145" s="202"/>
      <c r="H145" s="202"/>
      <c r="I145" s="202"/>
      <c r="J145" s="202"/>
      <c r="K145" s="202"/>
      <c r="L145" s="202"/>
      <c r="M145" s="202"/>
      <c r="N145" s="202"/>
      <c r="O145" s="202"/>
      <c r="V145" t="b">
        <f t="shared" si="91"/>
        <v>0</v>
      </c>
      <c r="W145" t="b">
        <f t="shared" si="92"/>
        <v>0</v>
      </c>
      <c r="X145" t="b">
        <f t="shared" si="93"/>
        <v>0</v>
      </c>
      <c r="Y145" t="b">
        <f t="shared" si="94"/>
        <v>0</v>
      </c>
      <c r="Z145" t="b">
        <f t="shared" si="95"/>
        <v>0</v>
      </c>
      <c r="AA145" t="b">
        <f t="shared" si="96"/>
        <v>0</v>
      </c>
      <c r="AB145" t="b">
        <f t="shared" si="97"/>
        <v>0</v>
      </c>
      <c r="AC145" t="b">
        <f t="shared" si="98"/>
        <v>0</v>
      </c>
      <c r="AD145" t="b">
        <f t="shared" si="99"/>
        <v>0</v>
      </c>
      <c r="AE145" t="b">
        <f t="shared" si="100"/>
        <v>0</v>
      </c>
    </row>
    <row r="146" spans="1:31" x14ac:dyDescent="0.2">
      <c r="A146" s="42"/>
      <c r="B146" s="42"/>
      <c r="C146" s="42"/>
      <c r="D146" s="190" t="s">
        <v>243</v>
      </c>
      <c r="E146" s="181"/>
      <c r="F146" s="202">
        <f>FSM!F87</f>
        <v>198</v>
      </c>
      <c r="G146" s="202">
        <f>FSM!G87</f>
        <v>213.9</v>
      </c>
      <c r="H146" s="202">
        <f>FSM!H87</f>
        <v>206.9</v>
      </c>
      <c r="I146" s="202">
        <f>FSM!I87</f>
        <v>243</v>
      </c>
      <c r="J146" s="202">
        <f>FSM!J87</f>
        <v>275.3</v>
      </c>
      <c r="K146" s="202">
        <f ca="1">FSM!K87</f>
        <v>422.06848467353967</v>
      </c>
      <c r="L146" s="202">
        <f ca="1">FSM!L87</f>
        <v>556.301016687225</v>
      </c>
      <c r="M146" s="202">
        <f ca="1">FSM!M87</f>
        <v>723.19536467875582</v>
      </c>
      <c r="N146" s="202">
        <f ca="1">FSM!N87</f>
        <v>857.01231219913814</v>
      </c>
      <c r="O146" s="202">
        <f ca="1">FSM!O87</f>
        <v>1033.4329050698136</v>
      </c>
      <c r="V146" t="b">
        <f t="shared" si="91"/>
        <v>0</v>
      </c>
      <c r="W146" t="b">
        <f t="shared" si="92"/>
        <v>0</v>
      </c>
      <c r="X146" t="b">
        <f t="shared" si="93"/>
        <v>0</v>
      </c>
      <c r="Y146" t="b">
        <f t="shared" si="94"/>
        <v>0</v>
      </c>
      <c r="Z146" t="b">
        <f t="shared" si="95"/>
        <v>0</v>
      </c>
      <c r="AA146" t="b">
        <f t="shared" ca="1" si="96"/>
        <v>0</v>
      </c>
      <c r="AB146" t="b">
        <f t="shared" ca="1" si="97"/>
        <v>0</v>
      </c>
      <c r="AC146" t="b">
        <f t="shared" ca="1" si="98"/>
        <v>0</v>
      </c>
      <c r="AD146" t="b">
        <f t="shared" ca="1" si="99"/>
        <v>0</v>
      </c>
      <c r="AE146" t="b">
        <f t="shared" ca="1" si="100"/>
        <v>0</v>
      </c>
    </row>
    <row r="147" spans="1:31" x14ac:dyDescent="0.2">
      <c r="A147" s="42"/>
      <c r="B147" s="42"/>
      <c r="C147" s="42"/>
      <c r="D147" s="267" t="s">
        <v>244</v>
      </c>
      <c r="E147" s="181"/>
      <c r="F147" s="202">
        <f>F144-F146</f>
        <v>117.5</v>
      </c>
      <c r="G147" s="202">
        <f t="shared" ref="G147:O147" si="103">G144-G146</f>
        <v>75.999999999999972</v>
      </c>
      <c r="H147" s="202">
        <f t="shared" si="103"/>
        <v>104.80000000000004</v>
      </c>
      <c r="I147" s="202">
        <f t="shared" si="103"/>
        <v>48.800000000000011</v>
      </c>
      <c r="J147" s="202">
        <f>J144-J146</f>
        <v>31.5</v>
      </c>
      <c r="K147" s="202">
        <f ca="1">K144-K146</f>
        <v>-90.919715157711778</v>
      </c>
      <c r="L147" s="202">
        <f t="shared" ca="1" si="103"/>
        <v>-199.33886538195986</v>
      </c>
      <c r="M147" s="202">
        <f t="shared" ca="1" si="103"/>
        <v>-339.0370826057615</v>
      </c>
      <c r="N147" s="202">
        <f t="shared" ca="1" si="103"/>
        <v>-444.58028193335122</v>
      </c>
      <c r="O147" s="202">
        <f t="shared" ca="1" si="103"/>
        <v>-591.4424334108669</v>
      </c>
      <c r="V147" t="b">
        <f t="shared" si="91"/>
        <v>0</v>
      </c>
      <c r="W147" t="b">
        <f t="shared" si="92"/>
        <v>0</v>
      </c>
      <c r="X147" t="b">
        <f t="shared" si="93"/>
        <v>0</v>
      </c>
      <c r="Y147" t="b">
        <f t="shared" si="94"/>
        <v>0</v>
      </c>
      <c r="Z147" t="b">
        <f t="shared" si="95"/>
        <v>0</v>
      </c>
      <c r="AA147" t="b">
        <f t="shared" ca="1" si="96"/>
        <v>0</v>
      </c>
      <c r="AB147" t="b">
        <f t="shared" ca="1" si="97"/>
        <v>0</v>
      </c>
      <c r="AC147" t="b">
        <f t="shared" ca="1" si="98"/>
        <v>0</v>
      </c>
      <c r="AD147" t="b">
        <f t="shared" ca="1" si="99"/>
        <v>0</v>
      </c>
      <c r="AE147" t="b">
        <f t="shared" ca="1" si="100"/>
        <v>0</v>
      </c>
    </row>
    <row r="148" spans="1:31" x14ac:dyDescent="0.2">
      <c r="A148" s="42"/>
      <c r="B148" s="42"/>
      <c r="C148" s="42"/>
      <c r="D148" s="42"/>
      <c r="E148" s="181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V148" t="b">
        <f t="shared" si="91"/>
        <v>0</v>
      </c>
      <c r="W148" t="b">
        <f t="shared" si="92"/>
        <v>0</v>
      </c>
      <c r="X148" t="b">
        <f t="shared" si="93"/>
        <v>0</v>
      </c>
      <c r="Y148" t="b">
        <f t="shared" si="94"/>
        <v>0</v>
      </c>
      <c r="Z148" t="b">
        <f t="shared" si="95"/>
        <v>0</v>
      </c>
      <c r="AA148" t="b">
        <f t="shared" si="96"/>
        <v>0</v>
      </c>
      <c r="AB148" t="b">
        <f t="shared" si="97"/>
        <v>0</v>
      </c>
      <c r="AC148" t="b">
        <f t="shared" si="98"/>
        <v>0</v>
      </c>
      <c r="AD148" t="b">
        <f t="shared" si="99"/>
        <v>0</v>
      </c>
      <c r="AE148" t="b">
        <f t="shared" si="100"/>
        <v>0</v>
      </c>
    </row>
    <row r="149" spans="1:31" x14ac:dyDescent="0.2">
      <c r="A149" s="42"/>
      <c r="B149" s="42"/>
      <c r="C149" s="42"/>
      <c r="D149" s="161" t="s">
        <v>245</v>
      </c>
      <c r="E149" s="178"/>
      <c r="F149" s="179"/>
      <c r="G149" s="179"/>
      <c r="H149" s="180"/>
      <c r="I149" s="180"/>
      <c r="J149" s="180"/>
      <c r="K149" s="180"/>
      <c r="L149" s="180"/>
      <c r="M149" s="180"/>
      <c r="N149" s="180"/>
      <c r="O149" s="180"/>
      <c r="V149" t="b">
        <f t="shared" si="91"/>
        <v>0</v>
      </c>
      <c r="W149" t="b">
        <f t="shared" si="92"/>
        <v>0</v>
      </c>
      <c r="X149" t="b">
        <f t="shared" si="93"/>
        <v>0</v>
      </c>
      <c r="Y149" t="b">
        <f t="shared" si="94"/>
        <v>0</v>
      </c>
      <c r="Z149" t="b">
        <f t="shared" si="95"/>
        <v>0</v>
      </c>
      <c r="AA149" t="b">
        <f t="shared" si="96"/>
        <v>0</v>
      </c>
      <c r="AB149" t="b">
        <f t="shared" si="97"/>
        <v>0</v>
      </c>
      <c r="AC149" t="b">
        <f t="shared" si="98"/>
        <v>0</v>
      </c>
      <c r="AD149" t="b">
        <f t="shared" si="99"/>
        <v>0</v>
      </c>
      <c r="AE149" t="b">
        <f t="shared" si="100"/>
        <v>0</v>
      </c>
    </row>
    <row r="150" spans="1:31" x14ac:dyDescent="0.2">
      <c r="A150" s="42"/>
      <c r="B150" s="42"/>
      <c r="C150" s="42"/>
      <c r="D150" s="42" t="s">
        <v>246</v>
      </c>
      <c r="E150" s="181"/>
      <c r="F150" s="25">
        <v>5.5</v>
      </c>
      <c r="G150" s="25">
        <v>3.4</v>
      </c>
      <c r="H150" s="25">
        <v>4.4000000000000004</v>
      </c>
      <c r="I150" s="25">
        <v>11.7</v>
      </c>
      <c r="J150" s="25">
        <v>15.5</v>
      </c>
      <c r="K150" s="194">
        <f ca="1">K151*K131</f>
        <v>11.024891152204612</v>
      </c>
      <c r="L150" s="194">
        <f t="shared" ref="L150:O150" ca="1" si="104">L151*L131</f>
        <v>11.884292577476234</v>
      </c>
      <c r="M150" s="194">
        <f t="shared" ca="1" si="104"/>
        <v>12.789729677284049</v>
      </c>
      <c r="N150" s="194">
        <f t="shared" ca="1" si="104"/>
        <v>13.731043748135463</v>
      </c>
      <c r="O150" s="194">
        <f t="shared" ca="1" si="104"/>
        <v>14.715128935783518</v>
      </c>
      <c r="V150" t="b">
        <f t="shared" si="91"/>
        <v>0</v>
      </c>
      <c r="W150" t="b">
        <f t="shared" si="92"/>
        <v>0</v>
      </c>
      <c r="X150" t="b">
        <f t="shared" si="93"/>
        <v>0</v>
      </c>
      <c r="Y150" t="b">
        <f t="shared" si="94"/>
        <v>0</v>
      </c>
      <c r="Z150" t="b">
        <f t="shared" si="95"/>
        <v>0</v>
      </c>
      <c r="AA150" t="b">
        <f t="shared" ca="1" si="96"/>
        <v>0</v>
      </c>
      <c r="AB150" t="b">
        <f t="shared" ca="1" si="97"/>
        <v>0</v>
      </c>
      <c r="AC150" t="b">
        <f t="shared" ca="1" si="98"/>
        <v>0</v>
      </c>
      <c r="AD150" t="b">
        <f t="shared" ca="1" si="99"/>
        <v>0</v>
      </c>
      <c r="AE150" t="b">
        <f t="shared" ca="1" si="100"/>
        <v>0</v>
      </c>
    </row>
    <row r="151" spans="1:31" x14ac:dyDescent="0.2">
      <c r="A151" s="42"/>
      <c r="B151" s="42"/>
      <c r="C151" s="42"/>
      <c r="D151" s="261" t="s">
        <v>247</v>
      </c>
      <c r="E151" s="181"/>
      <c r="F151" s="271">
        <f>F150/SUM(F130:F131)</f>
        <v>2.3615285530270501E-2</v>
      </c>
      <c r="G151" s="271">
        <f t="shared" ref="G151:J151" si="105">G150/SUM(G130:G131)</f>
        <v>1.4636246233318984E-2</v>
      </c>
      <c r="H151" s="271">
        <f t="shared" si="105"/>
        <v>1.6864699118436181E-2</v>
      </c>
      <c r="I151" s="271">
        <f t="shared" si="105"/>
        <v>4.7580317202114676E-2</v>
      </c>
      <c r="J151" s="271">
        <f t="shared" si="105"/>
        <v>5.8578987150415714E-2</v>
      </c>
      <c r="K151" s="262">
        <f>AVERAGE($H$151:$J$151)</f>
        <v>4.1008001156988855E-2</v>
      </c>
      <c r="L151" s="262">
        <f>AVERAGE($H$151:$J$151)</f>
        <v>4.1008001156988855E-2</v>
      </c>
      <c r="M151" s="262">
        <f>AVERAGE($H$151:$J$151)</f>
        <v>4.1008001156988855E-2</v>
      </c>
      <c r="N151" s="262">
        <f>AVERAGE($H$151:$J$151)</f>
        <v>4.1008001156988855E-2</v>
      </c>
      <c r="O151" s="262">
        <f>AVERAGE($H$151:$J$151)</f>
        <v>4.1008001156988855E-2</v>
      </c>
      <c r="Q151" t="s">
        <v>205</v>
      </c>
      <c r="V151" t="b">
        <f t="shared" si="91"/>
        <v>0</v>
      </c>
      <c r="W151" t="b">
        <f t="shared" si="92"/>
        <v>0</v>
      </c>
      <c r="X151" t="b">
        <f t="shared" si="93"/>
        <v>0</v>
      </c>
      <c r="Y151" t="b">
        <f t="shared" si="94"/>
        <v>0</v>
      </c>
      <c r="Z151" t="b">
        <f t="shared" si="95"/>
        <v>0</v>
      </c>
      <c r="AA151" t="b">
        <f t="shared" si="96"/>
        <v>0</v>
      </c>
      <c r="AB151" t="b">
        <f t="shared" si="97"/>
        <v>0</v>
      </c>
      <c r="AC151" t="b">
        <f t="shared" si="98"/>
        <v>0</v>
      </c>
      <c r="AD151" t="b">
        <f t="shared" si="99"/>
        <v>0</v>
      </c>
      <c r="AE151" t="b">
        <f t="shared" si="100"/>
        <v>0</v>
      </c>
    </row>
    <row r="152" spans="1:31" x14ac:dyDescent="0.2">
      <c r="A152" s="42"/>
      <c r="B152" s="42"/>
      <c r="C152" s="42"/>
      <c r="D152" s="32"/>
      <c r="E152" s="181"/>
      <c r="F152" s="42"/>
      <c r="G152" s="42"/>
      <c r="H152" s="145"/>
      <c r="I152" s="145"/>
      <c r="J152" s="145"/>
      <c r="K152" s="145"/>
      <c r="L152" s="145"/>
      <c r="M152" s="145"/>
      <c r="N152" s="145"/>
      <c r="O152" s="145"/>
      <c r="V152" t="b">
        <f t="shared" si="91"/>
        <v>0</v>
      </c>
      <c r="W152" t="b">
        <f t="shared" si="92"/>
        <v>0</v>
      </c>
      <c r="X152" t="b">
        <f t="shared" si="93"/>
        <v>0</v>
      </c>
      <c r="Y152" t="b">
        <f t="shared" si="94"/>
        <v>0</v>
      </c>
      <c r="Z152" t="b">
        <f t="shared" si="95"/>
        <v>0</v>
      </c>
      <c r="AA152" t="b">
        <f t="shared" si="96"/>
        <v>0</v>
      </c>
      <c r="AB152" t="b">
        <f t="shared" si="97"/>
        <v>0</v>
      </c>
      <c r="AC152" t="b">
        <f t="shared" si="98"/>
        <v>0</v>
      </c>
      <c r="AD152" t="b">
        <f t="shared" si="99"/>
        <v>0</v>
      </c>
      <c r="AE152" t="b">
        <f t="shared" si="100"/>
        <v>0</v>
      </c>
    </row>
    <row r="153" spans="1:31" s="259" customFormat="1" x14ac:dyDescent="0.2">
      <c r="D153" s="42" t="s">
        <v>248</v>
      </c>
      <c r="E153" s="65"/>
      <c r="F153" s="25">
        <v>4.2</v>
      </c>
      <c r="G153" s="25">
        <v>3.6</v>
      </c>
      <c r="H153" s="25">
        <v>2.6</v>
      </c>
      <c r="I153" s="25">
        <v>2.2999999999999998</v>
      </c>
      <c r="J153" s="25">
        <v>2.1</v>
      </c>
      <c r="K153" s="260">
        <f ca="1">K154*SUM(K132:K133)</f>
        <v>3.0623595952182794</v>
      </c>
      <c r="L153" s="260">
        <f t="shared" ref="L153:O153" ca="1" si="106">L154*SUM(L132:L133)</f>
        <v>3.301073625542156</v>
      </c>
      <c r="M153" s="260">
        <f t="shared" ca="1" si="106"/>
        <v>3.5525748832129502</v>
      </c>
      <c r="N153" s="260">
        <f t="shared" ca="1" si="106"/>
        <v>3.8140416076630475</v>
      </c>
      <c r="O153" s="260">
        <f t="shared" ca="1" si="106"/>
        <v>4.0873887704877419</v>
      </c>
      <c r="V153" s="259" t="b">
        <f t="shared" si="91"/>
        <v>0</v>
      </c>
      <c r="W153" s="259" t="b">
        <f t="shared" si="92"/>
        <v>0</v>
      </c>
      <c r="X153" s="259" t="b">
        <f t="shared" si="93"/>
        <v>0</v>
      </c>
      <c r="Y153" s="259" t="b">
        <f t="shared" si="94"/>
        <v>0</v>
      </c>
      <c r="Z153" s="259" t="b">
        <f t="shared" si="95"/>
        <v>0</v>
      </c>
      <c r="AA153" s="259" t="b">
        <f t="shared" ca="1" si="96"/>
        <v>0</v>
      </c>
      <c r="AB153" s="259" t="b">
        <f t="shared" ca="1" si="97"/>
        <v>0</v>
      </c>
      <c r="AC153" s="259" t="b">
        <f t="shared" ca="1" si="98"/>
        <v>0</v>
      </c>
      <c r="AD153" s="259" t="b">
        <f t="shared" ca="1" si="99"/>
        <v>0</v>
      </c>
      <c r="AE153" s="259" t="b">
        <f t="shared" ca="1" si="100"/>
        <v>0</v>
      </c>
    </row>
    <row r="154" spans="1:31" s="259" customFormat="1" x14ac:dyDescent="0.2">
      <c r="D154" s="261" t="s">
        <v>249</v>
      </c>
      <c r="E154" s="65"/>
      <c r="F154" s="184">
        <f>F153/SUM(F132:F133)</f>
        <v>5.0847457627118647E-2</v>
      </c>
      <c r="G154" s="184">
        <f t="shared" ref="G154:J154" si="107">G153/SUM(G132:G133)</f>
        <v>6.25E-2</v>
      </c>
      <c r="H154" s="184">
        <f t="shared" si="107"/>
        <v>5.1181102362204731E-2</v>
      </c>
      <c r="I154" s="184">
        <f t="shared" si="107"/>
        <v>5.0108932461873638E-2</v>
      </c>
      <c r="J154" s="184">
        <f t="shared" si="107"/>
        <v>4.9763033175355451E-2</v>
      </c>
      <c r="K154" s="262">
        <f>AVERAGE($H$154:$J$154)</f>
        <v>5.0351022666477931E-2</v>
      </c>
      <c r="L154" s="262">
        <f>AVERAGE($H$154:$J$154)</f>
        <v>5.0351022666477931E-2</v>
      </c>
      <c r="M154" s="262">
        <f>AVERAGE($H$154:$J$154)</f>
        <v>5.0351022666477931E-2</v>
      </c>
      <c r="N154" s="262">
        <f>AVERAGE($H$154:$J$154)</f>
        <v>5.0351022666477931E-2</v>
      </c>
      <c r="O154" s="262">
        <f>AVERAGE($H$154:$J$154)</f>
        <v>5.0351022666477931E-2</v>
      </c>
      <c r="Q154" t="s">
        <v>90</v>
      </c>
      <c r="V154" s="259" t="b">
        <f t="shared" si="91"/>
        <v>0</v>
      </c>
      <c r="W154" s="259" t="b">
        <f t="shared" si="92"/>
        <v>0</v>
      </c>
      <c r="X154" s="259" t="b">
        <f t="shared" si="93"/>
        <v>0</v>
      </c>
      <c r="Y154" s="259" t="b">
        <f t="shared" si="94"/>
        <v>0</v>
      </c>
      <c r="Z154" s="259" t="b">
        <f t="shared" si="95"/>
        <v>0</v>
      </c>
      <c r="AA154" s="259" t="b">
        <f t="shared" si="96"/>
        <v>0</v>
      </c>
      <c r="AB154" s="259" t="b">
        <f t="shared" si="97"/>
        <v>0</v>
      </c>
      <c r="AC154" s="259" t="b">
        <f t="shared" si="98"/>
        <v>0</v>
      </c>
      <c r="AD154" s="259" t="b">
        <f t="shared" si="99"/>
        <v>0</v>
      </c>
      <c r="AE154" s="259" t="b">
        <f t="shared" si="100"/>
        <v>0</v>
      </c>
    </row>
    <row r="155" spans="1:31" s="259" customFormat="1" x14ac:dyDescent="0.2">
      <c r="D155" s="261"/>
      <c r="E155" s="65"/>
      <c r="F155" s="156"/>
      <c r="G155" s="156"/>
      <c r="H155" s="156"/>
      <c r="I155" s="156"/>
      <c r="J155" s="156"/>
      <c r="K155" s="262"/>
      <c r="L155" s="262"/>
      <c r="M155" s="262"/>
      <c r="N155" s="262"/>
      <c r="O155" s="262"/>
      <c r="Q155"/>
      <c r="V155" s="259" t="b">
        <f t="shared" si="91"/>
        <v>0</v>
      </c>
      <c r="W155" s="259" t="b">
        <f t="shared" si="92"/>
        <v>0</v>
      </c>
      <c r="X155" s="259" t="b">
        <f t="shared" si="93"/>
        <v>0</v>
      </c>
      <c r="Y155" s="259" t="b">
        <f t="shared" si="94"/>
        <v>0</v>
      </c>
      <c r="Z155" s="259" t="b">
        <f t="shared" si="95"/>
        <v>0</v>
      </c>
      <c r="AA155" s="259" t="b">
        <f t="shared" si="96"/>
        <v>0</v>
      </c>
      <c r="AB155" s="259" t="b">
        <f t="shared" si="97"/>
        <v>0</v>
      </c>
      <c r="AC155" s="259" t="b">
        <f t="shared" si="98"/>
        <v>0</v>
      </c>
      <c r="AD155" s="259" t="b">
        <f t="shared" si="99"/>
        <v>0</v>
      </c>
      <c r="AE155" s="259" t="b">
        <f t="shared" si="100"/>
        <v>0</v>
      </c>
    </row>
    <row r="156" spans="1:31" s="259" customFormat="1" x14ac:dyDescent="0.2">
      <c r="D156" s="42" t="s">
        <v>233</v>
      </c>
      <c r="E156" s="65"/>
      <c r="F156" s="120">
        <f>F135</f>
        <v>315.5</v>
      </c>
      <c r="G156" s="120">
        <f t="shared" ref="G156:O156" si="108">G135</f>
        <v>289.89999999999998</v>
      </c>
      <c r="H156" s="120">
        <f t="shared" si="108"/>
        <v>311.70000000000005</v>
      </c>
      <c r="I156" s="120">
        <f t="shared" si="108"/>
        <v>291.8</v>
      </c>
      <c r="J156" s="120">
        <f t="shared" si="108"/>
        <v>306.8</v>
      </c>
      <c r="K156" s="120">
        <f ca="1">K135</f>
        <v>331.14876951582789</v>
      </c>
      <c r="L156" s="120">
        <f t="shared" ca="1" si="108"/>
        <v>356.96215130526514</v>
      </c>
      <c r="M156" s="120">
        <f t="shared" ca="1" si="108"/>
        <v>384.15828207299433</v>
      </c>
      <c r="N156" s="120">
        <f t="shared" ca="1" si="108"/>
        <v>412.43203026578692</v>
      </c>
      <c r="O156" s="120">
        <f t="shared" ca="1" si="108"/>
        <v>441.99047165894677</v>
      </c>
      <c r="Q156"/>
      <c r="V156" s="259" t="b">
        <f t="shared" si="91"/>
        <v>0</v>
      </c>
      <c r="W156" s="259" t="b">
        <f t="shared" si="92"/>
        <v>0</v>
      </c>
      <c r="X156" s="259" t="b">
        <f t="shared" si="93"/>
        <v>0</v>
      </c>
      <c r="Y156" s="259" t="b">
        <f t="shared" si="94"/>
        <v>0</v>
      </c>
      <c r="Z156" s="259" t="b">
        <f t="shared" si="95"/>
        <v>0</v>
      </c>
      <c r="AA156" s="259" t="b">
        <f t="shared" ca="1" si="96"/>
        <v>0</v>
      </c>
      <c r="AB156" s="259" t="b">
        <f t="shared" ca="1" si="97"/>
        <v>0</v>
      </c>
      <c r="AC156" s="259" t="b">
        <f t="shared" ca="1" si="98"/>
        <v>0</v>
      </c>
      <c r="AD156" s="259" t="b">
        <f t="shared" ca="1" si="99"/>
        <v>0</v>
      </c>
      <c r="AE156" s="259" t="b">
        <f t="shared" ca="1" si="100"/>
        <v>0</v>
      </c>
    </row>
    <row r="157" spans="1:31" s="259" customFormat="1" x14ac:dyDescent="0.2">
      <c r="D157" s="42" t="s">
        <v>245</v>
      </c>
      <c r="E157" s="65"/>
      <c r="F157" s="120">
        <f>SUM(F150,F153)</f>
        <v>9.6999999999999993</v>
      </c>
      <c r="G157" s="120">
        <f t="shared" ref="G157:O157" si="109">SUM(G150,G153)</f>
        <v>7</v>
      </c>
      <c r="H157" s="120">
        <f t="shared" si="109"/>
        <v>7</v>
      </c>
      <c r="I157" s="120">
        <f t="shared" si="109"/>
        <v>14</v>
      </c>
      <c r="J157" s="120">
        <f t="shared" si="109"/>
        <v>17.600000000000001</v>
      </c>
      <c r="K157" s="120">
        <f ca="1">SUM(K150,K153)</f>
        <v>14.087250747422891</v>
      </c>
      <c r="L157" s="120">
        <f t="shared" ca="1" si="109"/>
        <v>15.18536620301839</v>
      </c>
      <c r="M157" s="120">
        <f t="shared" ca="1" si="109"/>
        <v>16.342304560496999</v>
      </c>
      <c r="N157" s="120">
        <f t="shared" ca="1" si="109"/>
        <v>17.545085355798509</v>
      </c>
      <c r="O157" s="120">
        <f t="shared" ca="1" si="109"/>
        <v>18.80251770627126</v>
      </c>
      <c r="Q157"/>
      <c r="V157" s="259" t="b">
        <f t="shared" si="91"/>
        <v>0</v>
      </c>
      <c r="W157" s="259" t="b">
        <f t="shared" si="92"/>
        <v>0</v>
      </c>
      <c r="X157" s="259" t="b">
        <f t="shared" si="93"/>
        <v>0</v>
      </c>
      <c r="Y157" s="259" t="b">
        <f t="shared" si="94"/>
        <v>0</v>
      </c>
      <c r="Z157" s="259" t="b">
        <f t="shared" si="95"/>
        <v>0</v>
      </c>
      <c r="AA157" s="259" t="b">
        <f t="shared" ca="1" si="96"/>
        <v>0</v>
      </c>
      <c r="AB157" s="259" t="b">
        <f t="shared" ca="1" si="97"/>
        <v>0</v>
      </c>
      <c r="AC157" s="259" t="b">
        <f t="shared" ca="1" si="98"/>
        <v>0</v>
      </c>
      <c r="AD157" s="259" t="b">
        <f t="shared" ca="1" si="99"/>
        <v>0</v>
      </c>
      <c r="AE157" s="259" t="b">
        <f t="shared" ca="1" si="100"/>
        <v>0</v>
      </c>
    </row>
    <row r="158" spans="1:31" x14ac:dyDescent="0.2">
      <c r="D158" s="268" t="s">
        <v>250</v>
      </c>
      <c r="F158" s="6">
        <f>F157/F156</f>
        <v>3.0744849445324879E-2</v>
      </c>
      <c r="G158" s="6">
        <f t="shared" ref="G158:O158" si="110">G157/G156</f>
        <v>2.4146257330113833E-2</v>
      </c>
      <c r="H158" s="6">
        <f t="shared" si="110"/>
        <v>2.2457491177414177E-2</v>
      </c>
      <c r="I158" s="6">
        <f t="shared" si="110"/>
        <v>4.7978067169294036E-2</v>
      </c>
      <c r="J158" s="6">
        <f t="shared" si="110"/>
        <v>5.7366362451108217E-2</v>
      </c>
      <c r="K158" s="6">
        <f ca="1">K157/K156</f>
        <v>4.2540549880405225E-2</v>
      </c>
      <c r="L158" s="6">
        <f t="shared" ca="1" si="110"/>
        <v>4.2540549880405225E-2</v>
      </c>
      <c r="M158" s="6">
        <f t="shared" ca="1" si="110"/>
        <v>4.2540549880405232E-2</v>
      </c>
      <c r="N158" s="6">
        <f t="shared" ca="1" si="110"/>
        <v>4.2540549880405232E-2</v>
      </c>
      <c r="O158" s="6">
        <f t="shared" ca="1" si="110"/>
        <v>4.2540549880405232E-2</v>
      </c>
      <c r="V158" t="b">
        <f t="shared" si="91"/>
        <v>0</v>
      </c>
      <c r="W158" t="b">
        <f t="shared" si="92"/>
        <v>0</v>
      </c>
      <c r="X158" t="b">
        <f t="shared" si="93"/>
        <v>0</v>
      </c>
      <c r="Y158" t="b">
        <f t="shared" si="94"/>
        <v>0</v>
      </c>
      <c r="Z158" t="b">
        <f t="shared" si="95"/>
        <v>0</v>
      </c>
      <c r="AA158" t="b">
        <f t="shared" ca="1" si="96"/>
        <v>0</v>
      </c>
      <c r="AB158" t="b">
        <f t="shared" ca="1" si="97"/>
        <v>0</v>
      </c>
      <c r="AC158" t="b">
        <f t="shared" ca="1" si="98"/>
        <v>0</v>
      </c>
      <c r="AD158" t="b">
        <f t="shared" ca="1" si="99"/>
        <v>0</v>
      </c>
      <c r="AE158" t="b">
        <f t="shared" ca="1" si="100"/>
        <v>0</v>
      </c>
    </row>
    <row r="159" spans="1:31" x14ac:dyDescent="0.2">
      <c r="V159" t="b">
        <f t="shared" si="91"/>
        <v>0</v>
      </c>
      <c r="W159" t="b">
        <f t="shared" si="92"/>
        <v>0</v>
      </c>
      <c r="X159" t="b">
        <f t="shared" si="93"/>
        <v>0</v>
      </c>
      <c r="Y159" t="b">
        <f t="shared" si="94"/>
        <v>0</v>
      </c>
      <c r="Z159" t="b">
        <f t="shared" si="95"/>
        <v>0</v>
      </c>
      <c r="AA159" t="b">
        <f t="shared" si="96"/>
        <v>0</v>
      </c>
      <c r="AB159" t="b">
        <f t="shared" si="97"/>
        <v>0</v>
      </c>
      <c r="AC159" t="b">
        <f t="shared" si="98"/>
        <v>0</v>
      </c>
      <c r="AD159" t="b">
        <f t="shared" si="99"/>
        <v>0</v>
      </c>
      <c r="AE159" t="b">
        <f t="shared" si="100"/>
        <v>0</v>
      </c>
    </row>
    <row r="160" spans="1:31" x14ac:dyDescent="0.2">
      <c r="D160" s="106" t="s">
        <v>146</v>
      </c>
      <c r="E160" s="171"/>
      <c r="F160" s="171"/>
      <c r="G160" s="171"/>
      <c r="H160" s="171"/>
      <c r="I160" s="171"/>
      <c r="J160" s="171"/>
      <c r="K160" s="171"/>
      <c r="L160" s="171"/>
      <c r="M160" s="171"/>
      <c r="N160" s="171"/>
      <c r="O160" s="171"/>
      <c r="V160" t="b">
        <f t="shared" si="91"/>
        <v>0</v>
      </c>
      <c r="W160" t="b">
        <f t="shared" si="92"/>
        <v>0</v>
      </c>
      <c r="X160" t="b">
        <f t="shared" si="93"/>
        <v>0</v>
      </c>
      <c r="Y160" t="b">
        <f t="shared" si="94"/>
        <v>0</v>
      </c>
      <c r="Z160" t="b">
        <f t="shared" si="95"/>
        <v>0</v>
      </c>
      <c r="AA160" t="b">
        <f t="shared" si="96"/>
        <v>0</v>
      </c>
      <c r="AB160" t="b">
        <f t="shared" si="97"/>
        <v>0</v>
      </c>
      <c r="AC160" t="b">
        <f t="shared" si="98"/>
        <v>0</v>
      </c>
      <c r="AD160" t="b">
        <f t="shared" si="99"/>
        <v>0</v>
      </c>
      <c r="AE160" t="b">
        <f t="shared" si="100"/>
        <v>0</v>
      </c>
    </row>
    <row r="161" spans="1:31" x14ac:dyDescent="0.2">
      <c r="V161" t="b">
        <f t="shared" si="91"/>
        <v>0</v>
      </c>
      <c r="W161" t="b">
        <f t="shared" si="92"/>
        <v>0</v>
      </c>
      <c r="X161" t="b">
        <f t="shared" si="93"/>
        <v>0</v>
      </c>
      <c r="Y161" t="b">
        <f t="shared" si="94"/>
        <v>0</v>
      </c>
      <c r="Z161" t="b">
        <f t="shared" si="95"/>
        <v>0</v>
      </c>
      <c r="AA161" t="b">
        <f t="shared" si="96"/>
        <v>0</v>
      </c>
      <c r="AB161" t="b">
        <f t="shared" si="97"/>
        <v>0</v>
      </c>
      <c r="AC161" t="b">
        <f t="shared" si="98"/>
        <v>0</v>
      </c>
      <c r="AD161" t="b">
        <f t="shared" si="99"/>
        <v>0</v>
      </c>
      <c r="AE161" t="b">
        <f t="shared" si="100"/>
        <v>0</v>
      </c>
    </row>
    <row r="162" spans="1:31" x14ac:dyDescent="0.2">
      <c r="A162" s="24"/>
      <c r="B162" s="24"/>
      <c r="C162" s="24"/>
      <c r="D162" s="161" t="s">
        <v>147</v>
      </c>
      <c r="E162" s="70"/>
      <c r="F162" s="154"/>
      <c r="G162" s="154"/>
      <c r="H162" s="154"/>
      <c r="I162" s="154"/>
      <c r="J162" s="154"/>
      <c r="K162" s="99"/>
      <c r="L162" s="99"/>
      <c r="M162" s="99"/>
      <c r="N162" s="99"/>
      <c r="O162" s="99"/>
      <c r="V162" t="b">
        <f t="shared" si="91"/>
        <v>0</v>
      </c>
      <c r="W162" t="b">
        <f t="shared" si="92"/>
        <v>0</v>
      </c>
      <c r="X162" t="b">
        <f t="shared" si="93"/>
        <v>0</v>
      </c>
      <c r="Y162" t="b">
        <f t="shared" si="94"/>
        <v>0</v>
      </c>
      <c r="Z162" t="b">
        <f t="shared" si="95"/>
        <v>0</v>
      </c>
      <c r="AA162" t="b">
        <f t="shared" si="96"/>
        <v>0</v>
      </c>
      <c r="AB162" t="b">
        <f t="shared" si="97"/>
        <v>0</v>
      </c>
      <c r="AC162" t="b">
        <f t="shared" si="98"/>
        <v>0</v>
      </c>
      <c r="AD162" t="b">
        <f t="shared" si="99"/>
        <v>0</v>
      </c>
      <c r="AE162" t="b">
        <f t="shared" si="100"/>
        <v>0</v>
      </c>
    </row>
    <row r="163" spans="1:31" x14ac:dyDescent="0.2">
      <c r="A163" s="24"/>
      <c r="B163" s="24"/>
      <c r="C163" s="24"/>
      <c r="D163" s="24" t="s">
        <v>180</v>
      </c>
      <c r="E163" s="65"/>
      <c r="F163" s="25">
        <v>115.2</v>
      </c>
      <c r="G163" s="43">
        <f>F167</f>
        <v>121.4</v>
      </c>
      <c r="H163" s="43">
        <f>G167</f>
        <v>127.2</v>
      </c>
      <c r="I163" s="43">
        <f>H167</f>
        <v>138.19999999999999</v>
      </c>
      <c r="J163" s="269">
        <f>I167</f>
        <v>302.5</v>
      </c>
      <c r="K163" s="81">
        <f>J167</f>
        <v>314.10000000000002</v>
      </c>
      <c r="L163" s="81">
        <f t="shared" ref="L163:O163" si="111">K167</f>
        <v>330.90729471385396</v>
      </c>
      <c r="M163" s="81">
        <f t="shared" si="111"/>
        <v>347.80136091481734</v>
      </c>
      <c r="N163" s="81">
        <f t="shared" si="111"/>
        <v>364.79733670738392</v>
      </c>
      <c r="O163" s="81">
        <f t="shared" si="111"/>
        <v>381.90831676842851</v>
      </c>
      <c r="V163" t="b">
        <f t="shared" si="91"/>
        <v>0</v>
      </c>
      <c r="W163" t="b">
        <f t="shared" si="92"/>
        <v>0</v>
      </c>
      <c r="X163" t="b">
        <f t="shared" si="93"/>
        <v>0</v>
      </c>
      <c r="Y163" t="b">
        <f t="shared" si="94"/>
        <v>0</v>
      </c>
      <c r="Z163" t="b">
        <f t="shared" si="95"/>
        <v>0</v>
      </c>
      <c r="AA163" t="b">
        <f t="shared" si="96"/>
        <v>0</v>
      </c>
      <c r="AB163" t="b">
        <f t="shared" si="97"/>
        <v>0</v>
      </c>
      <c r="AC163" t="b">
        <f t="shared" si="98"/>
        <v>0</v>
      </c>
      <c r="AD163" t="b">
        <f t="shared" si="99"/>
        <v>0</v>
      </c>
      <c r="AE163" t="b">
        <f t="shared" si="100"/>
        <v>0</v>
      </c>
    </row>
    <row r="164" spans="1:31" x14ac:dyDescent="0.2">
      <c r="A164" s="24"/>
      <c r="B164" s="24"/>
      <c r="C164" s="24"/>
      <c r="D164" s="42" t="s">
        <v>251</v>
      </c>
      <c r="E164" s="65"/>
      <c r="F164" s="25">
        <v>6.2</v>
      </c>
      <c r="G164" s="25">
        <v>5.8</v>
      </c>
      <c r="H164" s="25">
        <v>11</v>
      </c>
      <c r="I164" s="25">
        <v>164.3</v>
      </c>
      <c r="J164" s="25">
        <v>11.6</v>
      </c>
      <c r="K164" s="81">
        <f>K165*K93</f>
        <v>16.807294713853963</v>
      </c>
      <c r="L164" s="81">
        <f>L165*L93</f>
        <v>16.894066200963394</v>
      </c>
      <c r="M164" s="81">
        <f>M165*M93</f>
        <v>16.995975792566586</v>
      </c>
      <c r="N164" s="81">
        <f>N165*N93</f>
        <v>17.110980061044604</v>
      </c>
      <c r="O164" s="81">
        <f>O165*O93</f>
        <v>17.23735715198503</v>
      </c>
      <c r="V164" t="b">
        <f t="shared" si="91"/>
        <v>0</v>
      </c>
      <c r="W164" t="b">
        <f t="shared" si="92"/>
        <v>0</v>
      </c>
      <c r="X164" t="b">
        <f t="shared" si="93"/>
        <v>0</v>
      </c>
      <c r="Y164" t="b">
        <f t="shared" si="94"/>
        <v>0</v>
      </c>
      <c r="Z164" t="b">
        <f t="shared" si="95"/>
        <v>0</v>
      </c>
      <c r="AA164" t="b">
        <f t="shared" si="96"/>
        <v>0</v>
      </c>
      <c r="AB164" t="b">
        <f t="shared" si="97"/>
        <v>0</v>
      </c>
      <c r="AC164" t="b">
        <f t="shared" si="98"/>
        <v>0</v>
      </c>
      <c r="AD164" t="b">
        <f t="shared" si="99"/>
        <v>0</v>
      </c>
      <c r="AE164" t="b">
        <f t="shared" si="100"/>
        <v>0</v>
      </c>
    </row>
    <row r="165" spans="1:31" s="270" customFormat="1" ht="16" x14ac:dyDescent="0.2">
      <c r="A165" s="33"/>
      <c r="B165" s="33"/>
      <c r="C165" s="33"/>
      <c r="D165" s="187" t="s">
        <v>252</v>
      </c>
      <c r="E165" s="65"/>
      <c r="F165" s="207">
        <f>F164/F93</f>
        <v>0.25</v>
      </c>
      <c r="G165" s="207">
        <f>G164/G93</f>
        <v>0.23577235772357721</v>
      </c>
      <c r="H165" s="207">
        <f>H164/H93</f>
        <v>0.40740740740740738</v>
      </c>
      <c r="I165" s="207">
        <f>I164/I93</f>
        <v>3.0146788990825688</v>
      </c>
      <c r="J165" s="207">
        <f>J164/J93</f>
        <v>0.22222222222222221</v>
      </c>
      <c r="K165" s="207">
        <f>AVERAGE($F$165,$G$165,$H$165,$J$165)</f>
        <v>0.27885049683830165</v>
      </c>
      <c r="L165" s="207">
        <f>AVERAGE($F$165,$G$165,$H$165,$J$165)</f>
        <v>0.27885049683830165</v>
      </c>
      <c r="M165" s="207">
        <f t="shared" ref="M165:O165" si="112">AVERAGE($F$165,$G$165,$H$165,$J$165)</f>
        <v>0.27885049683830165</v>
      </c>
      <c r="N165" s="207">
        <f t="shared" si="112"/>
        <v>0.27885049683830165</v>
      </c>
      <c r="O165" s="207">
        <f t="shared" si="112"/>
        <v>0.27885049683830165</v>
      </c>
      <c r="Q165" t="s">
        <v>253</v>
      </c>
      <c r="V165" s="270" t="b">
        <f t="shared" si="91"/>
        <v>0</v>
      </c>
      <c r="W165" s="270" t="b">
        <f t="shared" si="92"/>
        <v>0</v>
      </c>
      <c r="X165" s="270" t="b">
        <f t="shared" si="93"/>
        <v>0</v>
      </c>
      <c r="Y165" s="270" t="b">
        <f t="shared" si="94"/>
        <v>0</v>
      </c>
      <c r="Z165" s="270" t="b">
        <f t="shared" si="95"/>
        <v>0</v>
      </c>
      <c r="AA165" s="270" t="b">
        <f t="shared" si="96"/>
        <v>0</v>
      </c>
      <c r="AB165" s="270" t="b">
        <f t="shared" si="97"/>
        <v>0</v>
      </c>
      <c r="AC165" s="270" t="b">
        <f t="shared" si="98"/>
        <v>0</v>
      </c>
      <c r="AD165" s="270" t="b">
        <f t="shared" si="99"/>
        <v>0</v>
      </c>
      <c r="AE165" s="270" t="b">
        <f t="shared" si="100"/>
        <v>0</v>
      </c>
    </row>
    <row r="166" spans="1:31" x14ac:dyDescent="0.2">
      <c r="A166" s="24"/>
      <c r="B166" s="24"/>
      <c r="C166" s="24"/>
      <c r="D166" s="24"/>
      <c r="E166" s="65"/>
      <c r="F166" s="44"/>
      <c r="G166" s="44"/>
      <c r="H166" s="44"/>
      <c r="I166" s="44"/>
      <c r="J166" s="44"/>
      <c r="V166" t="b">
        <f t="shared" si="91"/>
        <v>0</v>
      </c>
      <c r="W166" t="b">
        <f t="shared" si="92"/>
        <v>0</v>
      </c>
      <c r="X166" t="b">
        <f t="shared" si="93"/>
        <v>0</v>
      </c>
      <c r="Y166" t="b">
        <f t="shared" si="94"/>
        <v>0</v>
      </c>
      <c r="Z166" t="b">
        <f t="shared" si="95"/>
        <v>0</v>
      </c>
      <c r="AA166" t="b">
        <f t="shared" si="96"/>
        <v>0</v>
      </c>
      <c r="AB166" t="b">
        <f t="shared" si="97"/>
        <v>0</v>
      </c>
      <c r="AC166" t="b">
        <f t="shared" si="98"/>
        <v>0</v>
      </c>
      <c r="AD166" t="b">
        <f t="shared" si="99"/>
        <v>0</v>
      </c>
      <c r="AE166" t="b">
        <f t="shared" si="100"/>
        <v>0</v>
      </c>
    </row>
    <row r="167" spans="1:31" x14ac:dyDescent="0.2">
      <c r="A167" s="24"/>
      <c r="B167" s="24"/>
      <c r="C167" s="24"/>
      <c r="D167" s="24" t="s">
        <v>181</v>
      </c>
      <c r="E167" s="65"/>
      <c r="F167" s="43">
        <f>FSM!F140</f>
        <v>121.4</v>
      </c>
      <c r="G167" s="43">
        <f>FSM!G140</f>
        <v>127.2</v>
      </c>
      <c r="H167" s="43">
        <f>FSM!H140</f>
        <v>138.19999999999999</v>
      </c>
      <c r="I167" s="43">
        <f>FSM!I140</f>
        <v>302.5</v>
      </c>
      <c r="J167" s="43">
        <f>FSM!J140</f>
        <v>314.10000000000002</v>
      </c>
      <c r="K167" s="43">
        <f>SUM(K164,K163)</f>
        <v>330.90729471385396</v>
      </c>
      <c r="L167" s="43">
        <f t="shared" ref="L167:O167" si="113">SUM(L164,L163)</f>
        <v>347.80136091481734</v>
      </c>
      <c r="M167" s="43">
        <f t="shared" si="113"/>
        <v>364.79733670738392</v>
      </c>
      <c r="N167" s="43">
        <f t="shared" si="113"/>
        <v>381.90831676842851</v>
      </c>
      <c r="O167" s="43">
        <f t="shared" si="113"/>
        <v>399.14567392041351</v>
      </c>
      <c r="V167" t="b">
        <f t="shared" si="91"/>
        <v>0</v>
      </c>
      <c r="W167" t="b">
        <f t="shared" si="92"/>
        <v>0</v>
      </c>
      <c r="X167" t="b">
        <f t="shared" si="93"/>
        <v>0</v>
      </c>
      <c r="Y167" t="b">
        <f t="shared" si="94"/>
        <v>0</v>
      </c>
      <c r="Z167" t="b">
        <f t="shared" si="95"/>
        <v>0</v>
      </c>
      <c r="AA167" t="b">
        <f t="shared" si="96"/>
        <v>0</v>
      </c>
      <c r="AB167" t="b">
        <f t="shared" si="97"/>
        <v>0</v>
      </c>
      <c r="AC167" t="b">
        <f t="shared" si="98"/>
        <v>0</v>
      </c>
      <c r="AD167" t="b">
        <f t="shared" si="99"/>
        <v>0</v>
      </c>
      <c r="AE167" t="b">
        <f t="shared" si="100"/>
        <v>0</v>
      </c>
    </row>
    <row r="168" spans="1:31" x14ac:dyDescent="0.2">
      <c r="V168" t="b">
        <f t="shared" si="91"/>
        <v>0</v>
      </c>
      <c r="W168" t="b">
        <f t="shared" si="92"/>
        <v>0</v>
      </c>
      <c r="X168" t="b">
        <f t="shared" si="93"/>
        <v>0</v>
      </c>
      <c r="Y168" t="b">
        <f t="shared" si="94"/>
        <v>0</v>
      </c>
      <c r="Z168" t="b">
        <f t="shared" si="95"/>
        <v>0</v>
      </c>
      <c r="AA168" t="b">
        <f t="shared" si="96"/>
        <v>0</v>
      </c>
      <c r="AB168" t="b">
        <f t="shared" si="97"/>
        <v>0</v>
      </c>
      <c r="AC168" t="b">
        <f t="shared" si="98"/>
        <v>0</v>
      </c>
      <c r="AD168" t="b">
        <f t="shared" si="99"/>
        <v>0</v>
      </c>
      <c r="AE168" t="b">
        <f t="shared" si="100"/>
        <v>0</v>
      </c>
    </row>
    <row r="169" spans="1:31" s="209" customFormat="1" ht="15" x14ac:dyDescent="0.2">
      <c r="A169" s="281"/>
      <c r="B169" s="281"/>
      <c r="C169" s="281"/>
      <c r="D169" s="210" t="s">
        <v>254</v>
      </c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/>
      <c r="Q169"/>
      <c r="R169"/>
      <c r="S169"/>
      <c r="T169"/>
      <c r="U169"/>
      <c r="V169" t="b">
        <f t="shared" si="91"/>
        <v>0</v>
      </c>
      <c r="W169" s="281" t="b">
        <f t="shared" si="92"/>
        <v>0</v>
      </c>
      <c r="X169" s="281" t="b">
        <f t="shared" si="93"/>
        <v>0</v>
      </c>
      <c r="Y169" s="281" t="b">
        <f t="shared" si="94"/>
        <v>0</v>
      </c>
      <c r="Z169" s="281" t="b">
        <f t="shared" si="95"/>
        <v>0</v>
      </c>
      <c r="AA169" s="281" t="b">
        <f t="shared" si="96"/>
        <v>0</v>
      </c>
      <c r="AB169" s="281" t="b">
        <f t="shared" si="97"/>
        <v>0</v>
      </c>
      <c r="AC169" s="281" t="b">
        <f t="shared" si="98"/>
        <v>0</v>
      </c>
      <c r="AD169" s="281" t="b">
        <f t="shared" si="99"/>
        <v>0</v>
      </c>
      <c r="AE169" s="281" t="b">
        <f t="shared" si="100"/>
        <v>0</v>
      </c>
    </row>
    <row r="170" spans="1:31" s="209" customFormat="1" ht="15" x14ac:dyDescent="0.2">
      <c r="A170" s="281"/>
      <c r="B170" s="281"/>
      <c r="C170" s="281"/>
      <c r="D170" s="212" t="s">
        <v>255</v>
      </c>
      <c r="E170" s="213"/>
      <c r="F170" s="214">
        <v>487.3</v>
      </c>
      <c r="G170" s="215">
        <f>F176</f>
        <v>470.5</v>
      </c>
      <c r="H170" s="215">
        <f t="shared" ref="H170:J170" si="114">G176</f>
        <v>567.70000000000005</v>
      </c>
      <c r="I170" s="215">
        <f t="shared" si="114"/>
        <v>684.7</v>
      </c>
      <c r="J170" s="215">
        <f t="shared" si="114"/>
        <v>685.9</v>
      </c>
      <c r="K170" s="215">
        <f>J176</f>
        <v>726.4</v>
      </c>
      <c r="L170" s="215">
        <f ca="1">K176</f>
        <v>792.43248892571944</v>
      </c>
      <c r="M170" s="215">
        <f ca="1">L176</f>
        <v>863.36113430172679</v>
      </c>
      <c r="N170" s="215">
        <f ca="1">M176</f>
        <v>938.89228137537839</v>
      </c>
      <c r="O170" s="215">
        <f ca="1">N176</f>
        <v>1017.974711886814</v>
      </c>
      <c r="P170"/>
      <c r="Q170"/>
      <c r="R170"/>
      <c r="S170"/>
      <c r="T170"/>
      <c r="U170"/>
      <c r="V170" t="b">
        <f t="shared" si="91"/>
        <v>0</v>
      </c>
      <c r="W170" s="281" t="b">
        <f t="shared" si="92"/>
        <v>0</v>
      </c>
      <c r="X170" s="281" t="b">
        <f t="shared" si="93"/>
        <v>0</v>
      </c>
      <c r="Y170" s="281" t="b">
        <f t="shared" si="94"/>
        <v>0</v>
      </c>
      <c r="Z170" s="281" t="b">
        <f t="shared" si="95"/>
        <v>0</v>
      </c>
      <c r="AA170" s="281" t="b">
        <f t="shared" si="96"/>
        <v>0</v>
      </c>
      <c r="AB170" s="281" t="b">
        <f t="shared" ca="1" si="97"/>
        <v>0</v>
      </c>
      <c r="AC170" s="281" t="b">
        <f t="shared" ca="1" si="98"/>
        <v>0</v>
      </c>
      <c r="AD170" s="281" t="b">
        <f t="shared" ca="1" si="99"/>
        <v>0</v>
      </c>
      <c r="AE170" s="281" t="b">
        <f t="shared" ca="1" si="100"/>
        <v>0</v>
      </c>
    </row>
    <row r="171" spans="1:31" s="209" customFormat="1" ht="15" x14ac:dyDescent="0.2">
      <c r="A171" s="281"/>
      <c r="B171" s="281"/>
      <c r="C171" s="281"/>
      <c r="D171" s="212" t="s">
        <v>158</v>
      </c>
      <c r="E171" s="216"/>
      <c r="F171" s="215">
        <f>FSM!F64</f>
        <v>161.20000000000041</v>
      </c>
      <c r="G171" s="215">
        <f>FSM!G64</f>
        <v>110.39999999999976</v>
      </c>
      <c r="H171" s="215">
        <f>FSM!H64</f>
        <v>205.69999999999993</v>
      </c>
      <c r="I171" s="215">
        <f>FSM!I64</f>
        <v>108.50000000000037</v>
      </c>
      <c r="J171" s="215">
        <f>FSM!J64</f>
        <v>181.59999999999985</v>
      </c>
      <c r="K171" s="215">
        <f ca="1">FSM!K64</f>
        <v>186.39824630601959</v>
      </c>
      <c r="L171" s="215">
        <f ca="1">FSM!L64</f>
        <v>200.21924549628466</v>
      </c>
      <c r="M171" s="215">
        <f ca="1">FSM!M64</f>
        <v>213.21130832805869</v>
      </c>
      <c r="N171" s="215">
        <f ca="1">FSM!N64</f>
        <v>223.2359646102596</v>
      </c>
      <c r="O171" s="215">
        <f ca="1">FSM!O64</f>
        <v>235.2172453891672</v>
      </c>
      <c r="P171"/>
      <c r="Q171"/>
      <c r="R171"/>
      <c r="S171"/>
      <c r="T171"/>
      <c r="U171"/>
      <c r="V171" t="b">
        <f t="shared" si="91"/>
        <v>0</v>
      </c>
      <c r="W171" s="281" t="b">
        <f t="shared" si="92"/>
        <v>0</v>
      </c>
      <c r="X171" s="281" t="b">
        <f t="shared" si="93"/>
        <v>0</v>
      </c>
      <c r="Y171" s="281" t="b">
        <f t="shared" si="94"/>
        <v>0</v>
      </c>
      <c r="Z171" s="281" t="b">
        <f t="shared" si="95"/>
        <v>0</v>
      </c>
      <c r="AA171" s="281" t="b">
        <f t="shared" ca="1" si="96"/>
        <v>0</v>
      </c>
      <c r="AB171" s="281" t="b">
        <f t="shared" ca="1" si="97"/>
        <v>0</v>
      </c>
      <c r="AC171" s="281" t="b">
        <f t="shared" ca="1" si="98"/>
        <v>0</v>
      </c>
      <c r="AD171" s="281" t="b">
        <f t="shared" ca="1" si="99"/>
        <v>0</v>
      </c>
      <c r="AE171" s="281" t="b">
        <f t="shared" ca="1" si="100"/>
        <v>0</v>
      </c>
    </row>
    <row r="172" spans="1:31" s="209" customFormat="1" ht="15" x14ac:dyDescent="0.2">
      <c r="A172" s="281"/>
      <c r="B172" s="281"/>
      <c r="C172" s="281"/>
      <c r="D172" s="212" t="s">
        <v>256</v>
      </c>
      <c r="E172" s="213"/>
      <c r="F172" s="217">
        <v>-104.7</v>
      </c>
      <c r="G172" s="217">
        <v>-63.9</v>
      </c>
      <c r="H172" s="217">
        <v>-114.3</v>
      </c>
      <c r="I172" s="214">
        <v>-113.2</v>
      </c>
      <c r="J172" s="214">
        <v>-145.1</v>
      </c>
      <c r="K172" s="215">
        <f ca="1">-K173*K171</f>
        <v>-120.36575738030008</v>
      </c>
      <c r="L172" s="215">
        <f t="shared" ref="L172:O172" ca="1" si="115">-L173*L171</f>
        <v>-129.29060012027733</v>
      </c>
      <c r="M172" s="215">
        <f t="shared" ca="1" si="115"/>
        <v>-137.6801612544071</v>
      </c>
      <c r="N172" s="215">
        <f t="shared" ca="1" si="115"/>
        <v>-144.15353409882385</v>
      </c>
      <c r="O172" s="215">
        <f t="shared" ca="1" si="115"/>
        <v>-151.89038765790519</v>
      </c>
      <c r="P172"/>
      <c r="Q172"/>
      <c r="R172"/>
      <c r="S172"/>
      <c r="T172"/>
      <c r="U172"/>
      <c r="V172" t="b">
        <f t="shared" si="91"/>
        <v>0</v>
      </c>
      <c r="W172" s="281" t="b">
        <f t="shared" si="92"/>
        <v>0</v>
      </c>
      <c r="X172" s="281" t="b">
        <f t="shared" si="93"/>
        <v>0</v>
      </c>
      <c r="Y172" s="281" t="b">
        <f t="shared" si="94"/>
        <v>0</v>
      </c>
      <c r="Z172" s="281" t="b">
        <f t="shared" si="95"/>
        <v>0</v>
      </c>
      <c r="AA172" s="281" t="b">
        <f t="shared" ca="1" si="96"/>
        <v>0</v>
      </c>
      <c r="AB172" s="281" t="b">
        <f t="shared" ca="1" si="97"/>
        <v>0</v>
      </c>
      <c r="AC172" s="281" t="b">
        <f t="shared" ca="1" si="98"/>
        <v>0</v>
      </c>
      <c r="AD172" s="281" t="b">
        <f t="shared" ca="1" si="99"/>
        <v>0</v>
      </c>
      <c r="AE172" s="281" t="b">
        <f t="shared" ca="1" si="100"/>
        <v>0</v>
      </c>
    </row>
    <row r="173" spans="1:31" s="209" customFormat="1" ht="15" x14ac:dyDescent="0.2">
      <c r="A173" s="281"/>
      <c r="B173" s="281"/>
      <c r="C173" s="281"/>
      <c r="D173" s="218" t="s">
        <v>257</v>
      </c>
      <c r="E173" s="219"/>
      <c r="F173" s="223">
        <f>IF(-F172/F171&lt;0,"N/A",-F172/F171)</f>
        <v>0.64950372208436558</v>
      </c>
      <c r="G173" s="223">
        <f t="shared" ref="G173:J173" si="116">IF(-G172/G171&lt;0,"N/A",-G172/G171)</f>
        <v>0.57880434782608814</v>
      </c>
      <c r="H173" s="223">
        <f t="shared" si="116"/>
        <v>0.55566358774914937</v>
      </c>
      <c r="I173" s="223">
        <f t="shared" si="116"/>
        <v>1.0433179723502268</v>
      </c>
      <c r="J173" s="224">
        <f t="shared" si="116"/>
        <v>0.7990088105726878</v>
      </c>
      <c r="K173" s="220">
        <f>AVERAGE($F$173,$G$173,$H$173,$J$173)</f>
        <v>0.64574511705807269</v>
      </c>
      <c r="L173" s="220">
        <f t="shared" ref="L173:O173" si="117">AVERAGE($F$173,$G$173,$H$173,$J$173)</f>
        <v>0.64574511705807269</v>
      </c>
      <c r="M173" s="220">
        <f t="shared" si="117"/>
        <v>0.64574511705807269</v>
      </c>
      <c r="N173" s="220">
        <f t="shared" si="117"/>
        <v>0.64574511705807269</v>
      </c>
      <c r="O173" s="220">
        <f t="shared" si="117"/>
        <v>0.64574511705807269</v>
      </c>
      <c r="P173"/>
      <c r="Q173" t="s">
        <v>258</v>
      </c>
      <c r="R173"/>
      <c r="S173"/>
      <c r="T173"/>
      <c r="U173"/>
      <c r="V173" t="b">
        <f t="shared" si="91"/>
        <v>0</v>
      </c>
      <c r="W173" s="281" t="b">
        <f t="shared" si="92"/>
        <v>0</v>
      </c>
      <c r="X173" s="281" t="b">
        <f t="shared" si="93"/>
        <v>0</v>
      </c>
      <c r="Y173" s="281" t="b">
        <f t="shared" si="94"/>
        <v>0</v>
      </c>
      <c r="Z173" s="281" t="b">
        <f t="shared" si="95"/>
        <v>0</v>
      </c>
      <c r="AA173" s="281" t="b">
        <f t="shared" si="96"/>
        <v>0</v>
      </c>
      <c r="AB173" s="281" t="b">
        <f t="shared" si="97"/>
        <v>0</v>
      </c>
      <c r="AC173" s="281" t="b">
        <f t="shared" si="98"/>
        <v>0</v>
      </c>
      <c r="AD173" s="281" t="b">
        <f t="shared" si="99"/>
        <v>0</v>
      </c>
      <c r="AE173" s="281" t="b">
        <f t="shared" si="100"/>
        <v>0</v>
      </c>
    </row>
    <row r="174" spans="1:31" s="209" customFormat="1" ht="15" x14ac:dyDescent="0.2">
      <c r="A174" s="281"/>
      <c r="B174" s="281"/>
      <c r="C174" s="281"/>
      <c r="D174" s="212" t="s">
        <v>198</v>
      </c>
      <c r="E174" s="221"/>
      <c r="F174" s="217">
        <f>F176-SUM(F170,F171,F172)</f>
        <v>-73.300000000000409</v>
      </c>
      <c r="G174" s="217">
        <f t="shared" ref="G174:J174" si="118">G176-SUM(G170,G171,G172)</f>
        <v>50.700000000000273</v>
      </c>
      <c r="H174" s="217">
        <f t="shared" si="118"/>
        <v>25.600000000000023</v>
      </c>
      <c r="I174" s="217">
        <f t="shared" si="118"/>
        <v>5.8999999999996362</v>
      </c>
      <c r="J174" s="217">
        <f t="shared" si="118"/>
        <v>4.0000000000002274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/>
      <c r="Q174"/>
      <c r="R174"/>
      <c r="S174"/>
      <c r="T174"/>
      <c r="U174"/>
      <c r="V174" t="b">
        <f t="shared" si="91"/>
        <v>0</v>
      </c>
      <c r="W174" s="281" t="b">
        <f t="shared" si="92"/>
        <v>0</v>
      </c>
      <c r="X174" s="281" t="b">
        <f t="shared" si="93"/>
        <v>0</v>
      </c>
      <c r="Y174" s="281" t="b">
        <f t="shared" si="94"/>
        <v>0</v>
      </c>
      <c r="Z174" s="281" t="b">
        <f t="shared" si="95"/>
        <v>0</v>
      </c>
      <c r="AA174" s="281" t="b">
        <f t="shared" si="96"/>
        <v>0</v>
      </c>
      <c r="AB174" s="281" t="b">
        <f t="shared" si="97"/>
        <v>0</v>
      </c>
      <c r="AC174" s="281" t="b">
        <f t="shared" si="98"/>
        <v>0</v>
      </c>
      <c r="AD174" s="281" t="b">
        <f t="shared" si="99"/>
        <v>0</v>
      </c>
      <c r="AE174" s="281" t="b">
        <f t="shared" si="100"/>
        <v>0</v>
      </c>
    </row>
    <row r="175" spans="1:31" s="209" customFormat="1" ht="15" x14ac:dyDescent="0.2">
      <c r="D175" s="212"/>
      <c r="E175" s="212"/>
      <c r="F175" s="222"/>
      <c r="G175" s="212"/>
      <c r="H175" s="212"/>
      <c r="I175" s="212"/>
      <c r="J175" s="212"/>
      <c r="K175" s="212"/>
      <c r="L175" s="212"/>
      <c r="M175" s="212"/>
      <c r="N175" s="212"/>
      <c r="O175"/>
      <c r="P175"/>
      <c r="Q175"/>
      <c r="R175"/>
      <c r="S175"/>
      <c r="T175"/>
      <c r="U175"/>
      <c r="V175" t="b">
        <f t="shared" si="91"/>
        <v>0</v>
      </c>
      <c r="W175" s="281" t="b">
        <f t="shared" si="92"/>
        <v>0</v>
      </c>
      <c r="X175" s="281" t="b">
        <f t="shared" si="93"/>
        <v>0</v>
      </c>
      <c r="Y175" s="281" t="b">
        <f t="shared" si="94"/>
        <v>0</v>
      </c>
      <c r="Z175" s="281" t="b">
        <f t="shared" si="95"/>
        <v>0</v>
      </c>
      <c r="AA175" s="281" t="b">
        <f t="shared" si="96"/>
        <v>0</v>
      </c>
      <c r="AB175" s="281" t="b">
        <f t="shared" si="97"/>
        <v>0</v>
      </c>
      <c r="AC175" s="281" t="b">
        <f t="shared" si="98"/>
        <v>0</v>
      </c>
      <c r="AD175" s="281" t="b">
        <f t="shared" si="99"/>
        <v>0</v>
      </c>
      <c r="AE175" s="281" t="b">
        <f t="shared" si="100"/>
        <v>0</v>
      </c>
    </row>
    <row r="176" spans="1:31" s="209" customFormat="1" ht="15" x14ac:dyDescent="0.2">
      <c r="D176" s="212" t="s">
        <v>259</v>
      </c>
      <c r="E176" s="216"/>
      <c r="F176" s="222">
        <f>FSM!F141</f>
        <v>470.5</v>
      </c>
      <c r="G176" s="222">
        <f>FSM!G141</f>
        <v>567.70000000000005</v>
      </c>
      <c r="H176" s="222">
        <f>FSM!H141</f>
        <v>684.7</v>
      </c>
      <c r="I176" s="222">
        <f>FSM!I141</f>
        <v>685.9</v>
      </c>
      <c r="J176" s="222">
        <f>FSM!J141</f>
        <v>726.4</v>
      </c>
      <c r="K176" s="222">
        <f ca="1">SUM(K170:K172)</f>
        <v>792.43248892571944</v>
      </c>
      <c r="L176" s="222">
        <f ca="1">SUM(L170:L172)</f>
        <v>863.36113430172679</v>
      </c>
      <c r="M176" s="222">
        <f ca="1">SUM(M170:M172)</f>
        <v>938.89228137537839</v>
      </c>
      <c r="N176" s="222">
        <f ca="1">SUM(N170:N172)</f>
        <v>1017.974711886814</v>
      </c>
      <c r="O176" s="222">
        <f ca="1">SUM(O170:O172)</f>
        <v>1101.301569618076</v>
      </c>
      <c r="P176"/>
      <c r="Q176"/>
      <c r="R176"/>
      <c r="S176"/>
      <c r="T176"/>
      <c r="U176"/>
      <c r="V176" t="b">
        <f t="shared" si="91"/>
        <v>0</v>
      </c>
      <c r="W176" s="281" t="b">
        <f t="shared" si="92"/>
        <v>0</v>
      </c>
      <c r="X176" s="281" t="b">
        <f t="shared" si="93"/>
        <v>0</v>
      </c>
      <c r="Y176" s="281" t="b">
        <f t="shared" si="94"/>
        <v>0</v>
      </c>
      <c r="Z176" s="281" t="b">
        <f t="shared" si="95"/>
        <v>0</v>
      </c>
      <c r="AA176" s="281" t="b">
        <f t="shared" ca="1" si="96"/>
        <v>0</v>
      </c>
      <c r="AB176" s="281" t="b">
        <f t="shared" ca="1" si="97"/>
        <v>0</v>
      </c>
      <c r="AC176" s="281" t="b">
        <f t="shared" ca="1" si="98"/>
        <v>0</v>
      </c>
      <c r="AD176" s="281" t="b">
        <f t="shared" ca="1" si="99"/>
        <v>0</v>
      </c>
      <c r="AE176" s="281" t="b">
        <f t="shared" ca="1" si="100"/>
        <v>0</v>
      </c>
    </row>
  </sheetData>
  <mergeCells count="2">
    <mergeCell ref="F1:J1"/>
    <mergeCell ref="K1:O1"/>
  </mergeCells>
  <conditionalFormatting sqref="V14:AE176">
    <cfRule type="containsText" dxfId="0" priority="5" operator="containsText" text="TRUE">
      <formula>NOT(ISERROR(SEARCH("TRUE",V14)))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9916-E377-9E41-A2AF-A4CBA796FB16}">
  <sheetPr>
    <tabColor theme="6" tint="-0.249977111117893"/>
  </sheetPr>
  <dimension ref="A1:H14"/>
  <sheetViews>
    <sheetView workbookViewId="0"/>
  </sheetViews>
  <sheetFormatPr baseColWidth="10" defaultColWidth="0" defaultRowHeight="16" customHeight="1" zeroHeight="1" x14ac:dyDescent="0.2"/>
  <cols>
    <col min="1" max="1" width="101" style="97" customWidth="1"/>
    <col min="2" max="16384" width="13" hidden="1"/>
  </cols>
  <sheetData>
    <row r="1" spans="1:8" ht="400" customHeight="1" x14ac:dyDescent="0.2">
      <c r="A1" s="95" t="s">
        <v>260</v>
      </c>
      <c r="B1" s="96"/>
      <c r="C1" s="96"/>
      <c r="D1" s="96"/>
      <c r="E1" s="96"/>
      <c r="F1" s="96"/>
      <c r="G1" s="96"/>
      <c r="H1" s="96"/>
    </row>
    <row r="2" spans="1:8" ht="25" hidden="1" customHeight="1" x14ac:dyDescent="0.2">
      <c r="A2" s="96"/>
      <c r="B2" s="96"/>
      <c r="C2" s="96"/>
      <c r="D2" s="96"/>
      <c r="E2" s="96"/>
      <c r="F2" s="96"/>
      <c r="G2" s="96"/>
      <c r="H2" s="96"/>
    </row>
    <row r="3" spans="1:8" ht="25" hidden="1" customHeight="1" x14ac:dyDescent="0.2">
      <c r="A3" s="96"/>
      <c r="B3" s="96"/>
      <c r="C3" s="96"/>
      <c r="D3" s="96"/>
      <c r="E3" s="96"/>
      <c r="F3" s="96"/>
      <c r="G3" s="96"/>
      <c r="H3" s="96"/>
    </row>
    <row r="4" spans="1:8" ht="25" hidden="1" customHeight="1" x14ac:dyDescent="0.2">
      <c r="A4" s="96"/>
      <c r="B4" s="96"/>
      <c r="C4" s="96"/>
      <c r="D4" s="96"/>
      <c r="E4" s="96"/>
      <c r="F4" s="96"/>
      <c r="G4" s="96"/>
      <c r="H4" s="96"/>
    </row>
    <row r="5" spans="1:8" ht="25" hidden="1" customHeight="1" x14ac:dyDescent="0.2">
      <c r="A5" s="96"/>
      <c r="B5" s="96"/>
      <c r="C5" s="96"/>
      <c r="D5" s="96"/>
      <c r="E5" s="96"/>
      <c r="F5" s="96"/>
      <c r="G5" s="96"/>
      <c r="H5" s="96"/>
    </row>
    <row r="6" spans="1:8" ht="25" hidden="1" customHeight="1" x14ac:dyDescent="0.2">
      <c r="A6" s="96"/>
      <c r="B6" s="96"/>
      <c r="C6" s="96"/>
      <c r="D6" s="96"/>
      <c r="E6" s="96"/>
      <c r="F6" s="96"/>
      <c r="G6" s="96"/>
      <c r="H6" s="96"/>
    </row>
    <row r="7" spans="1:8" ht="25" hidden="1" customHeight="1" x14ac:dyDescent="0.2">
      <c r="A7" s="96"/>
      <c r="B7" s="96"/>
      <c r="C7" s="96"/>
      <c r="D7" s="96"/>
      <c r="E7" s="96"/>
      <c r="F7" s="96"/>
      <c r="G7" s="96"/>
      <c r="H7" s="96"/>
    </row>
    <row r="8" spans="1:8" ht="25" hidden="1" customHeight="1" x14ac:dyDescent="0.2">
      <c r="A8" s="96"/>
      <c r="B8" s="96"/>
      <c r="C8" s="96"/>
      <c r="D8" s="96"/>
      <c r="E8" s="96"/>
      <c r="F8" s="96"/>
      <c r="G8" s="96"/>
      <c r="H8" s="96"/>
    </row>
    <row r="9" spans="1:8" ht="25" hidden="1" customHeight="1" x14ac:dyDescent="0.2">
      <c r="A9" s="96"/>
      <c r="B9" s="96"/>
      <c r="C9" s="96"/>
      <c r="D9" s="96"/>
      <c r="E9" s="96"/>
      <c r="F9" s="96"/>
      <c r="G9" s="96"/>
      <c r="H9" s="96"/>
    </row>
    <row r="10" spans="1:8" ht="25" hidden="1" customHeight="1" x14ac:dyDescent="0.2">
      <c r="A10" s="96"/>
      <c r="B10" s="96"/>
      <c r="C10" s="96"/>
      <c r="D10" s="96"/>
      <c r="E10" s="96"/>
      <c r="F10" s="96"/>
      <c r="G10" s="96"/>
      <c r="H10" s="96"/>
    </row>
    <row r="11" spans="1:8" ht="25" hidden="1" customHeight="1" x14ac:dyDescent="0.2">
      <c r="A11" s="96"/>
      <c r="B11" s="96"/>
      <c r="C11" s="96"/>
      <c r="D11" s="96"/>
      <c r="E11" s="96"/>
      <c r="F11" s="96"/>
      <c r="G11" s="96"/>
      <c r="H11" s="96"/>
    </row>
    <row r="12" spans="1:8" ht="25" hidden="1" customHeight="1" x14ac:dyDescent="0.2">
      <c r="A12" s="96"/>
      <c r="B12" s="96"/>
      <c r="C12" s="96"/>
      <c r="D12" s="96"/>
      <c r="E12" s="96"/>
      <c r="F12" s="96"/>
      <c r="G12" s="96"/>
      <c r="H12" s="96"/>
    </row>
    <row r="13" spans="1:8" ht="25" hidden="1" customHeight="1" x14ac:dyDescent="0.2">
      <c r="A13" s="96"/>
      <c r="B13" s="96"/>
      <c r="C13" s="96"/>
      <c r="D13" s="96"/>
      <c r="E13" s="96"/>
      <c r="F13" s="96"/>
      <c r="G13" s="96"/>
      <c r="H13" s="96"/>
    </row>
    <row r="14" spans="1:8" ht="25" hidden="1" customHeight="1" x14ac:dyDescent="0.2">
      <c r="A14" s="96"/>
      <c r="B14" s="96"/>
      <c r="C14" s="96"/>
      <c r="D14" s="96"/>
      <c r="E14" s="96"/>
      <c r="F14" s="96"/>
      <c r="G14" s="96"/>
      <c r="H14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C7E3-3C88-9742-804E-8DB29655086C}">
  <dimension ref="A1:U52"/>
  <sheetViews>
    <sheetView showGridLines="0" tabSelected="1" topLeftCell="A8" zoomScale="132" workbookViewId="0">
      <selection activeCell="E47" sqref="E47"/>
    </sheetView>
  </sheetViews>
  <sheetFormatPr baseColWidth="10" defaultColWidth="11.19921875" defaultRowHeight="14" x14ac:dyDescent="0.2"/>
  <cols>
    <col min="1" max="3" width="2" customWidth="1"/>
    <col min="4" max="5" width="25.796875" customWidth="1"/>
    <col min="7" max="7" width="15.796875" customWidth="1"/>
    <col min="8" max="17" width="13.19921875" customWidth="1"/>
  </cols>
  <sheetData>
    <row r="1" spans="1:21" s="103" customFormat="1" ht="15" customHeight="1" x14ac:dyDescent="0.25">
      <c r="A1" s="100"/>
      <c r="B1" s="100"/>
      <c r="C1" s="100"/>
      <c r="D1" s="101"/>
      <c r="E1" s="102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</row>
    <row r="2" spans="1:21" s="103" customFormat="1" ht="21" x14ac:dyDescent="0.25">
      <c r="A2" s="104"/>
      <c r="B2" s="104"/>
      <c r="C2" s="104"/>
      <c r="D2" s="101" t="s">
        <v>0</v>
      </c>
      <c r="E2" s="106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</row>
    <row r="3" spans="1:21" s="103" customFormat="1" x14ac:dyDescent="0.2">
      <c r="A3" s="104"/>
      <c r="B3" s="104"/>
      <c r="C3" s="104"/>
      <c r="D3" s="106"/>
      <c r="E3" s="106"/>
      <c r="F3" s="105"/>
      <c r="G3" s="105"/>
      <c r="H3" s="105"/>
      <c r="I3" s="105"/>
      <c r="J3" s="105"/>
    </row>
    <row r="5" spans="1:21" x14ac:dyDescent="0.2">
      <c r="D5" s="107" t="s">
        <v>261</v>
      </c>
      <c r="E5" s="107"/>
    </row>
    <row r="7" spans="1:21" x14ac:dyDescent="0.2">
      <c r="D7" s="107" t="s">
        <v>262</v>
      </c>
      <c r="E7" s="107"/>
    </row>
    <row r="8" spans="1:21" x14ac:dyDescent="0.2">
      <c r="D8" t="s">
        <v>263</v>
      </c>
      <c r="E8" s="27">
        <f ca="1">WACC!E32</f>
        <v>8.0318600403267271E-2</v>
      </c>
    </row>
    <row r="9" spans="1:21" x14ac:dyDescent="0.2">
      <c r="D9" t="s">
        <v>26</v>
      </c>
      <c r="E9" s="231">
        <f>FSM!E15</f>
        <v>0.3</v>
      </c>
    </row>
    <row r="10" spans="1:21" x14ac:dyDescent="0.2">
      <c r="D10" t="s">
        <v>264</v>
      </c>
      <c r="E10" s="27">
        <f>TGR!F10</f>
        <v>2.8587222373902599E-2</v>
      </c>
    </row>
    <row r="11" spans="1:21" x14ac:dyDescent="0.2">
      <c r="D11" t="s">
        <v>19</v>
      </c>
      <c r="E11" s="232">
        <f>FSM!E9</f>
        <v>45758</v>
      </c>
    </row>
    <row r="12" spans="1:21" x14ac:dyDescent="0.2">
      <c r="D12" t="s">
        <v>265</v>
      </c>
      <c r="E12" s="147">
        <f>FSM!E11</f>
        <v>6.75</v>
      </c>
      <c r="H12" s="1"/>
    </row>
    <row r="13" spans="1:21" x14ac:dyDescent="0.2">
      <c r="D13" t="s">
        <v>22</v>
      </c>
      <c r="E13" s="147">
        <f>FSM!E12</f>
        <v>485.1</v>
      </c>
    </row>
    <row r="14" spans="1:21" x14ac:dyDescent="0.2">
      <c r="D14" t="s">
        <v>233</v>
      </c>
      <c r="E14" s="149">
        <f>'Supporting Schedules'!J144</f>
        <v>306.8</v>
      </c>
    </row>
    <row r="15" spans="1:21" x14ac:dyDescent="0.2">
      <c r="D15" t="s">
        <v>266</v>
      </c>
      <c r="E15" s="149">
        <f>H21</f>
        <v>245.62045975602234</v>
      </c>
    </row>
    <row r="16" spans="1:21" x14ac:dyDescent="0.2">
      <c r="D16" t="s">
        <v>267</v>
      </c>
      <c r="E16" s="149">
        <f>FSM!J87</f>
        <v>275.3</v>
      </c>
    </row>
    <row r="17" spans="4:12" x14ac:dyDescent="0.2">
      <c r="H17" s="103"/>
      <c r="I17" s="285" t="s">
        <v>2</v>
      </c>
      <c r="J17" s="285"/>
      <c r="K17" s="285"/>
      <c r="L17" s="103"/>
    </row>
    <row r="18" spans="4:12" x14ac:dyDescent="0.2">
      <c r="D18" s="107" t="s">
        <v>268</v>
      </c>
      <c r="E18" s="107"/>
      <c r="F18" s="107"/>
      <c r="G18" s="107"/>
      <c r="H18" s="107" t="s">
        <v>9</v>
      </c>
      <c r="I18" s="107" t="s">
        <v>10</v>
      </c>
      <c r="J18" s="107" t="s">
        <v>11</v>
      </c>
      <c r="K18" s="107" t="s">
        <v>12</v>
      </c>
      <c r="L18" s="107" t="s">
        <v>13</v>
      </c>
    </row>
    <row r="20" spans="4:12" x14ac:dyDescent="0.2">
      <c r="D20" t="s">
        <v>55</v>
      </c>
      <c r="H20" s="149">
        <f>FSM!K43</f>
        <v>301.63326416707173</v>
      </c>
      <c r="I20" s="149">
        <f>FSM!L43</f>
        <v>322.4522033051511</v>
      </c>
      <c r="J20" s="149">
        <f>FSM!M43</f>
        <v>342.24122087201977</v>
      </c>
      <c r="K20" s="149">
        <f>FSM!N43</f>
        <v>357.91852231237954</v>
      </c>
      <c r="L20" s="149">
        <f>FSM!O43</f>
        <v>376.51555842194091</v>
      </c>
    </row>
    <row r="21" spans="4:12" x14ac:dyDescent="0.2">
      <c r="D21" t="s">
        <v>62</v>
      </c>
      <c r="H21" s="149">
        <f>FSM!K49</f>
        <v>245.62045975602234</v>
      </c>
      <c r="I21" s="149">
        <f>FSM!L49</f>
        <v>266.46285976913936</v>
      </c>
      <c r="J21" s="149">
        <f>FSM!M49</f>
        <v>286.17988788629515</v>
      </c>
      <c r="K21" s="149">
        <f>FSM!N49</f>
        <v>301.70360622759802</v>
      </c>
      <c r="L21" s="149">
        <f>FSM!O49</f>
        <v>320.0771539765102</v>
      </c>
    </row>
    <row r="22" spans="4:12" x14ac:dyDescent="0.2">
      <c r="D22" t="s">
        <v>26</v>
      </c>
      <c r="H22" s="231">
        <f t="shared" ref="H22:L22" si="0">$E$9</f>
        <v>0.3</v>
      </c>
      <c r="I22" s="231">
        <f t="shared" si="0"/>
        <v>0.3</v>
      </c>
      <c r="J22" s="231">
        <f t="shared" si="0"/>
        <v>0.3</v>
      </c>
      <c r="K22" s="231">
        <f t="shared" si="0"/>
        <v>0.3</v>
      </c>
      <c r="L22" s="231">
        <f t="shared" si="0"/>
        <v>0.3</v>
      </c>
    </row>
    <row r="23" spans="4:12" x14ac:dyDescent="0.2">
      <c r="D23" t="s">
        <v>269</v>
      </c>
      <c r="H23" s="2">
        <f>H21*(1-H22)</f>
        <v>171.93432182921563</v>
      </c>
      <c r="I23" s="2">
        <f t="shared" ref="I23:L23" si="1">I21*(1-I22)</f>
        <v>186.52400183839754</v>
      </c>
      <c r="J23" s="2">
        <f t="shared" si="1"/>
        <v>200.32592152040658</v>
      </c>
      <c r="K23" s="2">
        <f t="shared" si="1"/>
        <v>211.19252435931861</v>
      </c>
      <c r="L23" s="2">
        <f t="shared" si="1"/>
        <v>224.05400778355713</v>
      </c>
    </row>
    <row r="24" spans="4:12" x14ac:dyDescent="0.2">
      <c r="D24" t="s">
        <v>270</v>
      </c>
      <c r="H24" s="233">
        <f>-'Supporting Schedules'!K99</f>
        <v>56.012804411049373</v>
      </c>
      <c r="I24" s="233">
        <f>-'Supporting Schedules'!L99</f>
        <v>55.989343536011766</v>
      </c>
      <c r="J24" s="233">
        <f>-'Supporting Schedules'!M99</f>
        <v>56.061332985724633</v>
      </c>
      <c r="K24" s="233">
        <f>-'Supporting Schedules'!N99</f>
        <v>56.2149160847815</v>
      </c>
      <c r="L24" s="233">
        <f>-'Supporting Schedules'!O99</f>
        <v>56.438404445430734</v>
      </c>
    </row>
    <row r="25" spans="4:12" x14ac:dyDescent="0.2">
      <c r="D25" t="s">
        <v>271</v>
      </c>
      <c r="H25" s="233">
        <f>SUM(FSM!K154:K155)</f>
        <v>61.26684517822423</v>
      </c>
      <c r="I25" s="233">
        <f>SUM(FSM!L154:L155)</f>
        <v>29.975207076189733</v>
      </c>
      <c r="J25" s="233">
        <f>SUM(FSM!M154:M155)</f>
        <v>56.618594997382829</v>
      </c>
      <c r="K25" s="233">
        <f>SUM(FSM!N154:N155)</f>
        <v>18.139029736291363</v>
      </c>
      <c r="L25" s="233">
        <f>SUM(FSM!O154:O155)</f>
        <v>55.977299194572382</v>
      </c>
    </row>
    <row r="26" spans="4:12" x14ac:dyDescent="0.2">
      <c r="D26" t="s">
        <v>272</v>
      </c>
      <c r="H26" s="233">
        <f>-'Supporting Schedules'!K93</f>
        <v>-60.273497463409896</v>
      </c>
      <c r="I26" s="233">
        <f>-'Supporting Schedules'!L93</f>
        <v>-60.584673122385851</v>
      </c>
      <c r="J26" s="233">
        <f>-'Supporting Schedules'!M93</f>
        <v>-60.950136310576923</v>
      </c>
      <c r="K26" s="233">
        <f>-'Supporting Schedules'!N93</f>
        <v>-61.362558987896755</v>
      </c>
      <c r="L26" s="233">
        <f>-'Supporting Schedules'!O93</f>
        <v>-61.815766324348843</v>
      </c>
    </row>
    <row r="28" spans="4:12" x14ac:dyDescent="0.2">
      <c r="D28" s="4" t="s">
        <v>273</v>
      </c>
      <c r="E28" s="4"/>
      <c r="F28" s="4"/>
      <c r="G28" s="4"/>
      <c r="H28" s="5">
        <f>SUM(H23:H26)</f>
        <v>228.94047395507931</v>
      </c>
      <c r="I28" s="5">
        <f t="shared" ref="H28:L28" si="2">SUM(I23:I26)</f>
        <v>211.90387932821321</v>
      </c>
      <c r="J28" s="5">
        <f t="shared" si="2"/>
        <v>252.05571319293716</v>
      </c>
      <c r="K28" s="5">
        <f t="shared" si="2"/>
        <v>224.18391119249475</v>
      </c>
      <c r="L28" s="5">
        <f t="shared" si="2"/>
        <v>274.6539450992114</v>
      </c>
    </row>
    <row r="29" spans="4:12" x14ac:dyDescent="0.2">
      <c r="D29" t="s">
        <v>274</v>
      </c>
      <c r="K29" s="6"/>
      <c r="L29" s="6"/>
    </row>
    <row r="31" spans="4:12" x14ac:dyDescent="0.2">
      <c r="D31" s="234" t="s">
        <v>275</v>
      </c>
      <c r="E31" s="234"/>
      <c r="G31" s="7">
        <f>E11</f>
        <v>45758</v>
      </c>
      <c r="H31" s="7">
        <v>45838</v>
      </c>
      <c r="I31" s="199">
        <f t="shared" ref="I31:L31" si="3">H31+365</f>
        <v>46203</v>
      </c>
      <c r="J31" s="199">
        <f t="shared" si="3"/>
        <v>46568</v>
      </c>
      <c r="K31" s="199">
        <f t="shared" si="3"/>
        <v>46933</v>
      </c>
      <c r="L31" s="199">
        <f t="shared" si="3"/>
        <v>47298</v>
      </c>
    </row>
    <row r="32" spans="4:12" x14ac:dyDescent="0.2">
      <c r="D32" s="234" t="s">
        <v>276</v>
      </c>
      <c r="E32" s="234"/>
      <c r="H32">
        <f>H31-$G$31</f>
        <v>80</v>
      </c>
      <c r="I32">
        <f t="shared" ref="I32:L32" si="4">I31-$G$31</f>
        <v>445</v>
      </c>
      <c r="J32">
        <f t="shared" si="4"/>
        <v>810</v>
      </c>
      <c r="K32">
        <f t="shared" si="4"/>
        <v>1175</v>
      </c>
      <c r="L32">
        <f t="shared" si="4"/>
        <v>1540</v>
      </c>
    </row>
    <row r="33" spans="4:15" x14ac:dyDescent="0.2">
      <c r="D33" s="234" t="s">
        <v>277</v>
      </c>
      <c r="E33" s="234"/>
      <c r="H33" s="8">
        <f t="shared" ref="H33:L33" si="5">H32/365.25</f>
        <v>0.21902806297056809</v>
      </c>
      <c r="I33" s="8">
        <f t="shared" si="5"/>
        <v>1.2183436002737851</v>
      </c>
      <c r="J33" s="8">
        <f t="shared" si="5"/>
        <v>2.2176591375770021</v>
      </c>
      <c r="K33" s="8">
        <f t="shared" si="5"/>
        <v>3.2169746748802188</v>
      </c>
      <c r="L33" s="8">
        <f t="shared" si="5"/>
        <v>4.216290212183436</v>
      </c>
    </row>
    <row r="34" spans="4:15" x14ac:dyDescent="0.2">
      <c r="D34" s="235"/>
      <c r="E34" s="235"/>
      <c r="I34" s="235"/>
      <c r="J34" s="236"/>
      <c r="K34" s="236"/>
      <c r="L34" s="236"/>
    </row>
    <row r="35" spans="4:15" x14ac:dyDescent="0.2">
      <c r="D35" s="237" t="s">
        <v>278</v>
      </c>
      <c r="E35" s="237"/>
      <c r="F35" s="4"/>
      <c r="G35" s="4"/>
      <c r="H35" s="5">
        <f t="shared" ref="H35:L35" ca="1" si="6">H28/(1+$E$8)^H33</f>
        <v>225.09911112569429</v>
      </c>
      <c r="I35" s="5">
        <f t="shared" ca="1" si="6"/>
        <v>192.86846377453733</v>
      </c>
      <c r="J35" s="5">
        <f t="shared" ca="1" si="6"/>
        <v>212.36843713483057</v>
      </c>
      <c r="K35" s="5">
        <f t="shared" ca="1" si="6"/>
        <v>174.85134539310371</v>
      </c>
      <c r="L35" s="5">
        <f t="shared" ca="1" si="6"/>
        <v>198.29944080146822</v>
      </c>
    </row>
    <row r="37" spans="4:15" x14ac:dyDescent="0.2">
      <c r="D37" s="238" t="s">
        <v>279</v>
      </c>
      <c r="E37" s="103"/>
      <c r="G37" s="238" t="s">
        <v>280</v>
      </c>
      <c r="H37" s="103"/>
      <c r="I37" s="103"/>
      <c r="J37" s="103"/>
      <c r="K37" s="103"/>
      <c r="L37" s="103"/>
      <c r="M37" s="103"/>
      <c r="N37" s="103"/>
    </row>
    <row r="38" spans="4:15" x14ac:dyDescent="0.2">
      <c r="D38" t="s">
        <v>281</v>
      </c>
      <c r="E38" s="27">
        <f>E10</f>
        <v>2.8587222373902599E-2</v>
      </c>
    </row>
    <row r="39" spans="4:15" x14ac:dyDescent="0.2">
      <c r="D39" t="s">
        <v>282</v>
      </c>
      <c r="E39" s="9">
        <f>L28*(1+E38)</f>
        <v>282.50553850363218</v>
      </c>
      <c r="G39" s="10"/>
      <c r="H39" s="239"/>
      <c r="I39" s="240"/>
      <c r="J39" s="240"/>
      <c r="K39" s="240" t="s">
        <v>264</v>
      </c>
      <c r="N39" s="6"/>
    </row>
    <row r="40" spans="4:15" x14ac:dyDescent="0.2">
      <c r="D40" t="s">
        <v>283</v>
      </c>
      <c r="E40" s="9">
        <f ca="1">E39/(E8-E38)</f>
        <v>5461.0093383414496</v>
      </c>
      <c r="G40" s="10"/>
      <c r="H40" s="241">
        <f ca="1">E51</f>
        <v>10.131563537262695</v>
      </c>
      <c r="I40" s="242">
        <f>J40-0.0025</f>
        <v>2.3587222373902601E-2</v>
      </c>
      <c r="J40" s="242">
        <f>K40-0.0025</f>
        <v>2.60872223739026E-2</v>
      </c>
      <c r="K40" s="243">
        <v>2.8587222373902599E-2</v>
      </c>
      <c r="L40" s="243">
        <f>K40+0.0025</f>
        <v>3.1087222373902598E-2</v>
      </c>
      <c r="M40" s="243">
        <f t="shared" ref="M40:N40" si="7">L40+0.0025</f>
        <v>3.3587222373902596E-2</v>
      </c>
      <c r="N40" s="243">
        <f t="shared" si="7"/>
        <v>3.6087222373902599E-2</v>
      </c>
      <c r="O40" s="8"/>
    </row>
    <row r="41" spans="4:15" x14ac:dyDescent="0.2">
      <c r="D41" t="s">
        <v>284</v>
      </c>
      <c r="E41" s="244">
        <f ca="1">E40/(1+E8)^L33</f>
        <v>3942.8346736964991</v>
      </c>
      <c r="G41" s="10"/>
      <c r="H41" s="11">
        <f>H42-0.0025</f>
        <v>7.5318600403267266E-2</v>
      </c>
      <c r="I41" s="12">
        <f t="dataTable" ref="I41:N45" dt2D="1" dtr="1" r1="E10" r2="E8"/>
        <v>10.292141596701093</v>
      </c>
      <c r="J41" s="13">
        <v>10.732962417568725</v>
      </c>
      <c r="K41" s="14">
        <v>11.220948637730878</v>
      </c>
      <c r="L41" s="14">
        <v>11.764097758293536</v>
      </c>
      <c r="M41" s="14">
        <v>12.372323704282428</v>
      </c>
      <c r="N41" s="14">
        <v>13.058067440435824</v>
      </c>
    </row>
    <row r="42" spans="4:15" x14ac:dyDescent="0.2">
      <c r="D42" t="s">
        <v>285</v>
      </c>
      <c r="E42" s="9">
        <f ca="1">SUM(H35:L35)</f>
        <v>1003.486798229634</v>
      </c>
      <c r="G42" s="245"/>
      <c r="H42" s="11">
        <f>H43-0.0025</f>
        <v>7.7818600403267268E-2</v>
      </c>
      <c r="I42" s="13">
        <v>9.8239717506555273</v>
      </c>
      <c r="J42" s="13">
        <v>10.221172236324652</v>
      </c>
      <c r="K42" s="14">
        <v>10.658712897464008</v>
      </c>
      <c r="L42" s="14">
        <v>11.143067998877775</v>
      </c>
      <c r="M42" s="14">
        <v>11.6821755320485</v>
      </c>
      <c r="N42" s="14">
        <v>12.285875652215919</v>
      </c>
    </row>
    <row r="43" spans="4:15" x14ac:dyDescent="0.2">
      <c r="D43" s="246" t="s">
        <v>286</v>
      </c>
      <c r="E43" s="247">
        <f ca="1">E41+E42</f>
        <v>4946.3214719261332</v>
      </c>
      <c r="G43" s="245" t="s">
        <v>263</v>
      </c>
      <c r="H43" s="15">
        <v>8.0318600403267271E-2</v>
      </c>
      <c r="I43" s="12">
        <v>9.3971252664469613</v>
      </c>
      <c r="J43" s="12">
        <v>9.7566297574914138</v>
      </c>
      <c r="K43" s="14">
        <v>10.150881485584183</v>
      </c>
      <c r="L43" s="14">
        <v>10.585173909659261</v>
      </c>
      <c r="M43" s="14">
        <v>11.06593323053783</v>
      </c>
      <c r="N43" s="14">
        <v>11.601038509229356</v>
      </c>
    </row>
    <row r="44" spans="4:15" x14ac:dyDescent="0.2">
      <c r="G44" s="10"/>
      <c r="H44" s="11">
        <f>H43+0.0025</f>
        <v>8.2818600403267273E-2</v>
      </c>
      <c r="I44" s="12">
        <v>9.0063688959950792</v>
      </c>
      <c r="J44" s="12">
        <v>9.333087931620673</v>
      </c>
      <c r="K44" s="14">
        <v>9.6899296607401268</v>
      </c>
      <c r="L44" s="14">
        <v>10.081261262613102</v>
      </c>
      <c r="M44" s="14">
        <v>10.51233698881666</v>
      </c>
      <c r="N44" s="14">
        <v>10.989535442872658</v>
      </c>
    </row>
    <row r="45" spans="4:15" x14ac:dyDescent="0.2">
      <c r="D45" s="248" t="s">
        <v>97</v>
      </c>
      <c r="E45" s="249">
        <f>FSM!J87</f>
        <v>275.3</v>
      </c>
      <c r="G45" s="10"/>
      <c r="H45" s="11">
        <f t="shared" ref="H45:H46" si="8">H44+0.0025</f>
        <v>8.5318600403267275E-2</v>
      </c>
      <c r="I45" s="13">
        <v>8.6473171478931548</v>
      </c>
      <c r="J45" s="13">
        <v>8.9453544067235438</v>
      </c>
      <c r="K45" s="14">
        <v>9.2696590742775573</v>
      </c>
      <c r="L45" s="14">
        <v>9.6238638365127773</v>
      </c>
      <c r="M45" s="14">
        <v>10.012303600378356</v>
      </c>
      <c r="N45" s="14">
        <v>10.440193789908832</v>
      </c>
    </row>
    <row r="46" spans="4:15" x14ac:dyDescent="0.2">
      <c r="D46" s="248" t="s">
        <v>233</v>
      </c>
      <c r="E46" s="249">
        <f>'Supporting Schedules'!J144</f>
        <v>306.8</v>
      </c>
      <c r="G46" s="10"/>
      <c r="H46" s="11"/>
      <c r="I46" s="10"/>
      <c r="J46" s="10"/>
    </row>
    <row r="47" spans="4:15" x14ac:dyDescent="0.2">
      <c r="D47" s="250" t="s">
        <v>287</v>
      </c>
      <c r="E47" s="249">
        <f>E46-E45</f>
        <v>31.5</v>
      </c>
      <c r="G47" s="10"/>
      <c r="H47" s="10" t="s">
        <v>288</v>
      </c>
      <c r="I47" s="10" t="s">
        <v>289</v>
      </c>
      <c r="J47" s="10" t="s">
        <v>290</v>
      </c>
    </row>
    <row r="48" spans="4:15" x14ac:dyDescent="0.2">
      <c r="D48" s="251" t="s">
        <v>291</v>
      </c>
      <c r="E48" s="252">
        <f ca="1">E43-E47</f>
        <v>4914.8214719261332</v>
      </c>
      <c r="G48" s="10" t="s">
        <v>292</v>
      </c>
      <c r="H48" s="241">
        <f>K44</f>
        <v>9.6899296607401268</v>
      </c>
      <c r="I48" s="241">
        <f>K43</f>
        <v>10.150881485584183</v>
      </c>
      <c r="J48" s="241">
        <f>K42</f>
        <v>10.658712897464008</v>
      </c>
    </row>
    <row r="49" spans="4:10" x14ac:dyDescent="0.2">
      <c r="E49" s="253"/>
      <c r="G49" s="254" t="s">
        <v>293</v>
      </c>
      <c r="H49" s="255">
        <f>H48/$E$12-1</f>
        <v>0.43554513492446323</v>
      </c>
      <c r="I49" s="255">
        <f t="shared" ref="I49:J49" si="9">I48/$E$12-1</f>
        <v>0.50383429416061976</v>
      </c>
      <c r="J49" s="255">
        <f t="shared" si="9"/>
        <v>0.5790685774020754</v>
      </c>
    </row>
    <row r="50" spans="4:10" x14ac:dyDescent="0.2">
      <c r="D50" t="s">
        <v>380</v>
      </c>
      <c r="E50" s="256">
        <f>E13</f>
        <v>485.1</v>
      </c>
      <c r="G50" s="257" t="s">
        <v>294</v>
      </c>
      <c r="H50" s="12">
        <f>J43</f>
        <v>9.7566297574914138</v>
      </c>
      <c r="I50" s="12">
        <f>K43</f>
        <v>10.150881485584183</v>
      </c>
      <c r="J50" s="12">
        <f>L43</f>
        <v>10.585173909659261</v>
      </c>
    </row>
    <row r="51" spans="4:10" x14ac:dyDescent="0.2">
      <c r="D51" s="246" t="s">
        <v>295</v>
      </c>
      <c r="E51" s="258">
        <f ca="1">E48/E50</f>
        <v>10.131563537262695</v>
      </c>
      <c r="G51" s="254" t="s">
        <v>293</v>
      </c>
      <c r="H51" s="255">
        <f>H50/$E$12-1</f>
        <v>0.44542663073946875</v>
      </c>
      <c r="I51" s="255">
        <f t="shared" ref="I51:J51" si="10">I50/$E$12-1</f>
        <v>0.50383429416061976</v>
      </c>
      <c r="J51" s="255">
        <f t="shared" si="10"/>
        <v>0.5681739125421128</v>
      </c>
    </row>
    <row r="52" spans="4:10" x14ac:dyDescent="0.2">
      <c r="D52" t="s">
        <v>296</v>
      </c>
      <c r="E52" s="16">
        <f ca="1">E51/E12-1</f>
        <v>0.50097237589076959</v>
      </c>
    </row>
  </sheetData>
  <mergeCells count="4">
    <mergeCell ref="F1:J1"/>
    <mergeCell ref="K1:O1"/>
    <mergeCell ref="P1:T1"/>
    <mergeCell ref="I17:K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668-8F56-3A43-B0A7-3867BE870BC0}">
  <dimension ref="A1:U46"/>
  <sheetViews>
    <sheetView showGridLines="0" topLeftCell="A9" workbookViewId="0">
      <selection activeCell="E28" sqref="E28"/>
    </sheetView>
  </sheetViews>
  <sheetFormatPr baseColWidth="10" defaultColWidth="11.19921875" defaultRowHeight="14" x14ac:dyDescent="0.2"/>
  <cols>
    <col min="1" max="3" width="2" customWidth="1"/>
    <col min="4" max="5" width="30.796875" customWidth="1"/>
    <col min="6" max="6" width="11.19921875" customWidth="1"/>
    <col min="7" max="16381" width="0" hidden="1" customWidth="1"/>
    <col min="16382" max="16384" width="13.19921875" customWidth="1"/>
  </cols>
  <sheetData>
    <row r="1" spans="1:21" s="103" customFormat="1" ht="15" customHeight="1" x14ac:dyDescent="0.25">
      <c r="A1" s="100"/>
      <c r="B1" s="100"/>
      <c r="C1" s="100"/>
      <c r="D1" s="101"/>
      <c r="E1" s="102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</row>
    <row r="2" spans="1:21" s="103" customFormat="1" ht="21" x14ac:dyDescent="0.25">
      <c r="A2" s="104"/>
      <c r="B2" s="104"/>
      <c r="C2" s="104"/>
      <c r="D2" s="101" t="s">
        <v>0</v>
      </c>
      <c r="E2" s="106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</row>
    <row r="3" spans="1:21" s="103" customFormat="1" x14ac:dyDescent="0.2">
      <c r="A3" s="104"/>
      <c r="B3" s="104"/>
      <c r="C3" s="104"/>
      <c r="D3" s="106"/>
      <c r="E3" s="106"/>
      <c r="F3" s="105"/>
      <c r="G3" s="105"/>
      <c r="H3" s="105"/>
      <c r="I3" s="105"/>
      <c r="J3" s="105"/>
    </row>
    <row r="5" spans="1:21" x14ac:dyDescent="0.2">
      <c r="D5" s="107" t="s">
        <v>261</v>
      </c>
      <c r="E5" s="113"/>
    </row>
    <row r="6" spans="1:21" x14ac:dyDescent="0.2">
      <c r="D6" s="45"/>
      <c r="E6" s="45"/>
    </row>
    <row r="7" spans="1:21" x14ac:dyDescent="0.2">
      <c r="D7" s="112" t="s">
        <v>297</v>
      </c>
      <c r="E7" s="113"/>
    </row>
    <row r="8" spans="1:21" x14ac:dyDescent="0.2">
      <c r="D8" s="45"/>
      <c r="E8" s="45"/>
    </row>
    <row r="9" spans="1:21" x14ac:dyDescent="0.2">
      <c r="D9" s="45" t="s">
        <v>298</v>
      </c>
      <c r="E9" s="46">
        <f ca="1">'Supporting Schedules'!K158</f>
        <v>4.2540549880405225E-2</v>
      </c>
    </row>
    <row r="10" spans="1:21" x14ac:dyDescent="0.2">
      <c r="D10" s="45" t="s">
        <v>26</v>
      </c>
      <c r="E10" s="46">
        <f>DCF!E9</f>
        <v>0.3</v>
      </c>
    </row>
    <row r="11" spans="1:21" ht="15" thickBot="1" x14ac:dyDescent="0.25">
      <c r="D11" s="47" t="s">
        <v>299</v>
      </c>
      <c r="E11" s="48">
        <f ca="1">E9*(1-E10)</f>
        <v>2.9778384916283655E-2</v>
      </c>
    </row>
    <row r="12" spans="1:21" x14ac:dyDescent="0.2">
      <c r="D12" s="45"/>
      <c r="E12" s="45"/>
    </row>
    <row r="13" spans="1:21" x14ac:dyDescent="0.2">
      <c r="D13" s="45" t="s">
        <v>300</v>
      </c>
      <c r="E13" s="115">
        <v>5.16E-2</v>
      </c>
      <c r="F13" s="145" t="s">
        <v>301</v>
      </c>
    </row>
    <row r="14" spans="1:21" x14ac:dyDescent="0.2">
      <c r="D14" s="45" t="s">
        <v>302</v>
      </c>
      <c r="E14" s="49">
        <f>E40</f>
        <v>0.67675000000000007</v>
      </c>
    </row>
    <row r="15" spans="1:21" x14ac:dyDescent="0.2">
      <c r="D15" s="45" t="s">
        <v>303</v>
      </c>
      <c r="E15" s="50">
        <f>E46</f>
        <v>4.9433333333333329E-2</v>
      </c>
      <c r="F15" t="s">
        <v>304</v>
      </c>
    </row>
    <row r="16" spans="1:21" ht="15" thickBot="1" x14ac:dyDescent="0.25">
      <c r="D16" s="47" t="s">
        <v>305</v>
      </c>
      <c r="E16" s="48">
        <f>E13+E14*E15</f>
        <v>8.5054008333333334E-2</v>
      </c>
    </row>
    <row r="17" spans="4:5" x14ac:dyDescent="0.2">
      <c r="D17" s="45"/>
      <c r="E17" s="45"/>
    </row>
    <row r="18" spans="4:5" x14ac:dyDescent="0.2">
      <c r="D18" s="112" t="s">
        <v>306</v>
      </c>
      <c r="E18" s="114"/>
    </row>
    <row r="19" spans="4:5" x14ac:dyDescent="0.2">
      <c r="D19" s="45"/>
      <c r="E19" s="45"/>
    </row>
    <row r="20" spans="4:5" x14ac:dyDescent="0.2">
      <c r="D20" s="51" t="s">
        <v>307</v>
      </c>
      <c r="E20" s="52"/>
    </row>
    <row r="21" spans="4:5" x14ac:dyDescent="0.2">
      <c r="D21" s="45"/>
      <c r="E21" s="45"/>
    </row>
    <row r="22" spans="4:5" x14ac:dyDescent="0.2">
      <c r="D22" s="45" t="s">
        <v>308</v>
      </c>
      <c r="E22" s="53">
        <f>'Supporting Schedules'!J144</f>
        <v>306.8</v>
      </c>
    </row>
    <row r="23" spans="4:5" x14ac:dyDescent="0.2">
      <c r="D23" s="45" t="s">
        <v>309</v>
      </c>
      <c r="E23" s="54">
        <f>E22/SUM(E22,E29)</f>
        <v>8.5669009905828306E-2</v>
      </c>
    </row>
    <row r="24" spans="4:5" x14ac:dyDescent="0.2">
      <c r="D24" s="45"/>
      <c r="E24" s="45"/>
    </row>
    <row r="25" spans="4:5" x14ac:dyDescent="0.2">
      <c r="D25" s="51" t="s">
        <v>310</v>
      </c>
      <c r="E25" s="52"/>
    </row>
    <row r="26" spans="4:5" x14ac:dyDescent="0.2">
      <c r="D26" s="45"/>
      <c r="E26" s="45"/>
    </row>
    <row r="27" spans="4:5" x14ac:dyDescent="0.2">
      <c r="D27" s="45" t="s">
        <v>21</v>
      </c>
      <c r="E27" s="55">
        <f>DCF!E12</f>
        <v>6.75</v>
      </c>
    </row>
    <row r="28" spans="4:5" x14ac:dyDescent="0.2">
      <c r="D28" s="45" t="s">
        <v>22</v>
      </c>
      <c r="E28" s="56">
        <f>FSM!E12</f>
        <v>485.1</v>
      </c>
    </row>
    <row r="29" spans="4:5" x14ac:dyDescent="0.2">
      <c r="D29" s="45" t="s">
        <v>311</v>
      </c>
      <c r="E29" s="57">
        <f>E27*E28</f>
        <v>3274.4250000000002</v>
      </c>
    </row>
    <row r="30" spans="4:5" x14ac:dyDescent="0.2">
      <c r="D30" s="45" t="s">
        <v>312</v>
      </c>
      <c r="E30" s="54">
        <f>E29/SUM(E29,E22)</f>
        <v>0.91433099009417163</v>
      </c>
    </row>
    <row r="31" spans="4:5" ht="15" thickBot="1" x14ac:dyDescent="0.25">
      <c r="D31" s="45"/>
      <c r="E31" s="58"/>
    </row>
    <row r="32" spans="4:5" ht="15" thickBot="1" x14ac:dyDescent="0.25">
      <c r="D32" s="59" t="s">
        <v>263</v>
      </c>
      <c r="E32" s="60">
        <f ca="1">E23*E11+E16*E30</f>
        <v>8.0318600403267271E-2</v>
      </c>
    </row>
    <row r="35" spans="4:6" x14ac:dyDescent="0.2">
      <c r="D35" s="112" t="s">
        <v>302</v>
      </c>
      <c r="E35" s="113"/>
    </row>
    <row r="36" spans="4:6" ht="16" x14ac:dyDescent="0.2">
      <c r="D36" t="s">
        <v>313</v>
      </c>
      <c r="E36" s="22">
        <v>0.67600000000000005</v>
      </c>
    </row>
    <row r="37" spans="4:6" ht="16" x14ac:dyDescent="0.2">
      <c r="D37" t="s">
        <v>314</v>
      </c>
      <c r="E37" s="22">
        <v>0.7</v>
      </c>
    </row>
    <row r="38" spans="4:6" ht="16" x14ac:dyDescent="0.2">
      <c r="D38" t="s">
        <v>315</v>
      </c>
      <c r="E38" s="22">
        <v>0.66700000000000004</v>
      </c>
    </row>
    <row r="39" spans="4:6" ht="16" x14ac:dyDescent="0.2">
      <c r="D39" t="s">
        <v>316</v>
      </c>
      <c r="E39" s="22">
        <v>0.66400000000000003</v>
      </c>
    </row>
    <row r="40" spans="4:6" ht="16" x14ac:dyDescent="0.2">
      <c r="D40" s="61" t="s">
        <v>183</v>
      </c>
      <c r="E40" s="62">
        <f>AVERAGE(E36:E39)</f>
        <v>0.67675000000000007</v>
      </c>
    </row>
    <row r="42" spans="4:6" x14ac:dyDescent="0.2">
      <c r="D42" s="112" t="s">
        <v>303</v>
      </c>
      <c r="E42" s="113"/>
    </row>
    <row r="43" spans="4:6" ht="16" x14ac:dyDescent="0.2">
      <c r="D43" t="s">
        <v>317</v>
      </c>
      <c r="E43" s="18">
        <v>4.3299999999999998E-2</v>
      </c>
      <c r="F43" t="s">
        <v>318</v>
      </c>
    </row>
    <row r="44" spans="4:6" ht="16" x14ac:dyDescent="0.2">
      <c r="D44" t="s">
        <v>319</v>
      </c>
      <c r="E44" s="18">
        <v>0.05</v>
      </c>
      <c r="F44" t="s">
        <v>320</v>
      </c>
    </row>
    <row r="45" spans="4:6" ht="16" x14ac:dyDescent="0.2">
      <c r="D45" t="s">
        <v>321</v>
      </c>
      <c r="E45" s="18">
        <v>5.5E-2</v>
      </c>
      <c r="F45" s="10" t="s">
        <v>322</v>
      </c>
    </row>
    <row r="46" spans="4:6" ht="16" x14ac:dyDescent="0.2">
      <c r="D46" s="61" t="s">
        <v>183</v>
      </c>
      <c r="E46" s="63">
        <f>AVERAGE(E43:E45)</f>
        <v>4.9433333333333329E-2</v>
      </c>
    </row>
  </sheetData>
  <mergeCells count="3">
    <mergeCell ref="F1:J1"/>
    <mergeCell ref="K1:O1"/>
    <mergeCell ref="P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015C-AD0C-6440-AC17-0B5EB3E5F7F0}">
  <dimension ref="A1:T51"/>
  <sheetViews>
    <sheetView showGridLines="0" workbookViewId="0">
      <selection activeCell="E10" sqref="E10"/>
    </sheetView>
  </sheetViews>
  <sheetFormatPr baseColWidth="10" defaultColWidth="9" defaultRowHeight="14" x14ac:dyDescent="0.2"/>
  <cols>
    <col min="1" max="3" width="1.796875" customWidth="1"/>
    <col min="4" max="4" width="34.3984375" customWidth="1"/>
    <col min="5" max="5" width="10.796875" bestFit="1" customWidth="1"/>
    <col min="7" max="8" width="25" customWidth="1"/>
    <col min="9" max="9" width="23.796875" bestFit="1" customWidth="1"/>
    <col min="10" max="10" width="20.59765625" bestFit="1" customWidth="1"/>
  </cols>
  <sheetData>
    <row r="1" spans="1:20" s="103" customFormat="1" ht="15" customHeight="1" x14ac:dyDescent="0.2">
      <c r="A1" s="100"/>
      <c r="B1" s="100"/>
      <c r="C1" s="100"/>
      <c r="D1" s="102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</row>
    <row r="2" spans="1:20" s="103" customFormat="1" x14ac:dyDescent="0.2">
      <c r="A2" s="104"/>
      <c r="B2" s="104"/>
      <c r="C2" s="104"/>
      <c r="D2" s="106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</row>
    <row r="3" spans="1:20" s="103" customFormat="1" x14ac:dyDescent="0.2">
      <c r="A3" s="104"/>
      <c r="B3" s="104"/>
      <c r="C3" s="104"/>
      <c r="D3" s="106"/>
      <c r="E3" s="105"/>
      <c r="F3" s="105"/>
      <c r="G3" s="105"/>
      <c r="H3" s="105"/>
      <c r="I3" s="105"/>
    </row>
    <row r="5" spans="1:20" x14ac:dyDescent="0.2">
      <c r="A5" s="9" t="s">
        <v>17</v>
      </c>
      <c r="B5" s="106" t="s">
        <v>323</v>
      </c>
      <c r="C5" s="106"/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</row>
    <row r="7" spans="1:20" ht="15" x14ac:dyDescent="0.2">
      <c r="D7" s="230" t="s">
        <v>324</v>
      </c>
      <c r="E7" s="230" t="s">
        <v>325</v>
      </c>
      <c r="F7" s="230" t="s">
        <v>264</v>
      </c>
    </row>
    <row r="8" spans="1:20" x14ac:dyDescent="0.2">
      <c r="D8" t="s">
        <v>326</v>
      </c>
      <c r="E8" s="1">
        <v>0.7</v>
      </c>
      <c r="F8" s="6">
        <f>G33</f>
        <v>2.5720872444252134E-2</v>
      </c>
    </row>
    <row r="9" spans="1:20" x14ac:dyDescent="0.2">
      <c r="D9" t="s">
        <v>327</v>
      </c>
      <c r="E9" s="1">
        <v>0.3</v>
      </c>
      <c r="F9" s="6">
        <f>G49</f>
        <v>3.5275372209753686E-2</v>
      </c>
    </row>
    <row r="10" spans="1:20" ht="15" x14ac:dyDescent="0.2">
      <c r="D10" s="226" t="s">
        <v>264</v>
      </c>
      <c r="E10" s="282">
        <f>SUM(E8:E9)</f>
        <v>1</v>
      </c>
      <c r="F10" s="227">
        <f>E8*F8+E9*F9</f>
        <v>2.8587222373902599E-2</v>
      </c>
    </row>
    <row r="11" spans="1:20" ht="15" x14ac:dyDescent="0.2">
      <c r="C11" s="228"/>
      <c r="D11" s="229"/>
    </row>
    <row r="12" spans="1:20" x14ac:dyDescent="0.2">
      <c r="A12" s="9" t="s">
        <v>17</v>
      </c>
      <c r="B12" s="106" t="s">
        <v>328</v>
      </c>
      <c r="C12" s="106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</row>
    <row r="14" spans="1:20" x14ac:dyDescent="0.2">
      <c r="D14" s="4" t="s">
        <v>329</v>
      </c>
      <c r="E14" s="4"/>
      <c r="F14" s="4"/>
      <c r="G14" s="4" t="s">
        <v>330</v>
      </c>
      <c r="H14" s="4" t="s">
        <v>331</v>
      </c>
    </row>
    <row r="15" spans="1:20" x14ac:dyDescent="0.2">
      <c r="D15" t="s">
        <v>332</v>
      </c>
      <c r="G15" s="9">
        <v>1349587</v>
      </c>
      <c r="H15" s="6">
        <f>G15/$G$18</f>
        <v>0.71826620279081255</v>
      </c>
    </row>
    <row r="16" spans="1:20" x14ac:dyDescent="0.2">
      <c r="D16" t="s">
        <v>333</v>
      </c>
      <c r="G16" s="9">
        <v>241668</v>
      </c>
      <c r="H16" s="6">
        <f t="shared" ref="H16:H17" si="0">G16/$G$18</f>
        <v>0.12861857493888879</v>
      </c>
    </row>
    <row r="17" spans="1:14" x14ac:dyDescent="0.2">
      <c r="D17" t="s">
        <v>334</v>
      </c>
      <c r="G17" s="9">
        <v>287696</v>
      </c>
      <c r="H17" s="6">
        <f t="shared" si="0"/>
        <v>0.1531152222702987</v>
      </c>
    </row>
    <row r="18" spans="1:14" x14ac:dyDescent="0.2">
      <c r="D18" s="4" t="s">
        <v>335</v>
      </c>
      <c r="E18" s="4"/>
      <c r="F18" s="4"/>
      <c r="G18" s="5">
        <f>SUM(G15:G17)</f>
        <v>1878951</v>
      </c>
      <c r="H18" s="225">
        <f>SUM(H15:H17)</f>
        <v>1</v>
      </c>
    </row>
    <row r="20" spans="1:14" ht="15" customHeight="1" x14ac:dyDescent="0.2"/>
    <row r="21" spans="1:14" x14ac:dyDescent="0.2">
      <c r="A21" s="9" t="s">
        <v>17</v>
      </c>
      <c r="B21" s="106" t="s">
        <v>336</v>
      </c>
      <c r="C21" s="106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</row>
    <row r="23" spans="1:14" x14ac:dyDescent="0.2">
      <c r="D23" s="17" t="s">
        <v>3</v>
      </c>
      <c r="E23" s="17"/>
      <c r="F23" s="17"/>
      <c r="G23" s="98" t="s">
        <v>337</v>
      </c>
      <c r="H23" s="98" t="s">
        <v>338</v>
      </c>
    </row>
    <row r="24" spans="1:14" x14ac:dyDescent="0.2">
      <c r="D24">
        <v>2021</v>
      </c>
      <c r="G24" s="6">
        <v>5.5E-2</v>
      </c>
      <c r="H24" s="6">
        <v>5.6000000000000001E-2</v>
      </c>
    </row>
    <row r="25" spans="1:14" x14ac:dyDescent="0.2">
      <c r="D25">
        <v>2022</v>
      </c>
      <c r="G25" s="6">
        <v>3.9E-2</v>
      </c>
      <c r="H25" s="6">
        <v>2.4E-2</v>
      </c>
    </row>
    <row r="26" spans="1:14" x14ac:dyDescent="0.2">
      <c r="D26">
        <v>2023</v>
      </c>
      <c r="G26" s="1">
        <v>0.02</v>
      </c>
      <c r="H26" s="6">
        <v>6.0000000000000001E-3</v>
      </c>
    </row>
    <row r="27" spans="1:14" x14ac:dyDescent="0.2">
      <c r="D27">
        <v>2024</v>
      </c>
      <c r="G27" s="6">
        <v>1.2E-2</v>
      </c>
      <c r="H27" s="1">
        <v>0</v>
      </c>
    </row>
    <row r="28" spans="1:14" x14ac:dyDescent="0.2">
      <c r="D28">
        <v>2025</v>
      </c>
      <c r="G28" s="6">
        <v>2.1000000000000001E-2</v>
      </c>
      <c r="H28" s="6">
        <v>1.9E-2</v>
      </c>
    </row>
    <row r="29" spans="1:14" x14ac:dyDescent="0.2">
      <c r="D29">
        <v>2026</v>
      </c>
      <c r="G29" s="6">
        <v>2.1999999999999999E-2</v>
      </c>
      <c r="H29" s="6">
        <v>2.4E-2</v>
      </c>
    </row>
    <row r="30" spans="1:14" x14ac:dyDescent="0.2">
      <c r="D30">
        <v>2027</v>
      </c>
      <c r="G30" s="6">
        <v>2.1999999999999999E-2</v>
      </c>
      <c r="H30" s="6">
        <v>2.4E-2</v>
      </c>
    </row>
    <row r="31" spans="1:14" x14ac:dyDescent="0.2">
      <c r="D31">
        <v>2028</v>
      </c>
      <c r="G31" s="6">
        <v>2.3E-2</v>
      </c>
      <c r="H31" s="6">
        <v>2.4E-2</v>
      </c>
    </row>
    <row r="32" spans="1:14" ht="15" thickBot="1" x14ac:dyDescent="0.25">
      <c r="D32">
        <v>2029</v>
      </c>
      <c r="G32" s="6">
        <v>2.3E-2</v>
      </c>
      <c r="H32" s="6">
        <v>2.4E-2</v>
      </c>
    </row>
    <row r="33" spans="1:14" ht="15" thickBot="1" x14ac:dyDescent="0.25">
      <c r="D33" s="19" t="s">
        <v>339</v>
      </c>
      <c r="E33" s="20"/>
      <c r="F33" s="20"/>
      <c r="G33" s="286">
        <f>(H15+H16)*AVERAGE(G24:G32)+H17*AVERAGE(H24:H32)</f>
        <v>2.5720872444252134E-2</v>
      </c>
      <c r="H33" s="287"/>
    </row>
    <row r="35" spans="1:14" x14ac:dyDescent="0.2">
      <c r="D35" t="s">
        <v>340</v>
      </c>
    </row>
    <row r="37" spans="1:14" x14ac:dyDescent="0.2">
      <c r="A37" s="9" t="s">
        <v>17</v>
      </c>
      <c r="B37" s="106" t="s">
        <v>341</v>
      </c>
      <c r="C37" s="106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</row>
    <row r="39" spans="1:14" x14ac:dyDescent="0.2">
      <c r="D39" s="17" t="s">
        <v>3</v>
      </c>
      <c r="E39" s="17"/>
      <c r="F39" s="17"/>
      <c r="G39" s="98" t="s">
        <v>342</v>
      </c>
      <c r="H39" s="98" t="s">
        <v>343</v>
      </c>
    </row>
    <row r="40" spans="1:14" x14ac:dyDescent="0.2">
      <c r="D40">
        <v>2021</v>
      </c>
      <c r="G40" s="16">
        <v>2.8000000000000001E-2</v>
      </c>
      <c r="H40" s="6">
        <v>3.9E-2</v>
      </c>
    </row>
    <row r="41" spans="1:14" x14ac:dyDescent="0.2">
      <c r="D41">
        <v>2022</v>
      </c>
      <c r="G41" s="16">
        <v>6.6000000000000003E-2</v>
      </c>
      <c r="H41" s="6">
        <v>7.1999999999999995E-2</v>
      </c>
    </row>
    <row r="42" spans="1:14" x14ac:dyDescent="0.2">
      <c r="D42">
        <v>2023</v>
      </c>
      <c r="G42" s="16">
        <v>5.6000000000000001E-2</v>
      </c>
      <c r="H42" s="6">
        <v>5.7000000000000002E-2</v>
      </c>
    </row>
    <row r="43" spans="1:14" x14ac:dyDescent="0.2">
      <c r="D43">
        <v>2024</v>
      </c>
      <c r="G43" s="16">
        <v>3.3000000000000002E-2</v>
      </c>
      <c r="H43" s="6">
        <v>2.7E-2</v>
      </c>
    </row>
    <row r="44" spans="1:14" x14ac:dyDescent="0.2">
      <c r="D44">
        <v>2025</v>
      </c>
      <c r="G44" s="16">
        <v>3.3000000000000002E-2</v>
      </c>
      <c r="H44" s="6">
        <v>2.1999999999999999E-2</v>
      </c>
    </row>
    <row r="45" spans="1:14" x14ac:dyDescent="0.2">
      <c r="D45">
        <v>2026</v>
      </c>
      <c r="G45" s="16">
        <v>0.03</v>
      </c>
      <c r="H45" s="6">
        <v>2.1000000000000001E-2</v>
      </c>
    </row>
    <row r="46" spans="1:14" x14ac:dyDescent="0.2">
      <c r="D46">
        <v>2027</v>
      </c>
      <c r="G46" s="16">
        <v>2.5000000000000001E-2</v>
      </c>
      <c r="H46" s="1">
        <v>0.02</v>
      </c>
    </row>
    <row r="47" spans="1:14" x14ac:dyDescent="0.2">
      <c r="D47">
        <v>2028</v>
      </c>
      <c r="G47" s="16">
        <v>2.5000000000000001E-2</v>
      </c>
      <c r="H47" s="1">
        <v>0.02</v>
      </c>
    </row>
    <row r="48" spans="1:14" ht="15" thickBot="1" x14ac:dyDescent="0.25">
      <c r="D48">
        <v>2029</v>
      </c>
      <c r="G48" s="16">
        <v>2.5000000000000001E-2</v>
      </c>
      <c r="H48" s="1">
        <v>0.02</v>
      </c>
    </row>
    <row r="49" spans="4:8" ht="15" thickBot="1" x14ac:dyDescent="0.25">
      <c r="D49" s="19" t="s">
        <v>344</v>
      </c>
      <c r="E49" s="20"/>
      <c r="F49" s="20"/>
      <c r="G49" s="286">
        <f>(H15+H16)*AVERAGE(G40:G48)+H17*AVERAGE(H40:H48)</f>
        <v>3.5275372209753686E-2</v>
      </c>
      <c r="H49" s="287"/>
    </row>
    <row r="51" spans="4:8" x14ac:dyDescent="0.2">
      <c r="D51" t="s">
        <v>340</v>
      </c>
    </row>
  </sheetData>
  <mergeCells count="5">
    <mergeCell ref="G33:H33"/>
    <mergeCell ref="E1:I1"/>
    <mergeCell ref="J1:N1"/>
    <mergeCell ref="O1:S1"/>
    <mergeCell ref="G49:H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7176-73A7-E944-A8F0-8A6D62B13C60}">
  <sheetPr>
    <tabColor theme="6" tint="-0.249977111117893"/>
  </sheetPr>
  <dimension ref="A1:H14"/>
  <sheetViews>
    <sheetView workbookViewId="0"/>
  </sheetViews>
  <sheetFormatPr baseColWidth="10" defaultColWidth="0" defaultRowHeight="16" customHeight="1" zeroHeight="1" x14ac:dyDescent="0.2"/>
  <cols>
    <col min="1" max="1" width="101" style="97" customWidth="1"/>
    <col min="2" max="16384" width="13" hidden="1"/>
  </cols>
  <sheetData>
    <row r="1" spans="1:8" ht="400" customHeight="1" x14ac:dyDescent="0.2">
      <c r="A1" s="95" t="s">
        <v>260</v>
      </c>
      <c r="B1" s="96"/>
      <c r="C1" s="96"/>
      <c r="D1" s="96"/>
      <c r="E1" s="96"/>
      <c r="F1" s="96"/>
      <c r="G1" s="96"/>
      <c r="H1" s="96"/>
    </row>
    <row r="2" spans="1:8" ht="25" hidden="1" customHeight="1" x14ac:dyDescent="0.2">
      <c r="A2" s="96"/>
      <c r="B2" s="96"/>
      <c r="C2" s="96"/>
      <c r="D2" s="96"/>
      <c r="E2" s="96"/>
      <c r="F2" s="96"/>
      <c r="G2" s="96"/>
      <c r="H2" s="96"/>
    </row>
    <row r="3" spans="1:8" ht="25" hidden="1" customHeight="1" x14ac:dyDescent="0.2">
      <c r="A3" s="96"/>
      <c r="B3" s="96"/>
      <c r="C3" s="96"/>
      <c r="D3" s="96"/>
      <c r="E3" s="96"/>
      <c r="F3" s="96"/>
      <c r="G3" s="96"/>
      <c r="H3" s="96"/>
    </row>
    <row r="4" spans="1:8" ht="25" hidden="1" customHeight="1" x14ac:dyDescent="0.2">
      <c r="A4" s="96"/>
      <c r="B4" s="96"/>
      <c r="C4" s="96"/>
      <c r="D4" s="96"/>
      <c r="E4" s="96"/>
      <c r="F4" s="96"/>
      <c r="G4" s="96"/>
      <c r="H4" s="96"/>
    </row>
    <row r="5" spans="1:8" ht="25" hidden="1" customHeight="1" x14ac:dyDescent="0.2">
      <c r="A5" s="96"/>
      <c r="B5" s="96"/>
      <c r="C5" s="96"/>
      <c r="D5" s="96"/>
      <c r="E5" s="96"/>
      <c r="F5" s="96"/>
      <c r="G5" s="96"/>
      <c r="H5" s="96"/>
    </row>
    <row r="6" spans="1:8" ht="25" hidden="1" customHeight="1" x14ac:dyDescent="0.2">
      <c r="A6" s="96"/>
      <c r="B6" s="96"/>
      <c r="C6" s="96"/>
      <c r="D6" s="96"/>
      <c r="E6" s="96"/>
      <c r="F6" s="96"/>
      <c r="G6" s="96"/>
      <c r="H6" s="96"/>
    </row>
    <row r="7" spans="1:8" ht="25" hidden="1" customHeight="1" x14ac:dyDescent="0.2">
      <c r="A7" s="96"/>
      <c r="B7" s="96"/>
      <c r="C7" s="96"/>
      <c r="D7" s="96"/>
      <c r="E7" s="96"/>
      <c r="F7" s="96"/>
      <c r="G7" s="96"/>
      <c r="H7" s="96"/>
    </row>
    <row r="8" spans="1:8" ht="25" hidden="1" customHeight="1" x14ac:dyDescent="0.2">
      <c r="A8" s="96"/>
      <c r="B8" s="96"/>
      <c r="C8" s="96"/>
      <c r="D8" s="96"/>
      <c r="E8" s="96"/>
      <c r="F8" s="96"/>
      <c r="G8" s="96"/>
      <c r="H8" s="96"/>
    </row>
    <row r="9" spans="1:8" ht="25" hidden="1" customHeight="1" x14ac:dyDescent="0.2">
      <c r="A9" s="96"/>
      <c r="B9" s="96"/>
      <c r="C9" s="96"/>
      <c r="D9" s="96"/>
      <c r="E9" s="96"/>
      <c r="F9" s="96"/>
      <c r="G9" s="96"/>
      <c r="H9" s="96"/>
    </row>
    <row r="10" spans="1:8" ht="25" hidden="1" customHeight="1" x14ac:dyDescent="0.2">
      <c r="A10" s="96"/>
      <c r="B10" s="96"/>
      <c r="C10" s="96"/>
      <c r="D10" s="96"/>
      <c r="E10" s="96"/>
      <c r="F10" s="96"/>
      <c r="G10" s="96"/>
      <c r="H10" s="96"/>
    </row>
    <row r="11" spans="1:8" ht="25" hidden="1" customHeight="1" x14ac:dyDescent="0.2">
      <c r="A11" s="96"/>
      <c r="B11" s="96"/>
      <c r="C11" s="96"/>
      <c r="D11" s="96"/>
      <c r="E11" s="96"/>
      <c r="F11" s="96"/>
      <c r="G11" s="96"/>
      <c r="H11" s="96"/>
    </row>
    <row r="12" spans="1:8" ht="25" hidden="1" customHeight="1" x14ac:dyDescent="0.2">
      <c r="A12" s="96"/>
      <c r="B12" s="96"/>
      <c r="C12" s="96"/>
      <c r="D12" s="96"/>
      <c r="E12" s="96"/>
      <c r="F12" s="96"/>
      <c r="G12" s="96"/>
      <c r="H12" s="96"/>
    </row>
    <row r="13" spans="1:8" ht="25" hidden="1" customHeight="1" x14ac:dyDescent="0.2">
      <c r="A13" s="96"/>
      <c r="B13" s="96"/>
      <c r="C13" s="96"/>
      <c r="D13" s="96"/>
      <c r="E13" s="96"/>
      <c r="F13" s="96"/>
      <c r="G13" s="96"/>
      <c r="H13" s="96"/>
    </row>
    <row r="14" spans="1:8" ht="25" hidden="1" customHeight="1" x14ac:dyDescent="0.2">
      <c r="A14" s="96"/>
      <c r="B14" s="96"/>
      <c r="C14" s="96"/>
      <c r="D14" s="96"/>
      <c r="E14" s="96"/>
      <c r="F14" s="96"/>
      <c r="G14" s="96"/>
      <c r="H14" s="9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F50C-59F9-4346-83B2-DC814516093A}">
  <dimension ref="A1:V75"/>
  <sheetViews>
    <sheetView workbookViewId="0"/>
  </sheetViews>
  <sheetFormatPr baseColWidth="10" defaultColWidth="0" defaultRowHeight="14" x14ac:dyDescent="0.2"/>
  <cols>
    <col min="1" max="3" width="2" customWidth="1"/>
    <col min="4" max="4" width="32" customWidth="1"/>
    <col min="5" max="11" width="16" customWidth="1"/>
    <col min="12" max="12" width="11.19921875" customWidth="1"/>
    <col min="13" max="16384" width="13.19921875" hidden="1"/>
  </cols>
  <sheetData>
    <row r="1" spans="1:22" s="110" customFormat="1" ht="15" customHeight="1" x14ac:dyDescent="0.25">
      <c r="A1" s="104"/>
      <c r="B1" s="104"/>
      <c r="C1" s="104"/>
      <c r="D1" s="104"/>
      <c r="E1" s="101"/>
      <c r="F1" s="106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</row>
    <row r="2" spans="1:22" s="110" customFormat="1" ht="21" x14ac:dyDescent="0.25">
      <c r="A2" s="104"/>
      <c r="B2" s="104"/>
      <c r="C2" s="104"/>
      <c r="D2" s="101" t="s">
        <v>0</v>
      </c>
      <c r="F2" s="106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  <c r="R2" s="283"/>
      <c r="S2" s="283"/>
      <c r="T2" s="283"/>
      <c r="U2" s="283"/>
      <c r="V2" s="283"/>
    </row>
    <row r="3" spans="1:22" s="110" customFormat="1" ht="16" x14ac:dyDescent="0.2">
      <c r="A3" s="104"/>
      <c r="B3" s="104"/>
      <c r="C3" s="104"/>
      <c r="D3" s="104"/>
      <c r="E3" s="106"/>
      <c r="F3" s="106"/>
      <c r="G3" s="105"/>
      <c r="H3" s="105"/>
      <c r="I3" s="105"/>
      <c r="J3" s="105"/>
      <c r="K3" s="105"/>
    </row>
    <row r="5" spans="1:22" s="117" customFormat="1" ht="16" x14ac:dyDescent="0.2">
      <c r="A5" s="116"/>
      <c r="B5" t="s">
        <v>17</v>
      </c>
      <c r="C5"/>
      <c r="D5" s="103"/>
      <c r="E5" s="103"/>
      <c r="F5" s="103"/>
      <c r="G5" s="103"/>
      <c r="H5" s="103"/>
      <c r="I5" s="103"/>
      <c r="J5" s="103"/>
      <c r="K5" s="103"/>
      <c r="L5" s="111"/>
    </row>
    <row r="7" spans="1:22" x14ac:dyDescent="0.2">
      <c r="D7" t="s">
        <v>19</v>
      </c>
      <c r="F7" s="7">
        <f>FSM!E9</f>
        <v>45758</v>
      </c>
    </row>
    <row r="8" spans="1:22" x14ac:dyDescent="0.2">
      <c r="E8" s="7"/>
    </row>
    <row r="9" spans="1:22" ht="16" x14ac:dyDescent="0.2">
      <c r="D9" s="111"/>
      <c r="E9" s="111" t="s">
        <v>345</v>
      </c>
      <c r="F9" s="111" t="s">
        <v>346</v>
      </c>
    </row>
    <row r="10" spans="1:22" ht="15" x14ac:dyDescent="0.2">
      <c r="D10" t="s">
        <v>233</v>
      </c>
      <c r="E10" s="118">
        <f>FSM!J114+FSM!J115+FSM!J119+FSM!J126+FSM!J127+FSM!J130</f>
        <v>903.69999999999993</v>
      </c>
      <c r="F10" s="118">
        <f ca="1">FSM!K114+FSM!K115+FSM!K119+FSM!K126+FSM!K127+FSM!K130</f>
        <v>962.19162887451671</v>
      </c>
    </row>
    <row r="11" spans="1:22" ht="15" x14ac:dyDescent="0.2">
      <c r="D11" s="99" t="s">
        <v>97</v>
      </c>
      <c r="E11" s="119">
        <f>FSM!J87</f>
        <v>275.3</v>
      </c>
      <c r="F11" s="119">
        <f ca="1">FSM!K87</f>
        <v>422.06848467353967</v>
      </c>
    </row>
    <row r="12" spans="1:22" x14ac:dyDescent="0.2">
      <c r="D12" t="s">
        <v>244</v>
      </c>
      <c r="E12" s="120">
        <f>E10-E11</f>
        <v>628.39999999999986</v>
      </c>
      <c r="F12" s="120">
        <f ca="1">F10-F11</f>
        <v>540.12314420097709</v>
      </c>
    </row>
    <row r="14" spans="1:22" ht="16" x14ac:dyDescent="0.2">
      <c r="B14" t="s">
        <v>17</v>
      </c>
      <c r="D14" s="111" t="s">
        <v>347</v>
      </c>
      <c r="E14" s="103"/>
      <c r="F14" s="103"/>
      <c r="G14" s="103"/>
      <c r="H14" s="103"/>
      <c r="I14" s="103"/>
      <c r="J14" s="103"/>
      <c r="K14" s="103"/>
      <c r="L14" s="103"/>
    </row>
    <row r="16" spans="1:22" x14ac:dyDescent="0.2"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353</v>
      </c>
      <c r="J16" t="s">
        <v>354</v>
      </c>
      <c r="K16" t="s">
        <v>355</v>
      </c>
      <c r="L16" t="s">
        <v>356</v>
      </c>
    </row>
    <row r="17" spans="2:12" ht="16" x14ac:dyDescent="0.2">
      <c r="D17" t="s">
        <v>357</v>
      </c>
      <c r="E17" t="s">
        <v>358</v>
      </c>
      <c r="F17" s="21">
        <v>0.49</v>
      </c>
      <c r="G17" s="21">
        <v>12.17</v>
      </c>
      <c r="H17" s="92"/>
      <c r="I17" s="92"/>
      <c r="J17" s="92"/>
      <c r="K17" s="92"/>
      <c r="L17" s="92"/>
    </row>
    <row r="18" spans="2:12" ht="16" x14ac:dyDescent="0.2">
      <c r="D18" t="s">
        <v>359</v>
      </c>
      <c r="E18" t="s">
        <v>360</v>
      </c>
      <c r="F18" s="21">
        <v>0.11</v>
      </c>
      <c r="G18" s="21">
        <v>1.81</v>
      </c>
      <c r="H18" s="92"/>
      <c r="I18" s="92"/>
      <c r="J18" s="92"/>
      <c r="K18" s="92"/>
      <c r="L18" s="92"/>
    </row>
    <row r="19" spans="2:12" ht="16" x14ac:dyDescent="0.2">
      <c r="D19" t="s">
        <v>361</v>
      </c>
      <c r="E19" t="s">
        <v>362</v>
      </c>
      <c r="F19" s="21">
        <v>0.1</v>
      </c>
      <c r="G19" s="21">
        <v>0.29597000000000001</v>
      </c>
      <c r="H19" s="92"/>
      <c r="I19" s="92"/>
      <c r="J19" s="92"/>
      <c r="K19" s="92"/>
      <c r="L19" s="92"/>
    </row>
    <row r="20" spans="2:12" ht="16" x14ac:dyDescent="0.2">
      <c r="D20" t="s">
        <v>363</v>
      </c>
      <c r="E20" t="s">
        <v>364</v>
      </c>
      <c r="F20" s="21">
        <v>0.22</v>
      </c>
      <c r="G20" s="21">
        <v>11.12</v>
      </c>
      <c r="H20" s="92"/>
      <c r="I20" s="92"/>
      <c r="J20" s="92"/>
      <c r="K20" s="92"/>
      <c r="L20" s="92"/>
    </row>
    <row r="21" spans="2:12" ht="16" x14ac:dyDescent="0.2">
      <c r="D21" t="s">
        <v>365</v>
      </c>
      <c r="E21" t="s">
        <v>366</v>
      </c>
      <c r="F21" s="21">
        <v>0.23</v>
      </c>
      <c r="G21" s="21">
        <v>16.27</v>
      </c>
      <c r="H21" s="92"/>
      <c r="I21" s="92"/>
      <c r="J21" s="92"/>
      <c r="K21" s="92"/>
      <c r="L21" s="92"/>
    </row>
    <row r="22" spans="2:12" ht="16" x14ac:dyDescent="0.2">
      <c r="D22" t="s">
        <v>367</v>
      </c>
      <c r="E22" t="s">
        <v>368</v>
      </c>
      <c r="F22" s="21">
        <v>0.13</v>
      </c>
      <c r="G22" s="21">
        <v>2.4</v>
      </c>
      <c r="H22" s="92"/>
      <c r="I22" s="92"/>
      <c r="J22" s="92"/>
      <c r="K22" s="92"/>
      <c r="L22" s="92"/>
    </row>
    <row r="23" spans="2:12" ht="16" x14ac:dyDescent="0.2">
      <c r="F23" s="21"/>
      <c r="G23" s="21"/>
      <c r="H23" s="92"/>
      <c r="I23" s="92"/>
      <c r="J23" s="92"/>
      <c r="K23" s="92"/>
      <c r="L23" s="92"/>
    </row>
    <row r="24" spans="2:12" x14ac:dyDescent="0.2">
      <c r="F24" s="93"/>
      <c r="G24" s="93"/>
      <c r="H24" s="93"/>
      <c r="I24" s="93"/>
      <c r="J24" s="93"/>
      <c r="K24" s="93"/>
      <c r="L24" s="93"/>
    </row>
    <row r="25" spans="2:12" x14ac:dyDescent="0.2">
      <c r="D25" t="s">
        <v>369</v>
      </c>
      <c r="F25" s="93"/>
      <c r="G25" s="93"/>
      <c r="H25" s="93">
        <f>MIN(H17:H23)</f>
        <v>0</v>
      </c>
      <c r="I25" s="93">
        <f t="shared" ref="I25:L25" si="0">MIN(I17:I23)</f>
        <v>0</v>
      </c>
      <c r="J25" s="93">
        <f>MIN(J17:J23)</f>
        <v>0</v>
      </c>
      <c r="K25" s="93">
        <f>MIN(K17:K23)</f>
        <v>0</v>
      </c>
      <c r="L25" s="93">
        <f t="shared" si="0"/>
        <v>0</v>
      </c>
    </row>
    <row r="26" spans="2:12" x14ac:dyDescent="0.2">
      <c r="D26" t="s">
        <v>370</v>
      </c>
      <c r="F26" s="93"/>
      <c r="G26" s="93"/>
      <c r="H26" s="93">
        <f>MAX(H17:H23)</f>
        <v>0</v>
      </c>
      <c r="I26" s="93">
        <f t="shared" ref="I26" si="1">MAX(I17:I23)</f>
        <v>0</v>
      </c>
      <c r="J26" s="93">
        <f>MAX(J17:J23)</f>
        <v>0</v>
      </c>
      <c r="K26" s="93">
        <f>MAX(K17:K23)</f>
        <v>0</v>
      </c>
      <c r="L26" s="93">
        <f>MAX(L17:L23)</f>
        <v>0</v>
      </c>
    </row>
    <row r="27" spans="2:12" x14ac:dyDescent="0.2">
      <c r="D27" t="s">
        <v>371</v>
      </c>
      <c r="F27" s="93"/>
      <c r="G27" s="93"/>
      <c r="H27" s="93" t="e">
        <f>MEDIAN(H17:H23)</f>
        <v>#NUM!</v>
      </c>
      <c r="I27" s="93" t="e">
        <f t="shared" ref="I27" si="2">MEDIAN(I17:I23)</f>
        <v>#NUM!</v>
      </c>
      <c r="J27" s="93" t="e">
        <f>MEDIAN(J17:J23)</f>
        <v>#NUM!</v>
      </c>
      <c r="K27" s="93" t="e">
        <f>MEDIAN(K17:K23)</f>
        <v>#NUM!</v>
      </c>
      <c r="L27" s="93" t="e">
        <f>MEDIAN(L17:L23)</f>
        <v>#NUM!</v>
      </c>
    </row>
    <row r="28" spans="2:12" x14ac:dyDescent="0.2">
      <c r="D28" t="s">
        <v>289</v>
      </c>
      <c r="F28" s="93"/>
      <c r="G28" s="93"/>
      <c r="H28" s="93" t="e">
        <f>AVERAGE(H17:H23)</f>
        <v>#DIV/0!</v>
      </c>
      <c r="I28" s="93" t="e">
        <f t="shared" ref="I28" si="3">AVERAGE(I17:I23)</f>
        <v>#DIV/0!</v>
      </c>
      <c r="J28" s="93" t="e">
        <f>AVERAGE(J17:J23)</f>
        <v>#DIV/0!</v>
      </c>
      <c r="K28" s="93" t="e">
        <f>AVERAGE(K17:K23)</f>
        <v>#DIV/0!</v>
      </c>
      <c r="L28" s="93" t="e">
        <f>AVERAGE(L17:L23)</f>
        <v>#DIV/0!</v>
      </c>
    </row>
    <row r="30" spans="2:12" ht="16" x14ac:dyDescent="0.2">
      <c r="B30" t="s">
        <v>17</v>
      </c>
      <c r="D30" s="111" t="s">
        <v>372</v>
      </c>
      <c r="E30" s="103"/>
      <c r="F30" s="103"/>
      <c r="G30" s="103"/>
      <c r="H30" s="103"/>
      <c r="I30" s="103"/>
      <c r="J30" s="103"/>
      <c r="K30" s="103"/>
    </row>
    <row r="32" spans="2:12" ht="16" x14ac:dyDescent="0.2">
      <c r="D32" s="94" t="s">
        <v>352</v>
      </c>
      <c r="E32" s="3"/>
      <c r="F32" s="3"/>
      <c r="G32" s="3" t="s">
        <v>288</v>
      </c>
      <c r="H32" s="3" t="s">
        <v>290</v>
      </c>
    </row>
    <row r="33" spans="4:8" x14ac:dyDescent="0.2">
      <c r="D33" t="s">
        <v>373</v>
      </c>
      <c r="G33" s="9">
        <f>FSM!J43</f>
        <v>257.49999999999989</v>
      </c>
      <c r="H33" s="9">
        <f>G33</f>
        <v>257.49999999999989</v>
      </c>
    </row>
    <row r="34" spans="4:8" x14ac:dyDescent="0.2">
      <c r="D34" t="s">
        <v>352</v>
      </c>
      <c r="G34" s="146">
        <f>H25</f>
        <v>0</v>
      </c>
      <c r="H34" s="146">
        <f>H26</f>
        <v>0</v>
      </c>
    </row>
    <row r="35" spans="4:8" ht="16" x14ac:dyDescent="0.2">
      <c r="D35" s="61" t="s">
        <v>374</v>
      </c>
      <c r="E35" s="61"/>
      <c r="F35" s="61"/>
      <c r="G35" s="109">
        <f>G34*G33</f>
        <v>0</v>
      </c>
      <c r="H35" s="109">
        <f>H34*H33</f>
        <v>0</v>
      </c>
    </row>
    <row r="36" spans="4:8" x14ac:dyDescent="0.2">
      <c r="D36" t="s">
        <v>375</v>
      </c>
      <c r="G36" s="147">
        <f>FSM!J114+FSM!J115+FSM!J126+FSM!J127</f>
        <v>861.5</v>
      </c>
      <c r="H36" s="148">
        <f>G36</f>
        <v>861.5</v>
      </c>
    </row>
    <row r="37" spans="4:8" ht="16" x14ac:dyDescent="0.2">
      <c r="D37" s="61" t="s">
        <v>310</v>
      </c>
      <c r="E37" s="61"/>
      <c r="F37" s="61"/>
      <c r="G37" s="109">
        <f>G35-G36</f>
        <v>-861.5</v>
      </c>
      <c r="H37" s="109">
        <f>H35-H36</f>
        <v>-861.5</v>
      </c>
    </row>
    <row r="38" spans="4:8" x14ac:dyDescent="0.2">
      <c r="D38" t="s">
        <v>376</v>
      </c>
      <c r="G38" s="149">
        <f>FSM!E12</f>
        <v>485.1</v>
      </c>
      <c r="H38" s="149">
        <f>G38</f>
        <v>485.1</v>
      </c>
    </row>
    <row r="39" spans="4:8" ht="16" x14ac:dyDescent="0.2">
      <c r="D39" s="61" t="s">
        <v>21</v>
      </c>
      <c r="E39" s="61"/>
      <c r="F39" s="61"/>
      <c r="G39" s="150">
        <f>G37/G38</f>
        <v>-1.7759224902082045</v>
      </c>
      <c r="H39" s="150">
        <f>H37/H38</f>
        <v>-1.7759224902082045</v>
      </c>
    </row>
    <row r="41" spans="4:8" ht="16" x14ac:dyDescent="0.2">
      <c r="D41" s="94" t="s">
        <v>353</v>
      </c>
      <c r="E41" s="3"/>
      <c r="F41" s="3"/>
      <c r="G41" s="3" t="s">
        <v>288</v>
      </c>
      <c r="H41" s="3" t="s">
        <v>290</v>
      </c>
    </row>
    <row r="42" spans="4:8" x14ac:dyDescent="0.2">
      <c r="D42" t="s">
        <v>377</v>
      </c>
      <c r="G42" s="9">
        <f>FSM!J43</f>
        <v>257.49999999999989</v>
      </c>
      <c r="H42" s="9">
        <f>G42</f>
        <v>257.49999999999989</v>
      </c>
    </row>
    <row r="43" spans="4:8" x14ac:dyDescent="0.2">
      <c r="D43" t="s">
        <v>353</v>
      </c>
      <c r="G43" s="146">
        <f>-I25</f>
        <v>0</v>
      </c>
      <c r="H43" s="146">
        <f>I26</f>
        <v>0</v>
      </c>
    </row>
    <row r="44" spans="4:8" ht="16" x14ac:dyDescent="0.2">
      <c r="D44" s="61" t="s">
        <v>374</v>
      </c>
      <c r="E44" s="61"/>
      <c r="F44" s="61"/>
      <c r="G44" s="109">
        <f>G42*G43</f>
        <v>0</v>
      </c>
      <c r="H44" s="109">
        <f>H42*H43</f>
        <v>0</v>
      </c>
    </row>
    <row r="45" spans="4:8" x14ac:dyDescent="0.2">
      <c r="D45" t="s">
        <v>375</v>
      </c>
      <c r="G45" s="148">
        <f>G36</f>
        <v>861.5</v>
      </c>
      <c r="H45" s="148">
        <f>H36</f>
        <v>861.5</v>
      </c>
    </row>
    <row r="46" spans="4:8" ht="16" x14ac:dyDescent="0.2">
      <c r="D46" s="61" t="s">
        <v>310</v>
      </c>
      <c r="E46" s="61"/>
      <c r="F46" s="61"/>
      <c r="G46" s="109">
        <f>G44-G45</f>
        <v>-861.5</v>
      </c>
      <c r="H46" s="109">
        <f>H44-H45</f>
        <v>-861.5</v>
      </c>
    </row>
    <row r="47" spans="4:8" x14ac:dyDescent="0.2">
      <c r="D47" t="s">
        <v>376</v>
      </c>
      <c r="G47" s="149">
        <f>G38</f>
        <v>485.1</v>
      </c>
      <c r="H47" s="149">
        <f>H38</f>
        <v>485.1</v>
      </c>
    </row>
    <row r="48" spans="4:8" ht="16" x14ac:dyDescent="0.2">
      <c r="D48" s="61" t="s">
        <v>21</v>
      </c>
      <c r="E48" s="61"/>
      <c r="F48" s="61"/>
      <c r="G48" s="150">
        <f>G46/G47</f>
        <v>-1.7759224902082045</v>
      </c>
      <c r="H48" s="150">
        <f>H46/H47</f>
        <v>-1.7759224902082045</v>
      </c>
    </row>
    <row r="50" spans="4:8" ht="16" x14ac:dyDescent="0.2">
      <c r="D50" s="94" t="s">
        <v>354</v>
      </c>
      <c r="E50" s="3"/>
      <c r="F50" s="3"/>
      <c r="G50" s="3" t="s">
        <v>288</v>
      </c>
      <c r="H50" s="3" t="s">
        <v>290</v>
      </c>
    </row>
    <row r="51" spans="4:8" x14ac:dyDescent="0.2">
      <c r="D51" t="s">
        <v>354</v>
      </c>
      <c r="G51" s="9">
        <f>G35/FSM!$J$22</f>
        <v>0</v>
      </c>
      <c r="H51" s="9">
        <f>H35/FSM!$J$22</f>
        <v>0</v>
      </c>
    </row>
    <row r="52" spans="4:8" x14ac:dyDescent="0.2">
      <c r="D52" t="s">
        <v>354</v>
      </c>
      <c r="G52" s="146">
        <f>J25</f>
        <v>0</v>
      </c>
      <c r="H52" s="146">
        <f>J26</f>
        <v>0</v>
      </c>
    </row>
    <row r="53" spans="4:8" ht="16" x14ac:dyDescent="0.2">
      <c r="D53" s="61" t="s">
        <v>374</v>
      </c>
      <c r="E53" s="61"/>
      <c r="F53" s="61"/>
      <c r="G53" s="109">
        <f>G52*G51</f>
        <v>0</v>
      </c>
      <c r="H53" s="109">
        <f>H52*H51</f>
        <v>0</v>
      </c>
    </row>
    <row r="54" spans="4:8" x14ac:dyDescent="0.2">
      <c r="D54" t="s">
        <v>375</v>
      </c>
      <c r="G54" s="147">
        <f>G36</f>
        <v>861.5</v>
      </c>
      <c r="H54" s="148">
        <f>G54</f>
        <v>861.5</v>
      </c>
    </row>
    <row r="55" spans="4:8" ht="16" x14ac:dyDescent="0.2">
      <c r="D55" s="61" t="s">
        <v>310</v>
      </c>
      <c r="E55" s="61"/>
      <c r="F55" s="61"/>
      <c r="G55" s="109">
        <f>G53-G54</f>
        <v>-861.5</v>
      </c>
      <c r="H55" s="109">
        <f>H53-H54</f>
        <v>-861.5</v>
      </c>
    </row>
    <row r="56" spans="4:8" x14ac:dyDescent="0.2">
      <c r="D56" t="s">
        <v>376</v>
      </c>
      <c r="G56" s="149">
        <f>G47</f>
        <v>485.1</v>
      </c>
      <c r="H56" s="149">
        <f>G56</f>
        <v>485.1</v>
      </c>
    </row>
    <row r="57" spans="4:8" ht="16" x14ac:dyDescent="0.2">
      <c r="D57" s="61" t="s">
        <v>21</v>
      </c>
      <c r="E57" s="61"/>
      <c r="F57" s="61"/>
      <c r="G57" s="150">
        <f>G55/G56</f>
        <v>-1.7759224902082045</v>
      </c>
      <c r="H57" s="150">
        <f>H55/H56</f>
        <v>-1.7759224902082045</v>
      </c>
    </row>
    <row r="59" spans="4:8" ht="16" x14ac:dyDescent="0.2">
      <c r="D59" s="94" t="s">
        <v>355</v>
      </c>
      <c r="E59" s="3"/>
      <c r="F59" s="3"/>
      <c r="G59" s="3" t="s">
        <v>288</v>
      </c>
      <c r="H59" s="3" t="s">
        <v>290</v>
      </c>
    </row>
    <row r="60" spans="4:8" x14ac:dyDescent="0.2">
      <c r="D60" t="s">
        <v>355</v>
      </c>
      <c r="G60" s="9">
        <f>G44/FSM!$J$22</f>
        <v>0</v>
      </c>
      <c r="H60" s="9">
        <f>H44/FSM!$J$22</f>
        <v>0</v>
      </c>
    </row>
    <row r="61" spans="4:8" x14ac:dyDescent="0.2">
      <c r="D61" t="s">
        <v>355</v>
      </c>
      <c r="G61" s="146">
        <f>K25</f>
        <v>0</v>
      </c>
      <c r="H61" s="146">
        <f>K26</f>
        <v>0</v>
      </c>
    </row>
    <row r="62" spans="4:8" ht="16" x14ac:dyDescent="0.2">
      <c r="D62" s="61" t="s">
        <v>374</v>
      </c>
      <c r="E62" s="61"/>
      <c r="F62" s="61"/>
      <c r="G62" s="109">
        <f>G61*G60</f>
        <v>0</v>
      </c>
      <c r="H62" s="109">
        <f>H61*H60</f>
        <v>0</v>
      </c>
    </row>
    <row r="63" spans="4:8" x14ac:dyDescent="0.2">
      <c r="D63" t="s">
        <v>375</v>
      </c>
      <c r="G63" s="147">
        <f>G36</f>
        <v>861.5</v>
      </c>
      <c r="H63" s="148">
        <f>G63</f>
        <v>861.5</v>
      </c>
    </row>
    <row r="64" spans="4:8" ht="16" x14ac:dyDescent="0.2">
      <c r="D64" s="61" t="s">
        <v>310</v>
      </c>
      <c r="E64" s="61"/>
      <c r="F64" s="61"/>
      <c r="G64" s="109">
        <f>G62-G63</f>
        <v>-861.5</v>
      </c>
      <c r="H64" s="109">
        <f>H62-H63</f>
        <v>-861.5</v>
      </c>
    </row>
    <row r="65" spans="4:9" x14ac:dyDescent="0.2">
      <c r="D65" t="s">
        <v>376</v>
      </c>
      <c r="G65" s="149">
        <f>G56</f>
        <v>485.1</v>
      </c>
      <c r="H65" s="149">
        <f>H56</f>
        <v>485.1</v>
      </c>
    </row>
    <row r="66" spans="4:9" ht="16" x14ac:dyDescent="0.2">
      <c r="D66" s="61" t="s">
        <v>21</v>
      </c>
      <c r="E66" s="61"/>
      <c r="F66" s="61"/>
      <c r="G66" s="150">
        <f>G64/G65</f>
        <v>-1.7759224902082045</v>
      </c>
      <c r="H66" s="150">
        <f>H64/H65</f>
        <v>-1.7759224902082045</v>
      </c>
    </row>
    <row r="68" spans="4:9" ht="16" x14ac:dyDescent="0.2">
      <c r="D68" s="94" t="s">
        <v>356</v>
      </c>
      <c r="E68" s="3"/>
      <c r="F68" s="3"/>
      <c r="G68" s="3" t="s">
        <v>288</v>
      </c>
      <c r="H68" s="3" t="s">
        <v>290</v>
      </c>
    </row>
    <row r="69" spans="4:9" x14ac:dyDescent="0.2">
      <c r="D69" t="s">
        <v>356</v>
      </c>
      <c r="G69" s="9"/>
      <c r="H69" s="9"/>
      <c r="I69" s="9"/>
    </row>
    <row r="70" spans="4:9" x14ac:dyDescent="0.2">
      <c r="D70" t="s">
        <v>356</v>
      </c>
      <c r="G70" s="146">
        <f>L25</f>
        <v>0</v>
      </c>
      <c r="H70" s="146">
        <f>L26</f>
        <v>0</v>
      </c>
    </row>
    <row r="71" spans="4:9" ht="16" x14ac:dyDescent="0.2">
      <c r="D71" s="61" t="s">
        <v>374</v>
      </c>
      <c r="E71" s="61"/>
      <c r="F71" s="61"/>
      <c r="G71" s="109">
        <f>G70*G69</f>
        <v>0</v>
      </c>
      <c r="H71" s="109">
        <f>H70*H69</f>
        <v>0</v>
      </c>
    </row>
    <row r="72" spans="4:9" x14ac:dyDescent="0.2">
      <c r="D72" t="s">
        <v>375</v>
      </c>
      <c r="G72" s="147">
        <f>G36</f>
        <v>861.5</v>
      </c>
      <c r="H72" s="148">
        <f>G72</f>
        <v>861.5</v>
      </c>
    </row>
    <row r="73" spans="4:9" ht="16" x14ac:dyDescent="0.2">
      <c r="D73" s="61" t="s">
        <v>310</v>
      </c>
      <c r="E73" s="61"/>
      <c r="F73" s="61"/>
      <c r="G73" s="109">
        <f>G71-G72</f>
        <v>-861.5</v>
      </c>
      <c r="H73" s="109">
        <f>H71-H72</f>
        <v>-861.5</v>
      </c>
    </row>
    <row r="74" spans="4:9" x14ac:dyDescent="0.2">
      <c r="D74" t="s">
        <v>376</v>
      </c>
      <c r="G74" s="149">
        <f>G65</f>
        <v>485.1</v>
      </c>
      <c r="H74" s="149">
        <f>H65</f>
        <v>485.1</v>
      </c>
    </row>
    <row r="75" spans="4:9" ht="16" x14ac:dyDescent="0.2">
      <c r="D75" s="61" t="s">
        <v>21</v>
      </c>
      <c r="E75" s="61"/>
      <c r="F75" s="61"/>
      <c r="G75" s="150">
        <f>G73/G74</f>
        <v>-1.7759224902082045</v>
      </c>
      <c r="H75" s="150">
        <f>H73/H74</f>
        <v>-1.7759224902082045</v>
      </c>
    </row>
  </sheetData>
  <mergeCells count="3">
    <mergeCell ref="G1:K1"/>
    <mergeCell ref="L1:P1"/>
    <mergeCell ref="Q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BFEB-BEFF-BF4A-ABCC-FA70120B295F}">
  <dimension ref="A1:L1272"/>
  <sheetViews>
    <sheetView showGridLines="0" topLeftCell="A1240" workbookViewId="0"/>
  </sheetViews>
  <sheetFormatPr baseColWidth="10" defaultColWidth="0" defaultRowHeight="14" x14ac:dyDescent="0.2"/>
  <cols>
    <col min="1" max="3" width="2" customWidth="1"/>
    <col min="4" max="4" width="15" customWidth="1"/>
    <col min="5" max="5" width="27.3984375" customWidth="1"/>
    <col min="6" max="6" width="19.59765625" customWidth="1"/>
    <col min="7" max="11" width="16" customWidth="1"/>
    <col min="12" max="12" width="11.19921875" customWidth="1"/>
    <col min="13" max="16384" width="13.19921875" hidden="1"/>
  </cols>
  <sheetData>
    <row r="1" spans="2:6" s="103" customFormat="1" x14ac:dyDescent="0.2"/>
    <row r="2" spans="2:6" s="103" customFormat="1" ht="21" x14ac:dyDescent="0.25">
      <c r="D2" s="101" t="s">
        <v>0</v>
      </c>
    </row>
    <row r="3" spans="2:6" s="103" customFormat="1" x14ac:dyDescent="0.2"/>
    <row r="5" spans="2:6" x14ac:dyDescent="0.2">
      <c r="B5" t="s">
        <v>17</v>
      </c>
      <c r="D5" s="112" t="s">
        <v>378</v>
      </c>
      <c r="E5" s="112" t="s">
        <v>21</v>
      </c>
      <c r="F5" s="112" t="s">
        <v>379</v>
      </c>
    </row>
    <row r="6" spans="2:6" x14ac:dyDescent="0.2">
      <c r="D6" s="121">
        <v>43935</v>
      </c>
      <c r="E6" s="122">
        <v>5.0999999999999996</v>
      </c>
      <c r="F6" s="131">
        <v>2297693</v>
      </c>
    </row>
    <row r="7" spans="2:6" x14ac:dyDescent="0.2">
      <c r="D7" s="121">
        <v>43936</v>
      </c>
      <c r="E7" s="122">
        <v>5.05</v>
      </c>
      <c r="F7" s="131">
        <v>1115351</v>
      </c>
    </row>
    <row r="8" spans="2:6" x14ac:dyDescent="0.2">
      <c r="D8" s="121">
        <v>43937</v>
      </c>
      <c r="E8" s="122">
        <v>5.08</v>
      </c>
      <c r="F8" s="131">
        <v>2226302</v>
      </c>
    </row>
    <row r="9" spans="2:6" x14ac:dyDescent="0.2">
      <c r="D9" s="121">
        <v>43938</v>
      </c>
      <c r="E9" s="122">
        <v>4.91</v>
      </c>
      <c r="F9" s="131">
        <v>2337653</v>
      </c>
    </row>
    <row r="10" spans="2:6" x14ac:dyDescent="0.2">
      <c r="D10" s="121">
        <v>43941</v>
      </c>
      <c r="E10" s="122">
        <v>4.8</v>
      </c>
      <c r="F10" s="131">
        <v>1431501</v>
      </c>
    </row>
    <row r="11" spans="2:6" x14ac:dyDescent="0.2">
      <c r="D11" s="121">
        <v>43942</v>
      </c>
      <c r="E11" s="122">
        <v>4.63</v>
      </c>
      <c r="F11" s="131">
        <v>1405563</v>
      </c>
    </row>
    <row r="12" spans="2:6" x14ac:dyDescent="0.2">
      <c r="D12" s="121">
        <v>43943</v>
      </c>
      <c r="E12" s="122">
        <v>4.7</v>
      </c>
      <c r="F12" s="131">
        <v>1896031</v>
      </c>
    </row>
    <row r="13" spans="2:6" x14ac:dyDescent="0.2">
      <c r="D13" s="121">
        <v>43944</v>
      </c>
      <c r="E13" s="122">
        <v>4.7</v>
      </c>
      <c r="F13" s="131">
        <v>932128</v>
      </c>
    </row>
    <row r="14" spans="2:6" x14ac:dyDescent="0.2">
      <c r="D14" s="121">
        <v>43945</v>
      </c>
      <c r="E14" s="122">
        <v>4.75</v>
      </c>
      <c r="F14" s="131">
        <v>982243</v>
      </c>
    </row>
    <row r="15" spans="2:6" x14ac:dyDescent="0.2">
      <c r="D15" s="121">
        <v>43948</v>
      </c>
      <c r="E15" s="122">
        <v>4.8099999999999996</v>
      </c>
      <c r="F15" s="131">
        <v>711132</v>
      </c>
    </row>
    <row r="16" spans="2:6" x14ac:dyDescent="0.2">
      <c r="D16" s="121">
        <v>43949</v>
      </c>
      <c r="E16" s="122">
        <v>4.82</v>
      </c>
      <c r="F16" s="131">
        <v>596633</v>
      </c>
    </row>
    <row r="17" spans="4:8" x14ac:dyDescent="0.2">
      <c r="D17" s="121">
        <v>43950</v>
      </c>
      <c r="E17" s="122">
        <v>4.96</v>
      </c>
      <c r="F17" s="131">
        <v>1796590</v>
      </c>
    </row>
    <row r="18" spans="4:8" x14ac:dyDescent="0.2">
      <c r="D18" s="121">
        <v>43951</v>
      </c>
      <c r="E18" s="122">
        <v>4.92</v>
      </c>
      <c r="F18" s="131">
        <v>1156337</v>
      </c>
    </row>
    <row r="19" spans="4:8" x14ac:dyDescent="0.2">
      <c r="D19" s="121">
        <v>43952</v>
      </c>
      <c r="E19" s="122">
        <v>4.83</v>
      </c>
      <c r="F19" s="131">
        <v>1143728</v>
      </c>
    </row>
    <row r="20" spans="4:8" x14ac:dyDescent="0.2">
      <c r="D20" s="121">
        <v>43955</v>
      </c>
      <c r="E20" s="122">
        <v>4.8600000000000003</v>
      </c>
      <c r="F20" s="131">
        <v>839293</v>
      </c>
    </row>
    <row r="21" spans="4:8" x14ac:dyDescent="0.2">
      <c r="D21" s="121">
        <v>43956</v>
      </c>
      <c r="E21" s="122">
        <v>4.91</v>
      </c>
      <c r="F21" s="131">
        <v>651099</v>
      </c>
    </row>
    <row r="22" spans="4:8" x14ac:dyDescent="0.2">
      <c r="D22" s="121">
        <v>43957</v>
      </c>
      <c r="E22" s="122">
        <v>4.82</v>
      </c>
      <c r="F22" s="131">
        <v>856653</v>
      </c>
    </row>
    <row r="23" spans="4:8" x14ac:dyDescent="0.2">
      <c r="D23" s="121">
        <v>43958</v>
      </c>
      <c r="E23" s="122">
        <v>4.92</v>
      </c>
      <c r="F23" s="131">
        <v>964575</v>
      </c>
    </row>
    <row r="24" spans="4:8" x14ac:dyDescent="0.2">
      <c r="D24" s="121">
        <v>43959</v>
      </c>
      <c r="E24" s="122">
        <v>4.92</v>
      </c>
      <c r="F24" s="131">
        <v>1363497</v>
      </c>
    </row>
    <row r="25" spans="4:8" x14ac:dyDescent="0.2">
      <c r="D25" s="121">
        <v>43962</v>
      </c>
      <c r="E25" s="122">
        <v>4.8499999999999996</v>
      </c>
      <c r="F25" s="131">
        <v>701987</v>
      </c>
    </row>
    <row r="26" spans="4:8" x14ac:dyDescent="0.2">
      <c r="D26" s="121">
        <v>43963</v>
      </c>
      <c r="E26" s="122">
        <v>4.7300000000000004</v>
      </c>
      <c r="F26" s="131">
        <v>659860</v>
      </c>
    </row>
    <row r="27" spans="4:8" x14ac:dyDescent="0.2">
      <c r="D27" s="121">
        <v>43964</v>
      </c>
      <c r="E27" s="122">
        <v>4.72</v>
      </c>
      <c r="F27" s="131">
        <v>1307542</v>
      </c>
      <c r="H27" s="64"/>
    </row>
    <row r="28" spans="4:8" x14ac:dyDescent="0.2">
      <c r="D28" s="121">
        <v>43965</v>
      </c>
      <c r="E28" s="122">
        <v>4.5999999999999996</v>
      </c>
      <c r="F28" s="131">
        <v>743162</v>
      </c>
    </row>
    <row r="29" spans="4:8" x14ac:dyDescent="0.2">
      <c r="D29" s="121">
        <v>43966</v>
      </c>
      <c r="E29" s="122">
        <v>4.74</v>
      </c>
      <c r="F29" s="131">
        <v>941030</v>
      </c>
    </row>
    <row r="30" spans="4:8" x14ac:dyDescent="0.2">
      <c r="D30" s="121">
        <v>43969</v>
      </c>
      <c r="E30" s="122">
        <v>4.6900000000000004</v>
      </c>
      <c r="F30" s="131">
        <v>843911</v>
      </c>
    </row>
    <row r="31" spans="4:8" x14ac:dyDescent="0.2">
      <c r="D31" s="121">
        <v>43970</v>
      </c>
      <c r="E31" s="122">
        <v>4.5999999999999996</v>
      </c>
      <c r="F31" s="131">
        <v>1055125</v>
      </c>
    </row>
    <row r="32" spans="4:8" x14ac:dyDescent="0.2">
      <c r="D32" s="121">
        <v>43971</v>
      </c>
      <c r="E32" s="122">
        <v>4.6500000000000004</v>
      </c>
      <c r="F32" s="131">
        <v>978641</v>
      </c>
    </row>
    <row r="33" spans="4:6" x14ac:dyDescent="0.2">
      <c r="D33" s="121">
        <v>43972</v>
      </c>
      <c r="E33" s="122">
        <v>4.59</v>
      </c>
      <c r="F33" s="131">
        <v>726772</v>
      </c>
    </row>
    <row r="34" spans="4:6" x14ac:dyDescent="0.2">
      <c r="D34" s="121">
        <v>43973</v>
      </c>
      <c r="E34" s="122">
        <v>4.43</v>
      </c>
      <c r="F34" s="131">
        <v>1431881</v>
      </c>
    </row>
    <row r="35" spans="4:6" x14ac:dyDescent="0.2">
      <c r="D35" s="121">
        <v>43976</v>
      </c>
      <c r="E35" s="122">
        <v>4.51</v>
      </c>
      <c r="F35" s="131">
        <v>1219095</v>
      </c>
    </row>
    <row r="36" spans="4:6" x14ac:dyDescent="0.2">
      <c r="D36" s="121">
        <v>43977</v>
      </c>
      <c r="E36" s="122">
        <v>4.5599999999999996</v>
      </c>
      <c r="F36" s="131">
        <v>1697261</v>
      </c>
    </row>
    <row r="37" spans="4:6" x14ac:dyDescent="0.2">
      <c r="D37" s="121">
        <v>43978</v>
      </c>
      <c r="E37" s="122">
        <v>4.51</v>
      </c>
      <c r="F37" s="131">
        <v>1604983</v>
      </c>
    </row>
    <row r="38" spans="4:6" x14ac:dyDescent="0.2">
      <c r="D38" s="121">
        <v>43979</v>
      </c>
      <c r="E38" s="122">
        <v>4.75</v>
      </c>
      <c r="F38" s="131">
        <v>2755384</v>
      </c>
    </row>
    <row r="39" spans="4:6" x14ac:dyDescent="0.2">
      <c r="D39" s="121">
        <v>43980</v>
      </c>
      <c r="E39" s="122">
        <v>4.71</v>
      </c>
      <c r="F39" s="131">
        <v>1399099</v>
      </c>
    </row>
    <row r="40" spans="4:6" x14ac:dyDescent="0.2">
      <c r="D40" s="121">
        <v>43983</v>
      </c>
      <c r="E40" s="122">
        <v>4.59</v>
      </c>
      <c r="F40" s="131">
        <v>2069624.9999999998</v>
      </c>
    </row>
    <row r="41" spans="4:6" x14ac:dyDescent="0.2">
      <c r="D41" s="121">
        <v>43984</v>
      </c>
      <c r="E41" s="122">
        <v>4.59</v>
      </c>
      <c r="F41" s="131">
        <v>1066216</v>
      </c>
    </row>
    <row r="42" spans="4:6" x14ac:dyDescent="0.2">
      <c r="D42" s="121">
        <v>43985</v>
      </c>
      <c r="E42" s="122">
        <v>4.59</v>
      </c>
      <c r="F42" s="131">
        <v>2986490</v>
      </c>
    </row>
    <row r="43" spans="4:6" x14ac:dyDescent="0.2">
      <c r="D43" s="121">
        <v>43986</v>
      </c>
      <c r="E43" s="122">
        <v>4.58</v>
      </c>
      <c r="F43" s="131">
        <v>2098341</v>
      </c>
    </row>
    <row r="44" spans="4:6" x14ac:dyDescent="0.2">
      <c r="D44" s="121">
        <v>43987</v>
      </c>
      <c r="E44" s="122">
        <v>4.5999999999999996</v>
      </c>
      <c r="F44" s="131">
        <v>1553969</v>
      </c>
    </row>
    <row r="45" spans="4:6" x14ac:dyDescent="0.2">
      <c r="D45" s="121">
        <v>43991</v>
      </c>
      <c r="E45" s="122">
        <v>4.75</v>
      </c>
      <c r="F45" s="131">
        <v>2069027.0000000002</v>
      </c>
    </row>
    <row r="46" spans="4:6" x14ac:dyDescent="0.2">
      <c r="D46" s="121">
        <v>43992</v>
      </c>
      <c r="E46" s="122">
        <v>4.7</v>
      </c>
      <c r="F46" s="131">
        <v>1879011</v>
      </c>
    </row>
    <row r="47" spans="4:6" x14ac:dyDescent="0.2">
      <c r="D47" s="121">
        <v>43993</v>
      </c>
      <c r="E47" s="122">
        <v>4.5</v>
      </c>
      <c r="F47" s="131">
        <v>2378493</v>
      </c>
    </row>
    <row r="48" spans="4:6" x14ac:dyDescent="0.2">
      <c r="D48" s="121">
        <v>43994</v>
      </c>
      <c r="E48" s="122">
        <v>4.4800000000000004</v>
      </c>
      <c r="F48" s="131">
        <v>3172926</v>
      </c>
    </row>
    <row r="49" spans="4:6" x14ac:dyDescent="0.2">
      <c r="D49" s="121">
        <v>43997</v>
      </c>
      <c r="E49" s="122">
        <v>4.4000000000000004</v>
      </c>
      <c r="F49" s="131">
        <v>2476697</v>
      </c>
    </row>
    <row r="50" spans="4:6" x14ac:dyDescent="0.2">
      <c r="D50" s="121">
        <v>43998</v>
      </c>
      <c r="E50" s="122">
        <v>4.79</v>
      </c>
      <c r="F50" s="131">
        <v>4214739</v>
      </c>
    </row>
    <row r="51" spans="4:6" x14ac:dyDescent="0.2">
      <c r="D51" s="121">
        <v>43999</v>
      </c>
      <c r="E51" s="122">
        <v>4.8499999999999996</v>
      </c>
      <c r="F51" s="131">
        <v>2275726</v>
      </c>
    </row>
    <row r="52" spans="4:6" x14ac:dyDescent="0.2">
      <c r="D52" s="121">
        <v>44000</v>
      </c>
      <c r="E52" s="122">
        <v>4.7699999999999996</v>
      </c>
      <c r="F52" s="131">
        <v>4118676</v>
      </c>
    </row>
    <row r="53" spans="4:6" x14ac:dyDescent="0.2">
      <c r="D53" s="121">
        <v>44001</v>
      </c>
      <c r="E53" s="122">
        <v>5.04</v>
      </c>
      <c r="F53" s="131">
        <v>3275960</v>
      </c>
    </row>
    <row r="54" spans="4:6" x14ac:dyDescent="0.2">
      <c r="D54" s="121">
        <v>44004</v>
      </c>
      <c r="E54" s="122">
        <v>5.0599999999999996</v>
      </c>
      <c r="F54" s="131">
        <v>1553981</v>
      </c>
    </row>
    <row r="55" spans="4:6" x14ac:dyDescent="0.2">
      <c r="D55" s="121">
        <v>44005</v>
      </c>
      <c r="E55" s="122">
        <v>4.8899999999999997</v>
      </c>
      <c r="F55" s="131">
        <v>1004099.0000000001</v>
      </c>
    </row>
    <row r="56" spans="4:6" x14ac:dyDescent="0.2">
      <c r="D56" s="121">
        <v>44006</v>
      </c>
      <c r="E56" s="122">
        <v>4.8499999999999996</v>
      </c>
      <c r="F56" s="131">
        <v>834725</v>
      </c>
    </row>
    <row r="57" spans="4:6" x14ac:dyDescent="0.2">
      <c r="D57" s="121">
        <v>44007</v>
      </c>
      <c r="E57" s="122">
        <v>4.66</v>
      </c>
      <c r="F57" s="131">
        <v>1186055</v>
      </c>
    </row>
    <row r="58" spans="4:6" x14ac:dyDescent="0.2">
      <c r="D58" s="121">
        <v>44008</v>
      </c>
      <c r="E58" s="122">
        <v>4.71</v>
      </c>
      <c r="F58" s="131">
        <v>957393</v>
      </c>
    </row>
    <row r="59" spans="4:6" x14ac:dyDescent="0.2">
      <c r="D59" s="121">
        <v>44011</v>
      </c>
      <c r="E59" s="122">
        <v>4.59</v>
      </c>
      <c r="F59" s="131">
        <v>644273</v>
      </c>
    </row>
    <row r="60" spans="4:6" x14ac:dyDescent="0.2">
      <c r="D60" s="121">
        <v>44012</v>
      </c>
      <c r="E60" s="122">
        <v>4.6100000000000003</v>
      </c>
      <c r="F60" s="131">
        <v>1027385</v>
      </c>
    </row>
    <row r="61" spans="4:6" x14ac:dyDescent="0.2">
      <c r="D61" s="121">
        <v>44013</v>
      </c>
      <c r="E61" s="122">
        <v>4.63</v>
      </c>
      <c r="F61" s="131">
        <v>1078812</v>
      </c>
    </row>
    <row r="62" spans="4:6" x14ac:dyDescent="0.2">
      <c r="D62" s="121">
        <v>44014</v>
      </c>
      <c r="E62" s="122">
        <v>4.84</v>
      </c>
      <c r="F62" s="131">
        <v>1544725</v>
      </c>
    </row>
    <row r="63" spans="4:6" x14ac:dyDescent="0.2">
      <c r="D63" s="121">
        <v>44015</v>
      </c>
      <c r="E63" s="122">
        <v>4.82</v>
      </c>
      <c r="F63" s="131">
        <v>1078135</v>
      </c>
    </row>
    <row r="64" spans="4:6" x14ac:dyDescent="0.2">
      <c r="D64" s="121">
        <v>44018</v>
      </c>
      <c r="E64" s="122">
        <v>4.6900000000000004</v>
      </c>
      <c r="F64" s="131">
        <v>938574</v>
      </c>
    </row>
    <row r="65" spans="4:6" x14ac:dyDescent="0.2">
      <c r="D65" s="121">
        <v>44019</v>
      </c>
      <c r="E65" s="122">
        <v>4.72</v>
      </c>
      <c r="F65" s="131">
        <v>843754</v>
      </c>
    </row>
    <row r="66" spans="4:6" x14ac:dyDescent="0.2">
      <c r="D66" s="121">
        <v>44020</v>
      </c>
      <c r="E66" s="122">
        <v>4.63</v>
      </c>
      <c r="F66" s="131">
        <v>1205225</v>
      </c>
    </row>
    <row r="67" spans="4:6" x14ac:dyDescent="0.2">
      <c r="D67" s="121">
        <v>44021</v>
      </c>
      <c r="E67" s="122">
        <v>4.6399999999999997</v>
      </c>
      <c r="F67" s="131">
        <v>803974</v>
      </c>
    </row>
    <row r="68" spans="4:6" x14ac:dyDescent="0.2">
      <c r="D68" s="121">
        <v>44022</v>
      </c>
      <c r="E68" s="122">
        <v>4.6500000000000004</v>
      </c>
      <c r="F68" s="131">
        <v>564001</v>
      </c>
    </row>
    <row r="69" spans="4:6" x14ac:dyDescent="0.2">
      <c r="D69" s="121">
        <v>44025</v>
      </c>
      <c r="E69" s="122">
        <v>4.6399999999999997</v>
      </c>
      <c r="F69" s="131">
        <v>629416</v>
      </c>
    </row>
    <row r="70" spans="4:6" x14ac:dyDescent="0.2">
      <c r="D70" s="121">
        <v>44026</v>
      </c>
      <c r="E70" s="122">
        <v>4.67</v>
      </c>
      <c r="F70" s="131">
        <v>756764</v>
      </c>
    </row>
    <row r="71" spans="4:6" x14ac:dyDescent="0.2">
      <c r="D71" s="121">
        <v>44027</v>
      </c>
      <c r="E71" s="122">
        <v>4.76</v>
      </c>
      <c r="F71" s="131">
        <v>776247</v>
      </c>
    </row>
    <row r="72" spans="4:6" x14ac:dyDescent="0.2">
      <c r="D72" s="121">
        <v>44028</v>
      </c>
      <c r="E72" s="122">
        <v>4.67</v>
      </c>
      <c r="F72" s="131">
        <v>509766.00000000006</v>
      </c>
    </row>
    <row r="73" spans="4:6" x14ac:dyDescent="0.2">
      <c r="D73" s="121">
        <v>44029</v>
      </c>
      <c r="E73" s="122">
        <v>4.6500000000000004</v>
      </c>
      <c r="F73" s="131">
        <v>427008</v>
      </c>
    </row>
    <row r="74" spans="4:6" x14ac:dyDescent="0.2">
      <c r="D74" s="121">
        <v>44032</v>
      </c>
      <c r="E74" s="122">
        <v>4.6399999999999997</v>
      </c>
      <c r="F74" s="131">
        <v>530737</v>
      </c>
    </row>
    <row r="75" spans="4:6" x14ac:dyDescent="0.2">
      <c r="D75" s="121">
        <v>44033</v>
      </c>
      <c r="E75" s="122">
        <v>4.71</v>
      </c>
      <c r="F75" s="131">
        <v>1184750</v>
      </c>
    </row>
    <row r="76" spans="4:6" x14ac:dyDescent="0.2">
      <c r="D76" s="121">
        <v>44034</v>
      </c>
      <c r="E76" s="122">
        <v>4.63</v>
      </c>
      <c r="F76" s="131">
        <v>521541.00000000006</v>
      </c>
    </row>
    <row r="77" spans="4:6" x14ac:dyDescent="0.2">
      <c r="D77" s="121">
        <v>44035</v>
      </c>
      <c r="E77" s="122">
        <v>4.68</v>
      </c>
      <c r="F77" s="131">
        <v>573473</v>
      </c>
    </row>
    <row r="78" spans="4:6" x14ac:dyDescent="0.2">
      <c r="D78" s="121">
        <v>44036</v>
      </c>
      <c r="E78" s="122">
        <v>4.63</v>
      </c>
      <c r="F78" s="131">
        <v>479192</v>
      </c>
    </row>
    <row r="79" spans="4:6" x14ac:dyDescent="0.2">
      <c r="D79" s="121">
        <v>44039</v>
      </c>
      <c r="E79" s="122">
        <v>4.49</v>
      </c>
      <c r="F79" s="131">
        <v>687615</v>
      </c>
    </row>
    <row r="80" spans="4:6" x14ac:dyDescent="0.2">
      <c r="D80" s="121">
        <v>44040</v>
      </c>
      <c r="E80" s="122">
        <v>4.5</v>
      </c>
      <c r="F80" s="131">
        <v>1272536</v>
      </c>
    </row>
    <row r="81" spans="4:6" x14ac:dyDescent="0.2">
      <c r="D81" s="121">
        <v>44041</v>
      </c>
      <c r="E81" s="122">
        <v>4.42</v>
      </c>
      <c r="F81" s="131">
        <v>806315</v>
      </c>
    </row>
    <row r="82" spans="4:6" x14ac:dyDescent="0.2">
      <c r="D82" s="121">
        <v>44042</v>
      </c>
      <c r="E82" s="122">
        <v>4.5599999999999996</v>
      </c>
      <c r="F82" s="131">
        <v>2044644</v>
      </c>
    </row>
    <row r="83" spans="4:6" x14ac:dyDescent="0.2">
      <c r="D83" s="121">
        <v>44043</v>
      </c>
      <c r="E83" s="122">
        <v>4.43</v>
      </c>
      <c r="F83" s="131">
        <v>890920</v>
      </c>
    </row>
    <row r="84" spans="4:6" x14ac:dyDescent="0.2">
      <c r="D84" s="121">
        <v>44046</v>
      </c>
      <c r="E84" s="122">
        <v>4.49</v>
      </c>
      <c r="F84" s="131">
        <v>756675</v>
      </c>
    </row>
    <row r="85" spans="4:6" x14ac:dyDescent="0.2">
      <c r="D85" s="121">
        <v>44047</v>
      </c>
      <c r="E85" s="122">
        <v>4.54</v>
      </c>
      <c r="F85" s="131">
        <v>911168</v>
      </c>
    </row>
    <row r="86" spans="4:6" x14ac:dyDescent="0.2">
      <c r="D86" s="121">
        <v>44048</v>
      </c>
      <c r="E86" s="122">
        <v>4.42</v>
      </c>
      <c r="F86" s="131">
        <v>900383</v>
      </c>
    </row>
    <row r="87" spans="4:6" x14ac:dyDescent="0.2">
      <c r="D87" s="121">
        <v>44049</v>
      </c>
      <c r="E87" s="122">
        <v>4.47</v>
      </c>
      <c r="F87" s="131">
        <v>611455</v>
      </c>
    </row>
    <row r="88" spans="4:6" x14ac:dyDescent="0.2">
      <c r="D88" s="121">
        <v>44050</v>
      </c>
      <c r="E88" s="122">
        <v>4.46</v>
      </c>
      <c r="F88" s="131">
        <v>398526</v>
      </c>
    </row>
    <row r="89" spans="4:6" x14ac:dyDescent="0.2">
      <c r="D89" s="121">
        <v>44053</v>
      </c>
      <c r="E89" s="122">
        <v>4.6500000000000004</v>
      </c>
      <c r="F89" s="131">
        <v>857693</v>
      </c>
    </row>
    <row r="90" spans="4:6" x14ac:dyDescent="0.2">
      <c r="D90" s="121">
        <v>44054</v>
      </c>
      <c r="E90" s="122">
        <v>4.66</v>
      </c>
      <c r="F90" s="131">
        <v>624857</v>
      </c>
    </row>
    <row r="91" spans="4:6" x14ac:dyDescent="0.2">
      <c r="D91" s="121">
        <v>44055</v>
      </c>
      <c r="E91" s="122">
        <v>4.68</v>
      </c>
      <c r="F91" s="131">
        <v>548378</v>
      </c>
    </row>
    <row r="92" spans="4:6" x14ac:dyDescent="0.2">
      <c r="D92" s="121">
        <v>44056</v>
      </c>
      <c r="E92" s="122">
        <v>4.62</v>
      </c>
      <c r="F92" s="131">
        <v>592457</v>
      </c>
    </row>
    <row r="93" spans="4:6" x14ac:dyDescent="0.2">
      <c r="D93" s="121">
        <v>44057</v>
      </c>
      <c r="E93" s="122">
        <v>4.63</v>
      </c>
      <c r="F93" s="131">
        <v>551311</v>
      </c>
    </row>
    <row r="94" spans="4:6" x14ac:dyDescent="0.2">
      <c r="D94" s="121">
        <v>44060</v>
      </c>
      <c r="E94" s="122">
        <v>4.66</v>
      </c>
      <c r="F94" s="131">
        <v>767395</v>
      </c>
    </row>
    <row r="95" spans="4:6" x14ac:dyDescent="0.2">
      <c r="D95" s="121">
        <v>44061</v>
      </c>
      <c r="E95" s="122">
        <v>4.6399999999999997</v>
      </c>
      <c r="F95" s="131">
        <v>972566</v>
      </c>
    </row>
    <row r="96" spans="4:6" x14ac:dyDescent="0.2">
      <c r="D96" s="121">
        <v>44062</v>
      </c>
      <c r="E96" s="122">
        <v>4.92</v>
      </c>
      <c r="F96" s="131">
        <v>1214301</v>
      </c>
    </row>
    <row r="97" spans="4:6" x14ac:dyDescent="0.2">
      <c r="D97" s="121">
        <v>44063</v>
      </c>
      <c r="E97" s="122">
        <v>4.84</v>
      </c>
      <c r="F97" s="131">
        <v>1117492</v>
      </c>
    </row>
    <row r="98" spans="4:6" x14ac:dyDescent="0.2">
      <c r="D98" s="121">
        <v>44064</v>
      </c>
      <c r="E98" s="122">
        <v>4.8099999999999996</v>
      </c>
      <c r="F98" s="131">
        <v>621273</v>
      </c>
    </row>
    <row r="99" spans="4:6" x14ac:dyDescent="0.2">
      <c r="D99" s="121">
        <v>44067</v>
      </c>
      <c r="E99" s="122">
        <v>4.53</v>
      </c>
      <c r="F99" s="131">
        <v>2533778</v>
      </c>
    </row>
    <row r="100" spans="4:6" x14ac:dyDescent="0.2">
      <c r="D100" s="121">
        <v>44068</v>
      </c>
      <c r="E100" s="122">
        <v>4.62</v>
      </c>
      <c r="F100" s="131">
        <v>1577439</v>
      </c>
    </row>
    <row r="101" spans="4:6" x14ac:dyDescent="0.2">
      <c r="D101" s="121">
        <v>44069</v>
      </c>
      <c r="E101" s="122">
        <v>4.6399999999999997</v>
      </c>
      <c r="F101" s="131">
        <v>1238522</v>
      </c>
    </row>
    <row r="102" spans="4:6" x14ac:dyDescent="0.2">
      <c r="D102" s="121">
        <v>44070</v>
      </c>
      <c r="E102" s="122">
        <v>4.6500000000000004</v>
      </c>
      <c r="F102" s="131">
        <v>1805872</v>
      </c>
    </row>
    <row r="103" spans="4:6" x14ac:dyDescent="0.2">
      <c r="D103" s="121">
        <v>44071</v>
      </c>
      <c r="E103" s="122">
        <v>4.6500000000000004</v>
      </c>
      <c r="F103" s="131">
        <v>692769</v>
      </c>
    </row>
    <row r="104" spans="4:6" x14ac:dyDescent="0.2">
      <c r="D104" s="121">
        <v>44074</v>
      </c>
      <c r="E104" s="122">
        <v>4.6100000000000003</v>
      </c>
      <c r="F104" s="131">
        <v>1063318</v>
      </c>
    </row>
    <row r="105" spans="4:6" x14ac:dyDescent="0.2">
      <c r="D105" s="121">
        <v>44075</v>
      </c>
      <c r="E105" s="122">
        <v>4.51</v>
      </c>
      <c r="F105" s="131">
        <v>1743200</v>
      </c>
    </row>
    <row r="106" spans="4:6" x14ac:dyDescent="0.2">
      <c r="D106" s="121">
        <v>44076</v>
      </c>
      <c r="E106" s="122">
        <v>4.54</v>
      </c>
      <c r="F106" s="131">
        <v>1962235</v>
      </c>
    </row>
    <row r="107" spans="4:6" x14ac:dyDescent="0.2">
      <c r="D107" s="121">
        <v>44077</v>
      </c>
      <c r="E107" s="122">
        <v>4.5</v>
      </c>
      <c r="F107" s="131">
        <v>1896383</v>
      </c>
    </row>
    <row r="108" spans="4:6" x14ac:dyDescent="0.2">
      <c r="D108" s="121">
        <v>44078</v>
      </c>
      <c r="E108" s="122">
        <v>4.41</v>
      </c>
      <c r="F108" s="131">
        <v>1719016</v>
      </c>
    </row>
    <row r="109" spans="4:6" x14ac:dyDescent="0.2">
      <c r="D109" s="121">
        <v>44081</v>
      </c>
      <c r="E109" s="122">
        <v>4.28</v>
      </c>
      <c r="F109" s="131">
        <v>1248534</v>
      </c>
    </row>
    <row r="110" spans="4:6" x14ac:dyDescent="0.2">
      <c r="D110" s="121">
        <v>44082</v>
      </c>
      <c r="E110" s="122">
        <v>4.33</v>
      </c>
      <c r="F110" s="131">
        <v>1102506</v>
      </c>
    </row>
    <row r="111" spans="4:6" x14ac:dyDescent="0.2">
      <c r="D111" s="121">
        <v>44083</v>
      </c>
      <c r="E111" s="122">
        <v>4.1900000000000004</v>
      </c>
      <c r="F111" s="131">
        <v>1915496</v>
      </c>
    </row>
    <row r="112" spans="4:6" x14ac:dyDescent="0.2">
      <c r="D112" s="121">
        <v>44084</v>
      </c>
      <c r="E112" s="122">
        <v>4.21</v>
      </c>
      <c r="F112" s="131">
        <v>1060033</v>
      </c>
    </row>
    <row r="113" spans="4:6" x14ac:dyDescent="0.2">
      <c r="D113" s="121">
        <v>44085</v>
      </c>
      <c r="E113" s="122">
        <v>4.25</v>
      </c>
      <c r="F113" s="131">
        <v>1349413</v>
      </c>
    </row>
    <row r="114" spans="4:6" x14ac:dyDescent="0.2">
      <c r="D114" s="121">
        <v>44088</v>
      </c>
      <c r="E114" s="122">
        <v>4.26</v>
      </c>
      <c r="F114" s="131">
        <v>484722</v>
      </c>
    </row>
    <row r="115" spans="4:6" x14ac:dyDescent="0.2">
      <c r="D115" s="121">
        <v>44089</v>
      </c>
      <c r="E115" s="122">
        <v>4.21</v>
      </c>
      <c r="F115" s="131">
        <v>1336327</v>
      </c>
    </row>
    <row r="116" spans="4:6" x14ac:dyDescent="0.2">
      <c r="D116" s="121">
        <v>44090</v>
      </c>
      <c r="E116" s="122">
        <v>4.28</v>
      </c>
      <c r="F116" s="131">
        <v>1231171</v>
      </c>
    </row>
    <row r="117" spans="4:6" x14ac:dyDescent="0.2">
      <c r="D117" s="121">
        <v>44091</v>
      </c>
      <c r="E117" s="122">
        <v>4.26</v>
      </c>
      <c r="F117" s="131">
        <v>1105703</v>
      </c>
    </row>
    <row r="118" spans="4:6" x14ac:dyDescent="0.2">
      <c r="D118" s="121">
        <v>44092</v>
      </c>
      <c r="E118" s="122">
        <v>4.1900000000000004</v>
      </c>
      <c r="F118" s="131">
        <v>1452398</v>
      </c>
    </row>
    <row r="119" spans="4:6" x14ac:dyDescent="0.2">
      <c r="D119" s="121">
        <v>44095</v>
      </c>
      <c r="E119" s="122">
        <v>4.17</v>
      </c>
      <c r="F119" s="131">
        <v>1076595</v>
      </c>
    </row>
    <row r="120" spans="4:6" x14ac:dyDescent="0.2">
      <c r="D120" s="121">
        <v>44096</v>
      </c>
      <c r="E120" s="122">
        <v>4.1500000000000004</v>
      </c>
      <c r="F120" s="131">
        <v>866408</v>
      </c>
    </row>
    <row r="121" spans="4:6" x14ac:dyDescent="0.2">
      <c r="D121" s="121">
        <v>44097</v>
      </c>
      <c r="E121" s="122">
        <v>4.3</v>
      </c>
      <c r="F121" s="131">
        <v>1320915</v>
      </c>
    </row>
    <row r="122" spans="4:6" x14ac:dyDescent="0.2">
      <c r="D122" s="121">
        <v>44098</v>
      </c>
      <c r="E122" s="122">
        <v>4.33</v>
      </c>
      <c r="F122" s="131">
        <v>826772</v>
      </c>
    </row>
    <row r="123" spans="4:6" x14ac:dyDescent="0.2">
      <c r="D123" s="121">
        <v>44099</v>
      </c>
      <c r="E123" s="122">
        <v>4.2300000000000004</v>
      </c>
      <c r="F123" s="131">
        <v>930742</v>
      </c>
    </row>
    <row r="124" spans="4:6" x14ac:dyDescent="0.2">
      <c r="D124" s="121">
        <v>44102</v>
      </c>
      <c r="E124" s="122">
        <v>4.2</v>
      </c>
      <c r="F124" s="131">
        <v>392816</v>
      </c>
    </row>
    <row r="125" spans="4:6" x14ac:dyDescent="0.2">
      <c r="D125" s="121">
        <v>44103</v>
      </c>
      <c r="E125" s="122">
        <v>4.24</v>
      </c>
      <c r="F125" s="131">
        <v>656864</v>
      </c>
    </row>
    <row r="126" spans="4:6" x14ac:dyDescent="0.2">
      <c r="D126" s="121">
        <v>44104</v>
      </c>
      <c r="E126" s="122">
        <v>4.08</v>
      </c>
      <c r="F126" s="131">
        <v>2149306</v>
      </c>
    </row>
    <row r="127" spans="4:6" x14ac:dyDescent="0.2">
      <c r="D127" s="121">
        <v>44105</v>
      </c>
      <c r="E127" s="122">
        <v>4.1500000000000004</v>
      </c>
      <c r="F127" s="131">
        <v>1559761</v>
      </c>
    </row>
    <row r="128" spans="4:6" x14ac:dyDescent="0.2">
      <c r="D128" s="121">
        <v>44106</v>
      </c>
      <c r="E128" s="122">
        <v>4.16</v>
      </c>
      <c r="F128" s="131">
        <v>937348</v>
      </c>
    </row>
    <row r="129" spans="4:6" x14ac:dyDescent="0.2">
      <c r="D129" s="121">
        <v>44109</v>
      </c>
      <c r="E129" s="122">
        <v>4.37</v>
      </c>
      <c r="F129" s="131">
        <v>1213841</v>
      </c>
    </row>
    <row r="130" spans="4:6" x14ac:dyDescent="0.2">
      <c r="D130" s="121">
        <v>44110</v>
      </c>
      <c r="E130" s="122">
        <v>4.32</v>
      </c>
      <c r="F130" s="131">
        <v>450779</v>
      </c>
    </row>
    <row r="131" spans="4:6" x14ac:dyDescent="0.2">
      <c r="D131" s="121">
        <v>44111</v>
      </c>
      <c r="E131" s="122">
        <v>4.32</v>
      </c>
      <c r="F131" s="131">
        <v>812486</v>
      </c>
    </row>
    <row r="132" spans="4:6" x14ac:dyDescent="0.2">
      <c r="D132" s="121">
        <v>44112</v>
      </c>
      <c r="E132" s="122">
        <v>4.3099999999999996</v>
      </c>
      <c r="F132" s="131">
        <v>801501</v>
      </c>
    </row>
    <row r="133" spans="4:6" x14ac:dyDescent="0.2">
      <c r="D133" s="121">
        <v>44113</v>
      </c>
      <c r="E133" s="122">
        <v>4.2699999999999996</v>
      </c>
      <c r="F133" s="131">
        <v>466142</v>
      </c>
    </row>
    <row r="134" spans="4:6" x14ac:dyDescent="0.2">
      <c r="D134" s="121">
        <v>44116</v>
      </c>
      <c r="E134" s="122">
        <v>4.24</v>
      </c>
      <c r="F134" s="131">
        <v>734792</v>
      </c>
    </row>
    <row r="135" spans="4:6" x14ac:dyDescent="0.2">
      <c r="D135" s="121">
        <v>44117</v>
      </c>
      <c r="E135" s="122">
        <v>4.41</v>
      </c>
      <c r="F135" s="131">
        <v>901043</v>
      </c>
    </row>
    <row r="136" spans="4:6" x14ac:dyDescent="0.2">
      <c r="D136" s="121">
        <v>44118</v>
      </c>
      <c r="E136" s="122">
        <v>4.45</v>
      </c>
      <c r="F136" s="131">
        <v>1176572</v>
      </c>
    </row>
    <row r="137" spans="4:6" x14ac:dyDescent="0.2">
      <c r="D137" s="121">
        <v>44119</v>
      </c>
      <c r="E137" s="122">
        <v>4.4800000000000004</v>
      </c>
      <c r="F137" s="131">
        <v>816094</v>
      </c>
    </row>
    <row r="138" spans="4:6" x14ac:dyDescent="0.2">
      <c r="D138" s="121">
        <v>44120</v>
      </c>
      <c r="E138" s="122">
        <v>4.51</v>
      </c>
      <c r="F138" s="131">
        <v>1013565</v>
      </c>
    </row>
    <row r="139" spans="4:6" x14ac:dyDescent="0.2">
      <c r="D139" s="121">
        <v>44123</v>
      </c>
      <c r="E139" s="122">
        <v>4.54</v>
      </c>
      <c r="F139" s="131">
        <v>740646</v>
      </c>
    </row>
    <row r="140" spans="4:6" x14ac:dyDescent="0.2">
      <c r="D140" s="121">
        <v>44124</v>
      </c>
      <c r="E140" s="122">
        <v>4.47</v>
      </c>
      <c r="F140" s="131">
        <v>625836</v>
      </c>
    </row>
    <row r="141" spans="4:6" x14ac:dyDescent="0.2">
      <c r="D141" s="121">
        <v>44125</v>
      </c>
      <c r="E141" s="122">
        <v>4.47</v>
      </c>
      <c r="F141" s="131">
        <v>520812.99999999994</v>
      </c>
    </row>
    <row r="142" spans="4:6" x14ac:dyDescent="0.2">
      <c r="D142" s="121">
        <v>44126</v>
      </c>
      <c r="E142" s="122">
        <v>4.43</v>
      </c>
      <c r="F142" s="131">
        <v>815515</v>
      </c>
    </row>
    <row r="143" spans="4:6" x14ac:dyDescent="0.2">
      <c r="D143" s="121">
        <v>44127</v>
      </c>
      <c r="E143" s="122">
        <v>4.3600000000000003</v>
      </c>
      <c r="F143" s="131">
        <v>600663</v>
      </c>
    </row>
    <row r="144" spans="4:6" x14ac:dyDescent="0.2">
      <c r="D144" s="121">
        <v>44130</v>
      </c>
      <c r="E144" s="122">
        <v>4.34</v>
      </c>
      <c r="F144" s="131">
        <v>645300</v>
      </c>
    </row>
    <row r="145" spans="4:6" x14ac:dyDescent="0.2">
      <c r="D145" s="121">
        <v>44131</v>
      </c>
      <c r="E145" s="122">
        <v>4.3</v>
      </c>
      <c r="F145" s="131">
        <v>645626</v>
      </c>
    </row>
    <row r="146" spans="4:6" x14ac:dyDescent="0.2">
      <c r="D146" s="121">
        <v>44132</v>
      </c>
      <c r="E146" s="122">
        <v>4.3099999999999996</v>
      </c>
      <c r="F146" s="131">
        <v>1007843</v>
      </c>
    </row>
    <row r="147" spans="4:6" x14ac:dyDescent="0.2">
      <c r="D147" s="121">
        <v>44133</v>
      </c>
      <c r="E147" s="122">
        <v>4.25</v>
      </c>
      <c r="F147" s="131">
        <v>726744</v>
      </c>
    </row>
    <row r="148" spans="4:6" x14ac:dyDescent="0.2">
      <c r="D148" s="121">
        <v>44134</v>
      </c>
      <c r="E148" s="122">
        <v>4.16</v>
      </c>
      <c r="F148" s="131">
        <v>1430118</v>
      </c>
    </row>
    <row r="149" spans="4:6" x14ac:dyDescent="0.2">
      <c r="D149" s="121">
        <v>44137</v>
      </c>
      <c r="E149" s="122">
        <v>4.1399999999999997</v>
      </c>
      <c r="F149" s="131">
        <v>971366</v>
      </c>
    </row>
    <row r="150" spans="4:6" x14ac:dyDescent="0.2">
      <c r="D150" s="121">
        <v>44138</v>
      </c>
      <c r="E150" s="122">
        <v>4.22</v>
      </c>
      <c r="F150" s="131">
        <v>847689</v>
      </c>
    </row>
    <row r="151" spans="4:6" x14ac:dyDescent="0.2">
      <c r="D151" s="121">
        <v>44139</v>
      </c>
      <c r="E151" s="122">
        <v>4.25</v>
      </c>
      <c r="F151" s="131">
        <v>924561</v>
      </c>
    </row>
    <row r="152" spans="4:6" x14ac:dyDescent="0.2">
      <c r="D152" s="121">
        <v>44140</v>
      </c>
      <c r="E152" s="122">
        <v>4.3499999999999996</v>
      </c>
      <c r="F152" s="131">
        <v>1108452</v>
      </c>
    </row>
    <row r="153" spans="4:6" x14ac:dyDescent="0.2">
      <c r="D153" s="121">
        <v>44141</v>
      </c>
      <c r="E153" s="122">
        <v>4.37</v>
      </c>
      <c r="F153" s="131">
        <v>522512</v>
      </c>
    </row>
    <row r="154" spans="4:6" x14ac:dyDescent="0.2">
      <c r="D154" s="121">
        <v>44144</v>
      </c>
      <c r="E154" s="122">
        <v>4.54</v>
      </c>
      <c r="F154" s="131">
        <v>549487</v>
      </c>
    </row>
    <row r="155" spans="4:6" x14ac:dyDescent="0.2">
      <c r="D155" s="121">
        <v>44145</v>
      </c>
      <c r="E155" s="122">
        <v>4.63</v>
      </c>
      <c r="F155" s="131">
        <v>910118</v>
      </c>
    </row>
    <row r="156" spans="4:6" x14ac:dyDescent="0.2">
      <c r="D156" s="121">
        <v>44146</v>
      </c>
      <c r="E156" s="122">
        <v>4.75</v>
      </c>
      <c r="F156" s="131">
        <v>948179</v>
      </c>
    </row>
    <row r="157" spans="4:6" x14ac:dyDescent="0.2">
      <c r="D157" s="121">
        <v>44147</v>
      </c>
      <c r="E157" s="122">
        <v>4.7300000000000004</v>
      </c>
      <c r="F157" s="131">
        <v>715118</v>
      </c>
    </row>
    <row r="158" spans="4:6" x14ac:dyDescent="0.2">
      <c r="D158" s="121">
        <v>44148</v>
      </c>
      <c r="E158" s="122">
        <v>4.68</v>
      </c>
      <c r="F158" s="131">
        <v>518146</v>
      </c>
    </row>
    <row r="159" spans="4:6" x14ac:dyDescent="0.2">
      <c r="D159" s="121">
        <v>44151</v>
      </c>
      <c r="E159" s="122">
        <v>4.7300000000000004</v>
      </c>
      <c r="F159" s="131">
        <v>34602</v>
      </c>
    </row>
    <row r="160" spans="4:6" x14ac:dyDescent="0.2">
      <c r="D160" s="121">
        <v>44152</v>
      </c>
      <c r="E160" s="122">
        <v>4.8099999999999996</v>
      </c>
      <c r="F160" s="131">
        <v>933661</v>
      </c>
    </row>
    <row r="161" spans="4:6" x14ac:dyDescent="0.2">
      <c r="D161" s="121">
        <v>44153</v>
      </c>
      <c r="E161" s="122">
        <v>4.93</v>
      </c>
      <c r="F161" s="131">
        <v>874808</v>
      </c>
    </row>
    <row r="162" spans="4:6" x14ac:dyDescent="0.2">
      <c r="D162" s="121">
        <v>44154</v>
      </c>
      <c r="E162" s="122">
        <v>4.96</v>
      </c>
      <c r="F162" s="131">
        <v>813455</v>
      </c>
    </row>
    <row r="163" spans="4:6" x14ac:dyDescent="0.2">
      <c r="D163" s="121">
        <v>44155</v>
      </c>
      <c r="E163" s="122">
        <v>4.96</v>
      </c>
      <c r="F163" s="131">
        <v>609929</v>
      </c>
    </row>
    <row r="164" spans="4:6" x14ac:dyDescent="0.2">
      <c r="D164" s="121">
        <v>44158</v>
      </c>
      <c r="E164" s="122">
        <v>4.9400000000000004</v>
      </c>
      <c r="F164" s="131">
        <v>944629</v>
      </c>
    </row>
    <row r="165" spans="4:6" x14ac:dyDescent="0.2">
      <c r="D165" s="121">
        <v>44159</v>
      </c>
      <c r="E165" s="122">
        <v>4.9800000000000004</v>
      </c>
      <c r="F165" s="131">
        <v>995919</v>
      </c>
    </row>
    <row r="166" spans="4:6" x14ac:dyDescent="0.2">
      <c r="D166" s="121">
        <v>44160</v>
      </c>
      <c r="E166" s="122">
        <v>5.0999999999999996</v>
      </c>
      <c r="F166" s="131">
        <v>1523745</v>
      </c>
    </row>
    <row r="167" spans="4:6" x14ac:dyDescent="0.2">
      <c r="D167" s="121">
        <v>44161</v>
      </c>
      <c r="E167" s="122">
        <v>5.18</v>
      </c>
      <c r="F167" s="131">
        <v>503502</v>
      </c>
    </row>
    <row r="168" spans="4:6" x14ac:dyDescent="0.2">
      <c r="D168" s="121">
        <v>44162</v>
      </c>
      <c r="E168" s="122">
        <v>5.17</v>
      </c>
      <c r="F168" s="131">
        <v>442231</v>
      </c>
    </row>
    <row r="169" spans="4:6" x14ac:dyDescent="0.2">
      <c r="D169" s="121">
        <v>44165</v>
      </c>
      <c r="E169" s="122">
        <v>5.14</v>
      </c>
      <c r="F169" s="131">
        <v>1316590</v>
      </c>
    </row>
    <row r="170" spans="4:6" x14ac:dyDescent="0.2">
      <c r="D170" s="121">
        <v>44166</v>
      </c>
      <c r="E170" s="122">
        <v>5.21</v>
      </c>
      <c r="F170" s="131">
        <v>805257</v>
      </c>
    </row>
    <row r="171" spans="4:6" x14ac:dyDescent="0.2">
      <c r="D171" s="121">
        <v>44167</v>
      </c>
      <c r="E171" s="122">
        <v>5.2</v>
      </c>
      <c r="F171" s="131">
        <v>854261</v>
      </c>
    </row>
    <row r="172" spans="4:6" x14ac:dyDescent="0.2">
      <c r="D172" s="121">
        <v>44168</v>
      </c>
      <c r="E172" s="122">
        <v>5.1100000000000003</v>
      </c>
      <c r="F172" s="131">
        <v>657123</v>
      </c>
    </row>
    <row r="173" spans="4:6" x14ac:dyDescent="0.2">
      <c r="D173" s="121">
        <v>44169</v>
      </c>
      <c r="E173" s="122">
        <v>5.13</v>
      </c>
      <c r="F173" s="131">
        <v>769628</v>
      </c>
    </row>
    <row r="174" spans="4:6" x14ac:dyDescent="0.2">
      <c r="D174" s="121">
        <v>44172</v>
      </c>
      <c r="E174" s="122">
        <v>5.13</v>
      </c>
      <c r="F174" s="131">
        <v>578747</v>
      </c>
    </row>
    <row r="175" spans="4:6" x14ac:dyDescent="0.2">
      <c r="D175" s="121">
        <v>44173</v>
      </c>
      <c r="E175" s="122">
        <v>5.16</v>
      </c>
      <c r="F175" s="131">
        <v>758016</v>
      </c>
    </row>
    <row r="176" spans="4:6" x14ac:dyDescent="0.2">
      <c r="D176" s="121">
        <v>44174</v>
      </c>
      <c r="E176" s="122">
        <v>5.19</v>
      </c>
      <c r="F176" s="131">
        <v>751543</v>
      </c>
    </row>
    <row r="177" spans="4:6" x14ac:dyDescent="0.2">
      <c r="D177" s="121">
        <v>44175</v>
      </c>
      <c r="E177" s="122">
        <v>5.22</v>
      </c>
      <c r="F177" s="131">
        <v>845575</v>
      </c>
    </row>
    <row r="178" spans="4:6" x14ac:dyDescent="0.2">
      <c r="D178" s="121">
        <v>44176</v>
      </c>
      <c r="E178" s="122">
        <v>5.21</v>
      </c>
      <c r="F178" s="131">
        <v>1204754</v>
      </c>
    </row>
    <row r="179" spans="4:6" x14ac:dyDescent="0.2">
      <c r="D179" s="121">
        <v>44179</v>
      </c>
      <c r="E179" s="122">
        <v>5.47</v>
      </c>
      <c r="F179" s="131">
        <v>2002557</v>
      </c>
    </row>
    <row r="180" spans="4:6" x14ac:dyDescent="0.2">
      <c r="D180" s="121">
        <v>44180</v>
      </c>
      <c r="E180" s="122">
        <v>5.59</v>
      </c>
      <c r="F180" s="131">
        <v>2021452</v>
      </c>
    </row>
    <row r="181" spans="4:6" x14ac:dyDescent="0.2">
      <c r="D181" s="121">
        <v>44181</v>
      </c>
      <c r="E181" s="122">
        <v>5.45</v>
      </c>
      <c r="F181" s="131">
        <v>1503549</v>
      </c>
    </row>
    <row r="182" spans="4:6" x14ac:dyDescent="0.2">
      <c r="D182" s="121">
        <v>44182</v>
      </c>
      <c r="E182" s="122">
        <v>5.41</v>
      </c>
      <c r="F182" s="131">
        <v>1446811</v>
      </c>
    </row>
    <row r="183" spans="4:6" x14ac:dyDescent="0.2">
      <c r="D183" s="121">
        <v>44183</v>
      </c>
      <c r="E183" s="122">
        <v>5.62</v>
      </c>
      <c r="F183" s="131">
        <v>8414924</v>
      </c>
    </row>
    <row r="184" spans="4:6" x14ac:dyDescent="0.2">
      <c r="D184" s="121">
        <v>44186</v>
      </c>
      <c r="E184" s="122">
        <v>5.8</v>
      </c>
      <c r="F184" s="131">
        <v>5766263</v>
      </c>
    </row>
    <row r="185" spans="4:6" x14ac:dyDescent="0.2">
      <c r="D185" s="121">
        <v>44187</v>
      </c>
      <c r="E185" s="122">
        <v>5.83</v>
      </c>
      <c r="F185" s="131">
        <v>1139626</v>
      </c>
    </row>
    <row r="186" spans="4:6" x14ac:dyDescent="0.2">
      <c r="D186" s="121">
        <v>44188</v>
      </c>
      <c r="E186" s="122">
        <v>5.87</v>
      </c>
      <c r="F186" s="131">
        <v>1432029</v>
      </c>
    </row>
    <row r="187" spans="4:6" x14ac:dyDescent="0.2">
      <c r="D187" s="121">
        <v>44189</v>
      </c>
      <c r="E187" s="122">
        <v>5.81</v>
      </c>
      <c r="F187" s="131">
        <v>581908</v>
      </c>
    </row>
    <row r="188" spans="4:6" x14ac:dyDescent="0.2">
      <c r="D188" s="121">
        <v>44194</v>
      </c>
      <c r="E188" s="122">
        <v>5.92</v>
      </c>
      <c r="F188" s="131">
        <v>746863</v>
      </c>
    </row>
    <row r="189" spans="4:6" x14ac:dyDescent="0.2">
      <c r="D189" s="121">
        <v>44195</v>
      </c>
      <c r="E189" s="122">
        <v>6.01</v>
      </c>
      <c r="F189" s="131">
        <v>802814</v>
      </c>
    </row>
    <row r="190" spans="4:6" x14ac:dyDescent="0.2">
      <c r="D190" s="121">
        <v>44196</v>
      </c>
      <c r="E190" s="122">
        <v>5.97</v>
      </c>
      <c r="F190" s="131">
        <v>407014</v>
      </c>
    </row>
    <row r="191" spans="4:6" x14ac:dyDescent="0.2">
      <c r="D191" s="121">
        <v>44200</v>
      </c>
      <c r="E191" s="122">
        <v>6.04</v>
      </c>
      <c r="F191" s="131">
        <v>562308</v>
      </c>
    </row>
    <row r="192" spans="4:6" x14ac:dyDescent="0.2">
      <c r="D192" s="121">
        <v>44201</v>
      </c>
      <c r="E192" s="122">
        <v>6.06</v>
      </c>
      <c r="F192" s="131">
        <v>862818</v>
      </c>
    </row>
    <row r="193" spans="4:6" x14ac:dyDescent="0.2">
      <c r="D193" s="121">
        <v>44202</v>
      </c>
      <c r="E193" s="122">
        <v>6.06</v>
      </c>
      <c r="F193" s="131">
        <v>1351936</v>
      </c>
    </row>
    <row r="194" spans="4:6" x14ac:dyDescent="0.2">
      <c r="D194" s="121">
        <v>44203</v>
      </c>
      <c r="E194" s="122">
        <v>6.05</v>
      </c>
      <c r="F194" s="131">
        <v>1643075</v>
      </c>
    </row>
    <row r="195" spans="4:6" x14ac:dyDescent="0.2">
      <c r="D195" s="121">
        <v>44204</v>
      </c>
      <c r="E195" s="122">
        <v>5.9</v>
      </c>
      <c r="F195" s="131">
        <v>671611</v>
      </c>
    </row>
    <row r="196" spans="4:6" x14ac:dyDescent="0.2">
      <c r="D196" s="121">
        <v>44207</v>
      </c>
      <c r="E196" s="122">
        <v>5.76</v>
      </c>
      <c r="F196" s="131">
        <v>849865</v>
      </c>
    </row>
    <row r="197" spans="4:6" x14ac:dyDescent="0.2">
      <c r="D197" s="121">
        <v>44208</v>
      </c>
      <c r="E197" s="122">
        <v>5.81</v>
      </c>
      <c r="F197" s="131">
        <v>1159703</v>
      </c>
    </row>
    <row r="198" spans="4:6" x14ac:dyDescent="0.2">
      <c r="D198" s="121">
        <v>44209</v>
      </c>
      <c r="E198" s="122">
        <v>5.92</v>
      </c>
      <c r="F198" s="131">
        <v>744286</v>
      </c>
    </row>
    <row r="199" spans="4:6" x14ac:dyDescent="0.2">
      <c r="D199" s="121">
        <v>44210</v>
      </c>
      <c r="E199" s="122">
        <v>5.91</v>
      </c>
      <c r="F199" s="131">
        <v>627168</v>
      </c>
    </row>
    <row r="200" spans="4:6" x14ac:dyDescent="0.2">
      <c r="D200" s="121">
        <v>44211</v>
      </c>
      <c r="E200" s="122">
        <v>5.86</v>
      </c>
      <c r="F200" s="131">
        <v>717172</v>
      </c>
    </row>
    <row r="201" spans="4:6" x14ac:dyDescent="0.2">
      <c r="D201" s="121">
        <v>44214</v>
      </c>
      <c r="E201" s="122">
        <v>5.82</v>
      </c>
      <c r="F201" s="131">
        <v>753967</v>
      </c>
    </row>
    <row r="202" spans="4:6" x14ac:dyDescent="0.2">
      <c r="D202" s="121">
        <v>44215</v>
      </c>
      <c r="E202" s="122">
        <v>5.81</v>
      </c>
      <c r="F202" s="131">
        <v>1076979</v>
      </c>
    </row>
    <row r="203" spans="4:6" x14ac:dyDescent="0.2">
      <c r="D203" s="121">
        <v>44216</v>
      </c>
      <c r="E203" s="122">
        <v>5.78</v>
      </c>
      <c r="F203" s="131">
        <v>823983</v>
      </c>
    </row>
    <row r="204" spans="4:6" x14ac:dyDescent="0.2">
      <c r="D204" s="121">
        <v>44217</v>
      </c>
      <c r="E204" s="122">
        <v>5.78</v>
      </c>
      <c r="F204" s="131">
        <v>1223019</v>
      </c>
    </row>
    <row r="205" spans="4:6" x14ac:dyDescent="0.2">
      <c r="D205" s="121">
        <v>44218</v>
      </c>
      <c r="E205" s="122">
        <v>5.77</v>
      </c>
      <c r="F205" s="131">
        <v>752326</v>
      </c>
    </row>
    <row r="206" spans="4:6" x14ac:dyDescent="0.2">
      <c r="D206" s="121">
        <v>44221</v>
      </c>
      <c r="E206" s="122">
        <v>5.74</v>
      </c>
      <c r="F206" s="131">
        <v>768256</v>
      </c>
    </row>
    <row r="207" spans="4:6" x14ac:dyDescent="0.2">
      <c r="D207" s="121">
        <v>44223</v>
      </c>
      <c r="E207" s="122">
        <v>5.69</v>
      </c>
      <c r="F207" s="131">
        <v>897579</v>
      </c>
    </row>
    <row r="208" spans="4:6" x14ac:dyDescent="0.2">
      <c r="D208" s="121">
        <v>44224</v>
      </c>
      <c r="E208" s="122">
        <v>5.49</v>
      </c>
      <c r="F208" s="131">
        <v>1630307</v>
      </c>
    </row>
    <row r="209" spans="4:6" x14ac:dyDescent="0.2">
      <c r="D209" s="121">
        <v>44225</v>
      </c>
      <c r="E209" s="122">
        <v>5.52</v>
      </c>
      <c r="F209" s="131">
        <v>2002311.0000000002</v>
      </c>
    </row>
    <row r="210" spans="4:6" x14ac:dyDescent="0.2">
      <c r="D210" s="121">
        <v>44228</v>
      </c>
      <c r="E210" s="122">
        <v>5.61</v>
      </c>
      <c r="F210" s="131">
        <v>1307743</v>
      </c>
    </row>
    <row r="211" spans="4:6" x14ac:dyDescent="0.2">
      <c r="D211" s="121">
        <v>44229</v>
      </c>
      <c r="E211" s="122">
        <v>5.68</v>
      </c>
      <c r="F211" s="131">
        <v>1946477</v>
      </c>
    </row>
    <row r="212" spans="4:6" x14ac:dyDescent="0.2">
      <c r="D212" s="121">
        <v>44230</v>
      </c>
      <c r="E212" s="122">
        <v>5.74</v>
      </c>
      <c r="F212" s="131">
        <v>1060481</v>
      </c>
    </row>
    <row r="213" spans="4:6" x14ac:dyDescent="0.2">
      <c r="D213" s="121">
        <v>44231</v>
      </c>
      <c r="E213" s="122">
        <v>5.65</v>
      </c>
      <c r="F213" s="131">
        <v>461538</v>
      </c>
    </row>
    <row r="214" spans="4:6" x14ac:dyDescent="0.2">
      <c r="D214" s="121">
        <v>44232</v>
      </c>
      <c r="E214" s="122">
        <v>5.71</v>
      </c>
      <c r="F214" s="131">
        <v>895750</v>
      </c>
    </row>
    <row r="215" spans="4:6" x14ac:dyDescent="0.2">
      <c r="D215" s="121">
        <v>44235</v>
      </c>
      <c r="E215" s="122">
        <v>5.61</v>
      </c>
      <c r="F215" s="131">
        <v>700210</v>
      </c>
    </row>
    <row r="216" spans="4:6" x14ac:dyDescent="0.2">
      <c r="D216" s="121">
        <v>44236</v>
      </c>
      <c r="E216" s="122">
        <v>5.64</v>
      </c>
      <c r="F216" s="131">
        <v>634559</v>
      </c>
    </row>
    <row r="217" spans="4:6" x14ac:dyDescent="0.2">
      <c r="D217" s="121">
        <v>44237</v>
      </c>
      <c r="E217" s="122">
        <v>5.63</v>
      </c>
      <c r="F217" s="131">
        <v>413578</v>
      </c>
    </row>
    <row r="218" spans="4:6" x14ac:dyDescent="0.2">
      <c r="D218" s="121">
        <v>44238</v>
      </c>
      <c r="E218" s="122">
        <v>5.44</v>
      </c>
      <c r="F218" s="131">
        <v>383294</v>
      </c>
    </row>
    <row r="219" spans="4:6" x14ac:dyDescent="0.2">
      <c r="D219" s="121">
        <v>44239</v>
      </c>
      <c r="E219" s="122">
        <v>5.46</v>
      </c>
      <c r="F219" s="131">
        <v>579270</v>
      </c>
    </row>
    <row r="220" spans="4:6" x14ac:dyDescent="0.2">
      <c r="D220" s="121">
        <v>44242</v>
      </c>
      <c r="E220" s="122">
        <v>5.44</v>
      </c>
      <c r="F220" s="131">
        <v>327877</v>
      </c>
    </row>
    <row r="221" spans="4:6" x14ac:dyDescent="0.2">
      <c r="D221" s="121">
        <v>44243</v>
      </c>
      <c r="E221" s="122">
        <v>5.44</v>
      </c>
      <c r="F221" s="131">
        <v>533375</v>
      </c>
    </row>
    <row r="222" spans="4:6" x14ac:dyDescent="0.2">
      <c r="D222" s="121">
        <v>44244</v>
      </c>
      <c r="E222" s="122">
        <v>5.45</v>
      </c>
      <c r="F222" s="131">
        <v>690057</v>
      </c>
    </row>
    <row r="223" spans="4:6" x14ac:dyDescent="0.2">
      <c r="D223" s="121">
        <v>44245</v>
      </c>
      <c r="E223" s="122">
        <v>5.44</v>
      </c>
      <c r="F223" s="131">
        <v>676105</v>
      </c>
    </row>
    <row r="224" spans="4:6" x14ac:dyDescent="0.2">
      <c r="D224" s="121">
        <v>44246</v>
      </c>
      <c r="E224" s="122">
        <v>5.39</v>
      </c>
      <c r="F224" s="131">
        <v>556991</v>
      </c>
    </row>
    <row r="225" spans="4:6" x14ac:dyDescent="0.2">
      <c r="D225" s="121">
        <v>44249</v>
      </c>
      <c r="E225" s="122">
        <v>5.74</v>
      </c>
      <c r="F225" s="131">
        <v>1495368</v>
      </c>
    </row>
    <row r="226" spans="4:6" x14ac:dyDescent="0.2">
      <c r="D226" s="121">
        <v>44250</v>
      </c>
      <c r="E226" s="122">
        <v>5.73</v>
      </c>
      <c r="F226" s="131">
        <v>1112148</v>
      </c>
    </row>
    <row r="227" spans="4:6" x14ac:dyDescent="0.2">
      <c r="D227" s="121">
        <v>44251</v>
      </c>
      <c r="E227" s="122">
        <v>5.63</v>
      </c>
      <c r="F227" s="131">
        <v>1257198</v>
      </c>
    </row>
    <row r="228" spans="4:6" x14ac:dyDescent="0.2">
      <c r="D228" s="121">
        <v>44252</v>
      </c>
      <c r="E228" s="122">
        <v>5.65</v>
      </c>
      <c r="F228" s="131">
        <v>1133511</v>
      </c>
    </row>
    <row r="229" spans="4:6" x14ac:dyDescent="0.2">
      <c r="D229" s="121">
        <v>44253</v>
      </c>
      <c r="E229" s="122">
        <v>5.54</v>
      </c>
      <c r="F229" s="131">
        <v>1603985</v>
      </c>
    </row>
    <row r="230" spans="4:6" x14ac:dyDescent="0.2">
      <c r="D230" s="121">
        <v>44256</v>
      </c>
      <c r="E230" s="122">
        <v>5.6</v>
      </c>
      <c r="F230" s="131">
        <v>1005265.0000000001</v>
      </c>
    </row>
    <row r="231" spans="4:6" x14ac:dyDescent="0.2">
      <c r="D231" s="121">
        <v>44257</v>
      </c>
      <c r="E231" s="122">
        <v>5.65</v>
      </c>
      <c r="F231" s="131">
        <v>1029109</v>
      </c>
    </row>
    <row r="232" spans="4:6" x14ac:dyDescent="0.2">
      <c r="D232" s="121">
        <v>44258</v>
      </c>
      <c r="E232" s="122">
        <v>5.7</v>
      </c>
      <c r="F232" s="131">
        <v>1089339</v>
      </c>
    </row>
    <row r="233" spans="4:6" x14ac:dyDescent="0.2">
      <c r="D233" s="121">
        <v>44259</v>
      </c>
      <c r="E233" s="122">
        <v>5.53</v>
      </c>
      <c r="F233" s="131">
        <v>784734</v>
      </c>
    </row>
    <row r="234" spans="4:6" x14ac:dyDescent="0.2">
      <c r="D234" s="121">
        <v>44260</v>
      </c>
      <c r="E234" s="122">
        <v>5.43</v>
      </c>
      <c r="F234" s="131">
        <v>517437.99999999994</v>
      </c>
    </row>
    <row r="235" spans="4:6" x14ac:dyDescent="0.2">
      <c r="D235" s="121">
        <v>44263</v>
      </c>
      <c r="E235" s="122">
        <v>5.52</v>
      </c>
      <c r="F235" s="131">
        <v>352360</v>
      </c>
    </row>
    <row r="236" spans="4:6" x14ac:dyDescent="0.2">
      <c r="D236" s="121">
        <v>44264</v>
      </c>
      <c r="E236" s="122">
        <v>5.55</v>
      </c>
      <c r="F236" s="131">
        <v>846731</v>
      </c>
    </row>
    <row r="237" spans="4:6" x14ac:dyDescent="0.2">
      <c r="D237" s="121">
        <v>44265</v>
      </c>
      <c r="E237" s="122">
        <v>5.65</v>
      </c>
      <c r="F237" s="131">
        <v>1315213</v>
      </c>
    </row>
    <row r="238" spans="4:6" x14ac:dyDescent="0.2">
      <c r="D238" s="121">
        <v>44266</v>
      </c>
      <c r="E238" s="122">
        <v>5.67</v>
      </c>
      <c r="F238" s="131">
        <v>1274988</v>
      </c>
    </row>
    <row r="239" spans="4:6" x14ac:dyDescent="0.2">
      <c r="D239" s="121">
        <v>44267</v>
      </c>
      <c r="E239" s="122">
        <v>5.6</v>
      </c>
      <c r="F239" s="131">
        <v>292916</v>
      </c>
    </row>
    <row r="240" spans="4:6" x14ac:dyDescent="0.2">
      <c r="D240" s="121">
        <v>44270</v>
      </c>
      <c r="E240" s="122">
        <v>5.61</v>
      </c>
      <c r="F240" s="131">
        <v>542577</v>
      </c>
    </row>
    <row r="241" spans="4:6" x14ac:dyDescent="0.2">
      <c r="D241" s="121">
        <v>44271</v>
      </c>
      <c r="E241" s="122">
        <v>5.63</v>
      </c>
      <c r="F241" s="131">
        <v>817911</v>
      </c>
    </row>
    <row r="242" spans="4:6" x14ac:dyDescent="0.2">
      <c r="D242" s="121">
        <v>44272</v>
      </c>
      <c r="E242" s="122">
        <v>5.45</v>
      </c>
      <c r="F242" s="131">
        <v>637665</v>
      </c>
    </row>
    <row r="243" spans="4:6" x14ac:dyDescent="0.2">
      <c r="D243" s="121">
        <v>44273</v>
      </c>
      <c r="E243" s="122">
        <v>5.41</v>
      </c>
      <c r="F243" s="131">
        <v>858637</v>
      </c>
    </row>
    <row r="244" spans="4:6" x14ac:dyDescent="0.2">
      <c r="D244" s="121">
        <v>44274</v>
      </c>
      <c r="E244" s="122">
        <v>5.46</v>
      </c>
      <c r="F244" s="131">
        <v>1687296</v>
      </c>
    </row>
    <row r="245" spans="4:6" x14ac:dyDescent="0.2">
      <c r="D245" s="121">
        <v>44277</v>
      </c>
      <c r="E245" s="122">
        <v>5.35</v>
      </c>
      <c r="F245" s="131">
        <v>739393</v>
      </c>
    </row>
    <row r="246" spans="4:6" x14ac:dyDescent="0.2">
      <c r="D246" s="121">
        <v>44278</v>
      </c>
      <c r="E246" s="122">
        <v>5.31</v>
      </c>
      <c r="F246" s="131">
        <v>858776</v>
      </c>
    </row>
    <row r="247" spans="4:6" x14ac:dyDescent="0.2">
      <c r="D247" s="121">
        <v>44279</v>
      </c>
      <c r="E247" s="122">
        <v>5.33</v>
      </c>
      <c r="F247" s="131">
        <v>588202</v>
      </c>
    </row>
    <row r="248" spans="4:6" x14ac:dyDescent="0.2">
      <c r="D248" s="121">
        <v>44280</v>
      </c>
      <c r="E248" s="122">
        <v>5.34</v>
      </c>
      <c r="F248" s="131">
        <v>668284</v>
      </c>
    </row>
    <row r="249" spans="4:6" x14ac:dyDescent="0.2">
      <c r="D249" s="121">
        <v>44281</v>
      </c>
      <c r="E249" s="122">
        <v>5.35</v>
      </c>
      <c r="F249" s="131">
        <v>1145905</v>
      </c>
    </row>
    <row r="250" spans="4:6" x14ac:dyDescent="0.2">
      <c r="D250" s="121">
        <v>44284</v>
      </c>
      <c r="E250" s="122">
        <v>5.26</v>
      </c>
      <c r="F250" s="131">
        <v>634304</v>
      </c>
    </row>
    <row r="251" spans="4:6" x14ac:dyDescent="0.2">
      <c r="D251" s="121">
        <v>44285</v>
      </c>
      <c r="E251" s="122">
        <v>5.14</v>
      </c>
      <c r="F251" s="131">
        <v>820842</v>
      </c>
    </row>
    <row r="252" spans="4:6" x14ac:dyDescent="0.2">
      <c r="D252" s="121">
        <v>44286</v>
      </c>
      <c r="E252" s="122">
        <v>5.23</v>
      </c>
      <c r="F252" s="131">
        <v>1035821.0000000001</v>
      </c>
    </row>
    <row r="253" spans="4:6" x14ac:dyDescent="0.2">
      <c r="D253" s="121">
        <v>44287</v>
      </c>
      <c r="E253" s="122">
        <v>5.24</v>
      </c>
      <c r="F253" s="131">
        <v>299941</v>
      </c>
    </row>
    <row r="254" spans="4:6" x14ac:dyDescent="0.2">
      <c r="D254" s="121">
        <v>44292</v>
      </c>
      <c r="E254" s="122">
        <v>5.29</v>
      </c>
      <c r="F254" s="131">
        <v>872769</v>
      </c>
    </row>
    <row r="255" spans="4:6" x14ac:dyDescent="0.2">
      <c r="D255" s="121">
        <v>44293</v>
      </c>
      <c r="E255" s="122">
        <v>5.28</v>
      </c>
      <c r="F255" s="131">
        <v>753703</v>
      </c>
    </row>
    <row r="256" spans="4:6" x14ac:dyDescent="0.2">
      <c r="D256" s="121">
        <v>44294</v>
      </c>
      <c r="E256" s="122">
        <v>5.45</v>
      </c>
      <c r="F256" s="131">
        <v>912591</v>
      </c>
    </row>
    <row r="257" spans="4:6" x14ac:dyDescent="0.2">
      <c r="D257" s="121">
        <v>44295</v>
      </c>
      <c r="E257" s="122">
        <v>5.35</v>
      </c>
      <c r="F257" s="131">
        <v>311697</v>
      </c>
    </row>
    <row r="258" spans="4:6" x14ac:dyDescent="0.2">
      <c r="D258" s="121">
        <v>44298</v>
      </c>
      <c r="E258" s="122">
        <v>5.34</v>
      </c>
      <c r="F258" s="131">
        <v>335682</v>
      </c>
    </row>
    <row r="259" spans="4:6" x14ac:dyDescent="0.2">
      <c r="D259" s="121">
        <v>44299</v>
      </c>
      <c r="E259" s="122">
        <v>5.41</v>
      </c>
      <c r="F259" s="131">
        <v>405879</v>
      </c>
    </row>
    <row r="260" spans="4:6" x14ac:dyDescent="0.2">
      <c r="D260" s="121">
        <v>44300</v>
      </c>
      <c r="E260" s="122">
        <v>5.44</v>
      </c>
      <c r="F260" s="131">
        <v>593557</v>
      </c>
    </row>
    <row r="261" spans="4:6" x14ac:dyDescent="0.2">
      <c r="D261" s="121">
        <v>44301</v>
      </c>
      <c r="E261" s="122">
        <v>5.44</v>
      </c>
      <c r="F261" s="131">
        <v>413745</v>
      </c>
    </row>
    <row r="262" spans="4:6" x14ac:dyDescent="0.2">
      <c r="D262" s="121">
        <v>44302</v>
      </c>
      <c r="E262" s="122">
        <v>5.47</v>
      </c>
      <c r="F262" s="131">
        <v>324356</v>
      </c>
    </row>
    <row r="263" spans="4:6" x14ac:dyDescent="0.2">
      <c r="D263" s="121">
        <v>44305</v>
      </c>
      <c r="E263" s="122">
        <v>5.43</v>
      </c>
      <c r="F263" s="131">
        <v>551110</v>
      </c>
    </row>
    <row r="264" spans="4:6" x14ac:dyDescent="0.2">
      <c r="D264" s="121">
        <v>44306</v>
      </c>
      <c r="E264" s="122">
        <v>5.34</v>
      </c>
      <c r="F264" s="131">
        <v>753697</v>
      </c>
    </row>
    <row r="265" spans="4:6" x14ac:dyDescent="0.2">
      <c r="D265" s="121">
        <v>44307</v>
      </c>
      <c r="E265" s="122">
        <v>5.4</v>
      </c>
      <c r="F265" s="131">
        <v>747436</v>
      </c>
    </row>
    <row r="266" spans="4:6" x14ac:dyDescent="0.2">
      <c r="D266" s="121">
        <v>44308</v>
      </c>
      <c r="E266" s="122">
        <v>5.41</v>
      </c>
      <c r="F266" s="131">
        <v>629653</v>
      </c>
    </row>
    <row r="267" spans="4:6" x14ac:dyDescent="0.2">
      <c r="D267" s="121">
        <v>44309</v>
      </c>
      <c r="E267" s="122">
        <v>5.39</v>
      </c>
      <c r="F267" s="131">
        <v>452156</v>
      </c>
    </row>
    <row r="268" spans="4:6" x14ac:dyDescent="0.2">
      <c r="D268" s="121">
        <v>44312</v>
      </c>
      <c r="E268" s="122">
        <v>5.94</v>
      </c>
      <c r="F268" s="131">
        <v>2498252</v>
      </c>
    </row>
    <row r="269" spans="4:6" x14ac:dyDescent="0.2">
      <c r="D269" s="121">
        <v>44313</v>
      </c>
      <c r="E269" s="122">
        <v>5.95</v>
      </c>
      <c r="F269" s="131">
        <v>1126250</v>
      </c>
    </row>
    <row r="270" spans="4:6" x14ac:dyDescent="0.2">
      <c r="D270" s="121">
        <v>44314</v>
      </c>
      <c r="E270" s="122">
        <v>6.1</v>
      </c>
      <c r="F270" s="131">
        <v>855183</v>
      </c>
    </row>
    <row r="271" spans="4:6" x14ac:dyDescent="0.2">
      <c r="D271" s="121">
        <v>44315</v>
      </c>
      <c r="E271" s="122">
        <v>6.15</v>
      </c>
      <c r="F271" s="131">
        <v>832983</v>
      </c>
    </row>
    <row r="272" spans="4:6" x14ac:dyDescent="0.2">
      <c r="D272" s="121">
        <v>44316</v>
      </c>
      <c r="E272" s="122">
        <v>6.18</v>
      </c>
      <c r="F272" s="131">
        <v>611873</v>
      </c>
    </row>
    <row r="273" spans="4:6" x14ac:dyDescent="0.2">
      <c r="D273" s="121">
        <v>44319</v>
      </c>
      <c r="E273" s="122">
        <v>6.25</v>
      </c>
      <c r="F273" s="131">
        <v>757126</v>
      </c>
    </row>
    <row r="274" spans="4:6" x14ac:dyDescent="0.2">
      <c r="D274" s="121">
        <v>44320</v>
      </c>
      <c r="E274" s="122">
        <v>6.26</v>
      </c>
      <c r="F274" s="131">
        <v>1202784</v>
      </c>
    </row>
    <row r="275" spans="4:6" x14ac:dyDescent="0.2">
      <c r="D275" s="121">
        <v>44321</v>
      </c>
      <c r="E275" s="122">
        <v>6.28</v>
      </c>
      <c r="F275" s="131">
        <v>1304753</v>
      </c>
    </row>
    <row r="276" spans="4:6" x14ac:dyDescent="0.2">
      <c r="D276" s="121">
        <v>44322</v>
      </c>
      <c r="E276" s="122">
        <v>6.25</v>
      </c>
      <c r="F276" s="131">
        <v>809718</v>
      </c>
    </row>
    <row r="277" spans="4:6" x14ac:dyDescent="0.2">
      <c r="D277" s="121">
        <v>44323</v>
      </c>
      <c r="E277" s="122">
        <v>6.22</v>
      </c>
      <c r="F277" s="131">
        <v>633493</v>
      </c>
    </row>
    <row r="278" spans="4:6" x14ac:dyDescent="0.2">
      <c r="D278" s="121">
        <v>44326</v>
      </c>
      <c r="E278" s="122">
        <v>6.24</v>
      </c>
      <c r="F278" s="131">
        <v>822434</v>
      </c>
    </row>
    <row r="279" spans="4:6" x14ac:dyDescent="0.2">
      <c r="D279" s="121">
        <v>44327</v>
      </c>
      <c r="E279" s="122">
        <v>6.23</v>
      </c>
      <c r="F279" s="131">
        <v>718100</v>
      </c>
    </row>
    <row r="280" spans="4:6" x14ac:dyDescent="0.2">
      <c r="D280" s="121">
        <v>44328</v>
      </c>
      <c r="E280" s="122">
        <v>6.14</v>
      </c>
      <c r="F280" s="131">
        <v>587545</v>
      </c>
    </row>
    <row r="281" spans="4:6" x14ac:dyDescent="0.2">
      <c r="D281" s="121">
        <v>44329</v>
      </c>
      <c r="E281" s="122">
        <v>6.2</v>
      </c>
      <c r="F281" s="131">
        <v>528455</v>
      </c>
    </row>
    <row r="282" spans="4:6" x14ac:dyDescent="0.2">
      <c r="D282" s="121">
        <v>44330</v>
      </c>
      <c r="E282" s="122">
        <v>6.19</v>
      </c>
      <c r="F282" s="131">
        <v>364564</v>
      </c>
    </row>
    <row r="283" spans="4:6" x14ac:dyDescent="0.2">
      <c r="D283" s="121">
        <v>44333</v>
      </c>
      <c r="E283" s="122">
        <v>6.11</v>
      </c>
      <c r="F283" s="131">
        <v>278138</v>
      </c>
    </row>
    <row r="284" spans="4:6" x14ac:dyDescent="0.2">
      <c r="D284" s="121">
        <v>44334</v>
      </c>
      <c r="E284" s="122">
        <v>6.18</v>
      </c>
      <c r="F284" s="131">
        <v>265174</v>
      </c>
    </row>
    <row r="285" spans="4:6" x14ac:dyDescent="0.2">
      <c r="D285" s="121">
        <v>44335</v>
      </c>
      <c r="E285" s="122">
        <v>6</v>
      </c>
      <c r="F285" s="131">
        <v>844820</v>
      </c>
    </row>
    <row r="286" spans="4:6" x14ac:dyDescent="0.2">
      <c r="D286" s="121">
        <v>44336</v>
      </c>
      <c r="E286" s="122">
        <v>6.05</v>
      </c>
      <c r="F286" s="131">
        <v>846566</v>
      </c>
    </row>
    <row r="287" spans="4:6" x14ac:dyDescent="0.2">
      <c r="D287" s="121">
        <v>44337</v>
      </c>
      <c r="E287" s="122">
        <v>6.07</v>
      </c>
      <c r="F287" s="131">
        <v>1022554</v>
      </c>
    </row>
    <row r="288" spans="4:6" x14ac:dyDescent="0.2">
      <c r="D288" s="121">
        <v>44340</v>
      </c>
      <c r="E288" s="122">
        <v>6.24</v>
      </c>
      <c r="F288" s="131">
        <v>547077</v>
      </c>
    </row>
    <row r="289" spans="4:6" x14ac:dyDescent="0.2">
      <c r="D289" s="121">
        <v>44341</v>
      </c>
      <c r="E289" s="122">
        <v>6.16</v>
      </c>
      <c r="F289" s="131">
        <v>662872</v>
      </c>
    </row>
    <row r="290" spans="4:6" x14ac:dyDescent="0.2">
      <c r="D290" s="121">
        <v>44342</v>
      </c>
      <c r="E290" s="122">
        <v>6.18</v>
      </c>
      <c r="F290" s="131">
        <v>545950</v>
      </c>
    </row>
    <row r="291" spans="4:6" x14ac:dyDescent="0.2">
      <c r="D291" s="121">
        <v>44343</v>
      </c>
      <c r="E291" s="122">
        <v>6.09</v>
      </c>
      <c r="F291" s="131">
        <v>1035167</v>
      </c>
    </row>
    <row r="292" spans="4:6" x14ac:dyDescent="0.2">
      <c r="D292" s="121">
        <v>44344</v>
      </c>
      <c r="E292" s="122">
        <v>6.3</v>
      </c>
      <c r="F292" s="131">
        <v>1034813.9999999999</v>
      </c>
    </row>
    <row r="293" spans="4:6" x14ac:dyDescent="0.2">
      <c r="D293" s="121">
        <v>44347</v>
      </c>
      <c r="E293" s="122">
        <v>6.29</v>
      </c>
      <c r="F293" s="131">
        <v>633752</v>
      </c>
    </row>
    <row r="294" spans="4:6" x14ac:dyDescent="0.2">
      <c r="D294" s="121">
        <v>44348</v>
      </c>
      <c r="E294" s="122">
        <v>6.23</v>
      </c>
      <c r="F294" s="131">
        <v>407839</v>
      </c>
    </row>
    <row r="295" spans="4:6" x14ac:dyDescent="0.2">
      <c r="D295" s="121">
        <v>44349</v>
      </c>
      <c r="E295" s="122">
        <v>6.32</v>
      </c>
      <c r="F295" s="131">
        <v>822115</v>
      </c>
    </row>
    <row r="296" spans="4:6" x14ac:dyDescent="0.2">
      <c r="D296" s="121">
        <v>44350</v>
      </c>
      <c r="E296" s="122">
        <v>6.46</v>
      </c>
      <c r="F296" s="131">
        <v>671017</v>
      </c>
    </row>
    <row r="297" spans="4:6" x14ac:dyDescent="0.2">
      <c r="D297" s="121">
        <v>44351</v>
      </c>
      <c r="E297" s="122">
        <v>6.41</v>
      </c>
      <c r="F297" s="131">
        <v>896439</v>
      </c>
    </row>
    <row r="298" spans="4:6" x14ac:dyDescent="0.2">
      <c r="D298" s="121">
        <v>44354</v>
      </c>
      <c r="E298" s="122">
        <v>6.32</v>
      </c>
      <c r="F298" s="131">
        <v>313669</v>
      </c>
    </row>
    <row r="299" spans="4:6" x14ac:dyDescent="0.2">
      <c r="D299" s="121">
        <v>44355</v>
      </c>
      <c r="E299" s="122">
        <v>6.19</v>
      </c>
      <c r="F299" s="131">
        <v>556039</v>
      </c>
    </row>
    <row r="300" spans="4:6" x14ac:dyDescent="0.2">
      <c r="D300" s="121">
        <v>44356</v>
      </c>
      <c r="E300" s="122">
        <v>6.23</v>
      </c>
      <c r="F300" s="131">
        <v>486342</v>
      </c>
    </row>
    <row r="301" spans="4:6" x14ac:dyDescent="0.2">
      <c r="D301" s="121">
        <v>44357</v>
      </c>
      <c r="E301" s="122">
        <v>6.28</v>
      </c>
      <c r="F301" s="131">
        <v>682584</v>
      </c>
    </row>
    <row r="302" spans="4:6" x14ac:dyDescent="0.2">
      <c r="D302" s="121">
        <v>44358</v>
      </c>
      <c r="E302" s="122">
        <v>6.22</v>
      </c>
      <c r="F302" s="131">
        <v>404604</v>
      </c>
    </row>
    <row r="303" spans="4:6" x14ac:dyDescent="0.2">
      <c r="D303" s="121">
        <v>44362</v>
      </c>
      <c r="E303" s="122">
        <v>6.41</v>
      </c>
      <c r="F303" s="131">
        <v>802218</v>
      </c>
    </row>
    <row r="304" spans="4:6" x14ac:dyDescent="0.2">
      <c r="D304" s="121">
        <v>44363</v>
      </c>
      <c r="E304" s="122">
        <v>6.35</v>
      </c>
      <c r="F304" s="131">
        <v>960205</v>
      </c>
    </row>
    <row r="305" spans="4:6" x14ac:dyDescent="0.2">
      <c r="D305" s="121">
        <v>44364</v>
      </c>
      <c r="E305" s="122">
        <v>6.41</v>
      </c>
      <c r="F305" s="131">
        <v>840139</v>
      </c>
    </row>
    <row r="306" spans="4:6" x14ac:dyDescent="0.2">
      <c r="D306" s="121">
        <v>44365</v>
      </c>
      <c r="E306" s="122">
        <v>6.33</v>
      </c>
      <c r="F306" s="131">
        <v>1014547.0000000001</v>
      </c>
    </row>
    <row r="307" spans="4:6" x14ac:dyDescent="0.2">
      <c r="D307" s="121">
        <v>44368</v>
      </c>
      <c r="E307" s="122">
        <v>6.13</v>
      </c>
      <c r="F307" s="131">
        <v>442641</v>
      </c>
    </row>
    <row r="308" spans="4:6" x14ac:dyDescent="0.2">
      <c r="D308" s="121">
        <v>44369</v>
      </c>
      <c r="E308" s="122">
        <v>6.29</v>
      </c>
      <c r="F308" s="131">
        <v>812483</v>
      </c>
    </row>
    <row r="309" spans="4:6" x14ac:dyDescent="0.2">
      <c r="D309" s="121">
        <v>44370</v>
      </c>
      <c r="E309" s="122">
        <v>6.27</v>
      </c>
      <c r="F309" s="131">
        <v>367586</v>
      </c>
    </row>
    <row r="310" spans="4:6" x14ac:dyDescent="0.2">
      <c r="D310" s="121">
        <v>44371</v>
      </c>
      <c r="E310" s="122">
        <v>6.35</v>
      </c>
      <c r="F310" s="131">
        <v>688293</v>
      </c>
    </row>
    <row r="311" spans="4:6" x14ac:dyDescent="0.2">
      <c r="D311" s="121">
        <v>44372</v>
      </c>
      <c r="E311" s="122">
        <v>6.39</v>
      </c>
      <c r="F311" s="131">
        <v>342252</v>
      </c>
    </row>
    <row r="312" spans="4:6" x14ac:dyDescent="0.2">
      <c r="D312" s="121">
        <v>44375</v>
      </c>
      <c r="E312" s="122">
        <v>6.37</v>
      </c>
      <c r="F312" s="131">
        <v>342027</v>
      </c>
    </row>
    <row r="313" spans="4:6" x14ac:dyDescent="0.2">
      <c r="D313" s="121">
        <v>44376</v>
      </c>
      <c r="E313" s="122">
        <v>6.37</v>
      </c>
      <c r="F313" s="131">
        <v>381551</v>
      </c>
    </row>
    <row r="314" spans="4:6" x14ac:dyDescent="0.2">
      <c r="D314" s="121">
        <v>44377</v>
      </c>
      <c r="E314" s="122">
        <v>6.51</v>
      </c>
      <c r="F314" s="131">
        <v>706742</v>
      </c>
    </row>
    <row r="315" spans="4:6" x14ac:dyDescent="0.2">
      <c r="D315" s="121">
        <v>44378</v>
      </c>
      <c r="E315" s="122">
        <v>6.45</v>
      </c>
      <c r="F315" s="131">
        <v>745048</v>
      </c>
    </row>
    <row r="316" spans="4:6" x14ac:dyDescent="0.2">
      <c r="D316" s="121">
        <v>44379</v>
      </c>
      <c r="E316" s="122">
        <v>6.5</v>
      </c>
      <c r="F316" s="131">
        <v>501507.99999999994</v>
      </c>
    </row>
    <row r="317" spans="4:6" x14ac:dyDescent="0.2">
      <c r="D317" s="121">
        <v>44382</v>
      </c>
      <c r="E317" s="122">
        <v>6.59</v>
      </c>
      <c r="F317" s="131">
        <v>599362</v>
      </c>
    </row>
    <row r="318" spans="4:6" x14ac:dyDescent="0.2">
      <c r="D318" s="121">
        <v>44383</v>
      </c>
      <c r="E318" s="122">
        <v>6.46</v>
      </c>
      <c r="F318" s="131">
        <v>487272</v>
      </c>
    </row>
    <row r="319" spans="4:6" x14ac:dyDescent="0.2">
      <c r="D319" s="121">
        <v>44384</v>
      </c>
      <c r="E319" s="122">
        <v>6.54</v>
      </c>
      <c r="F319" s="131">
        <v>318554</v>
      </c>
    </row>
    <row r="320" spans="4:6" x14ac:dyDescent="0.2">
      <c r="D320" s="121">
        <v>44385</v>
      </c>
      <c r="E320" s="122">
        <v>6.54</v>
      </c>
      <c r="F320" s="131">
        <v>809130</v>
      </c>
    </row>
    <row r="321" spans="4:6" x14ac:dyDescent="0.2">
      <c r="D321" s="121">
        <v>44386</v>
      </c>
      <c r="E321" s="122">
        <v>6.41</v>
      </c>
      <c r="F321" s="131">
        <v>389041</v>
      </c>
    </row>
    <row r="322" spans="4:6" x14ac:dyDescent="0.2">
      <c r="D322" s="121">
        <v>44389</v>
      </c>
      <c r="E322" s="122">
        <v>6.37</v>
      </c>
      <c r="F322" s="131">
        <v>311950</v>
      </c>
    </row>
    <row r="323" spans="4:6" x14ac:dyDescent="0.2">
      <c r="D323" s="121">
        <v>44390</v>
      </c>
      <c r="E323" s="122">
        <v>6.42</v>
      </c>
      <c r="F323" s="131">
        <v>383682</v>
      </c>
    </row>
    <row r="324" spans="4:6" x14ac:dyDescent="0.2">
      <c r="D324" s="121">
        <v>44391</v>
      </c>
      <c r="E324" s="122">
        <v>6.5</v>
      </c>
      <c r="F324" s="131">
        <v>314496</v>
      </c>
    </row>
    <row r="325" spans="4:6" x14ac:dyDescent="0.2">
      <c r="D325" s="121">
        <v>44392</v>
      </c>
      <c r="E325" s="122">
        <v>6.5</v>
      </c>
      <c r="F325" s="131">
        <v>422525</v>
      </c>
    </row>
    <row r="326" spans="4:6" x14ac:dyDescent="0.2">
      <c r="D326" s="121">
        <v>44393</v>
      </c>
      <c r="E326" s="122">
        <v>6.57</v>
      </c>
      <c r="F326" s="131">
        <v>868656</v>
      </c>
    </row>
    <row r="327" spans="4:6" x14ac:dyDescent="0.2">
      <c r="D327" s="121">
        <v>44396</v>
      </c>
      <c r="E327" s="122">
        <v>6.58</v>
      </c>
      <c r="F327" s="131">
        <v>415894</v>
      </c>
    </row>
    <row r="328" spans="4:6" x14ac:dyDescent="0.2">
      <c r="D328" s="121">
        <v>44397</v>
      </c>
      <c r="E328" s="122">
        <v>6.79</v>
      </c>
      <c r="F328" s="131">
        <v>2254292</v>
      </c>
    </row>
    <row r="329" spans="4:6" x14ac:dyDescent="0.2">
      <c r="D329" s="121">
        <v>44398</v>
      </c>
      <c r="E329" s="122">
        <v>7</v>
      </c>
      <c r="F329" s="131">
        <v>2604227</v>
      </c>
    </row>
    <row r="330" spans="4:6" x14ac:dyDescent="0.2">
      <c r="D330" s="121">
        <v>44399</v>
      </c>
      <c r="E330" s="122">
        <v>7.15</v>
      </c>
      <c r="F330" s="131">
        <v>913743</v>
      </c>
    </row>
    <row r="331" spans="4:6" x14ac:dyDescent="0.2">
      <c r="D331" s="121">
        <v>44400</v>
      </c>
      <c r="E331" s="122">
        <v>7.15</v>
      </c>
      <c r="F331" s="131">
        <v>1060278</v>
      </c>
    </row>
    <row r="332" spans="4:6" x14ac:dyDescent="0.2">
      <c r="D332" s="121">
        <v>44403</v>
      </c>
      <c r="E332" s="122">
        <v>7.24</v>
      </c>
      <c r="F332" s="131">
        <v>513870.00000000006</v>
      </c>
    </row>
    <row r="333" spans="4:6" x14ac:dyDescent="0.2">
      <c r="D333" s="121">
        <v>44404</v>
      </c>
      <c r="E333" s="122">
        <v>7.22</v>
      </c>
      <c r="F333" s="131">
        <v>379200</v>
      </c>
    </row>
    <row r="334" spans="4:6" x14ac:dyDescent="0.2">
      <c r="D334" s="121">
        <v>44405</v>
      </c>
      <c r="E334" s="122">
        <v>7.14</v>
      </c>
      <c r="F334" s="131">
        <v>534135</v>
      </c>
    </row>
    <row r="335" spans="4:6" x14ac:dyDescent="0.2">
      <c r="D335" s="121">
        <v>44406</v>
      </c>
      <c r="E335" s="122">
        <v>7.07</v>
      </c>
      <c r="F335" s="131">
        <v>1886047</v>
      </c>
    </row>
    <row r="336" spans="4:6" x14ac:dyDescent="0.2">
      <c r="D336" s="121">
        <v>44407</v>
      </c>
      <c r="E336" s="122">
        <v>7.14</v>
      </c>
      <c r="F336" s="131">
        <v>411379</v>
      </c>
    </row>
    <row r="337" spans="4:6" x14ac:dyDescent="0.2">
      <c r="D337" s="121">
        <v>44410</v>
      </c>
      <c r="E337" s="122">
        <v>7.18</v>
      </c>
      <c r="F337" s="131">
        <v>303149</v>
      </c>
    </row>
    <row r="338" spans="4:6" x14ac:dyDescent="0.2">
      <c r="D338" s="121">
        <v>44411</v>
      </c>
      <c r="E338" s="122">
        <v>7.16</v>
      </c>
      <c r="F338" s="131">
        <v>415448</v>
      </c>
    </row>
    <row r="339" spans="4:6" x14ac:dyDescent="0.2">
      <c r="D339" s="121">
        <v>44412</v>
      </c>
      <c r="E339" s="122">
        <v>7.21</v>
      </c>
      <c r="F339" s="131">
        <v>855087</v>
      </c>
    </row>
    <row r="340" spans="4:6" x14ac:dyDescent="0.2">
      <c r="D340" s="121">
        <v>44413</v>
      </c>
      <c r="E340" s="122">
        <v>7.43</v>
      </c>
      <c r="F340" s="131">
        <v>627352</v>
      </c>
    </row>
    <row r="341" spans="4:6" x14ac:dyDescent="0.2">
      <c r="D341" s="121">
        <v>44414</v>
      </c>
      <c r="E341" s="122">
        <v>7.52</v>
      </c>
      <c r="F341" s="131">
        <v>1323216</v>
      </c>
    </row>
    <row r="342" spans="4:6" x14ac:dyDescent="0.2">
      <c r="D342" s="121">
        <v>44417</v>
      </c>
      <c r="E342" s="122">
        <v>7.62</v>
      </c>
      <c r="F342" s="131">
        <v>613810</v>
      </c>
    </row>
    <row r="343" spans="4:6" x14ac:dyDescent="0.2">
      <c r="D343" s="121">
        <v>44418</v>
      </c>
      <c r="E343" s="122">
        <v>7.7</v>
      </c>
      <c r="F343" s="131">
        <v>1172023</v>
      </c>
    </row>
    <row r="344" spans="4:6" x14ac:dyDescent="0.2">
      <c r="D344" s="121">
        <v>44419</v>
      </c>
      <c r="E344" s="122">
        <v>7.73</v>
      </c>
      <c r="F344" s="131">
        <v>1191665</v>
      </c>
    </row>
    <row r="345" spans="4:6" x14ac:dyDescent="0.2">
      <c r="D345" s="121">
        <v>44420</v>
      </c>
      <c r="E345" s="122">
        <v>7.69</v>
      </c>
      <c r="F345" s="131">
        <v>567127</v>
      </c>
    </row>
    <row r="346" spans="4:6" x14ac:dyDescent="0.2">
      <c r="D346" s="121">
        <v>44421</v>
      </c>
      <c r="E346" s="122">
        <v>7.71</v>
      </c>
      <c r="F346" s="131">
        <v>662142</v>
      </c>
    </row>
    <row r="347" spans="4:6" x14ac:dyDescent="0.2">
      <c r="D347" s="121">
        <v>44424</v>
      </c>
      <c r="E347" s="122">
        <v>7.67</v>
      </c>
      <c r="F347" s="131">
        <v>490763</v>
      </c>
    </row>
    <row r="348" spans="4:6" x14ac:dyDescent="0.2">
      <c r="D348" s="121">
        <v>44425</v>
      </c>
      <c r="E348" s="122">
        <v>7.67</v>
      </c>
      <c r="F348" s="131">
        <v>676933</v>
      </c>
    </row>
    <row r="349" spans="4:6" x14ac:dyDescent="0.2">
      <c r="D349" s="121">
        <v>44426</v>
      </c>
      <c r="E349" s="122">
        <v>7.61</v>
      </c>
      <c r="F349" s="131">
        <v>720211</v>
      </c>
    </row>
    <row r="350" spans="4:6" x14ac:dyDescent="0.2">
      <c r="D350" s="121">
        <v>44427</v>
      </c>
      <c r="E350" s="122">
        <v>7.89</v>
      </c>
      <c r="F350" s="131">
        <v>1021497.0000000001</v>
      </c>
    </row>
    <row r="351" spans="4:6" x14ac:dyDescent="0.2">
      <c r="D351" s="121">
        <v>44428</v>
      </c>
      <c r="E351" s="122">
        <v>7.98</v>
      </c>
      <c r="F351" s="131">
        <v>741713</v>
      </c>
    </row>
    <row r="352" spans="4:6" x14ac:dyDescent="0.2">
      <c r="D352" s="121">
        <v>44431</v>
      </c>
      <c r="E352" s="122">
        <v>7.1</v>
      </c>
      <c r="F352" s="131">
        <v>2936945</v>
      </c>
    </row>
    <row r="353" spans="4:6" x14ac:dyDescent="0.2">
      <c r="D353" s="121">
        <v>44432</v>
      </c>
      <c r="E353" s="122">
        <v>6.59</v>
      </c>
      <c r="F353" s="131">
        <v>4031810</v>
      </c>
    </row>
    <row r="354" spans="4:6" x14ac:dyDescent="0.2">
      <c r="D354" s="121">
        <v>44433</v>
      </c>
      <c r="E354" s="122">
        <v>6.6</v>
      </c>
      <c r="F354" s="131">
        <v>3154730</v>
      </c>
    </row>
    <row r="355" spans="4:6" x14ac:dyDescent="0.2">
      <c r="D355" s="121">
        <v>44434</v>
      </c>
      <c r="E355" s="122">
        <v>6.68</v>
      </c>
      <c r="F355" s="131">
        <v>1516395</v>
      </c>
    </row>
    <row r="356" spans="4:6" x14ac:dyDescent="0.2">
      <c r="D356" s="121">
        <v>44435</v>
      </c>
      <c r="E356" s="122">
        <v>6.65</v>
      </c>
      <c r="F356" s="131">
        <v>721213</v>
      </c>
    </row>
    <row r="357" spans="4:6" x14ac:dyDescent="0.2">
      <c r="D357" s="121">
        <v>44438</v>
      </c>
      <c r="E357" s="122">
        <v>6.74</v>
      </c>
      <c r="F357" s="131">
        <v>1100654</v>
      </c>
    </row>
    <row r="358" spans="4:6" x14ac:dyDescent="0.2">
      <c r="D358" s="121">
        <v>44439</v>
      </c>
      <c r="E358" s="122">
        <v>6.77</v>
      </c>
      <c r="F358" s="131">
        <v>740560</v>
      </c>
    </row>
    <row r="359" spans="4:6" x14ac:dyDescent="0.2">
      <c r="D359" s="121">
        <v>44440</v>
      </c>
      <c r="E359" s="122">
        <v>6.78</v>
      </c>
      <c r="F359" s="131">
        <v>387951</v>
      </c>
    </row>
    <row r="360" spans="4:6" x14ac:dyDescent="0.2">
      <c r="D360" s="121">
        <v>44441</v>
      </c>
      <c r="E360" s="122">
        <v>6.59</v>
      </c>
      <c r="F360" s="131">
        <v>822547</v>
      </c>
    </row>
    <row r="361" spans="4:6" x14ac:dyDescent="0.2">
      <c r="D361" s="121">
        <v>44442</v>
      </c>
      <c r="E361" s="122">
        <v>6.7</v>
      </c>
      <c r="F361" s="131">
        <v>358066</v>
      </c>
    </row>
    <row r="362" spans="4:6" x14ac:dyDescent="0.2">
      <c r="D362" s="121">
        <v>44445</v>
      </c>
      <c r="E362" s="122">
        <v>6.7</v>
      </c>
      <c r="F362" s="131">
        <v>663772</v>
      </c>
    </row>
    <row r="363" spans="4:6" x14ac:dyDescent="0.2">
      <c r="D363" s="121">
        <v>44446</v>
      </c>
      <c r="E363" s="122">
        <v>6.74</v>
      </c>
      <c r="F363" s="131">
        <v>463173</v>
      </c>
    </row>
    <row r="364" spans="4:6" x14ac:dyDescent="0.2">
      <c r="D364" s="121">
        <v>44447</v>
      </c>
      <c r="E364" s="122">
        <v>6.76</v>
      </c>
      <c r="F364" s="131">
        <v>524540</v>
      </c>
    </row>
    <row r="365" spans="4:6" x14ac:dyDescent="0.2">
      <c r="D365" s="121">
        <v>44448</v>
      </c>
      <c r="E365" s="122">
        <v>6.58</v>
      </c>
      <c r="F365" s="131">
        <v>763621</v>
      </c>
    </row>
    <row r="366" spans="4:6" x14ac:dyDescent="0.2">
      <c r="D366" s="121">
        <v>44449</v>
      </c>
      <c r="E366" s="122">
        <v>6.56</v>
      </c>
      <c r="F366" s="131">
        <v>916233</v>
      </c>
    </row>
    <row r="367" spans="4:6" x14ac:dyDescent="0.2">
      <c r="D367" s="121">
        <v>44452</v>
      </c>
      <c r="E367" s="122">
        <v>6.59</v>
      </c>
      <c r="F367" s="131">
        <v>545555</v>
      </c>
    </row>
    <row r="368" spans="4:6" x14ac:dyDescent="0.2">
      <c r="D368" s="121">
        <v>44453</v>
      </c>
      <c r="E368" s="122">
        <v>6.65</v>
      </c>
      <c r="F368" s="131">
        <v>1337365</v>
      </c>
    </row>
    <row r="369" spans="4:6" x14ac:dyDescent="0.2">
      <c r="D369" s="121">
        <v>44454</v>
      </c>
      <c r="E369" s="122">
        <v>6.74</v>
      </c>
      <c r="F369" s="131">
        <v>751938</v>
      </c>
    </row>
    <row r="370" spans="4:6" x14ac:dyDescent="0.2">
      <c r="D370" s="121">
        <v>44455</v>
      </c>
      <c r="E370" s="122">
        <v>6.78</v>
      </c>
      <c r="F370" s="131">
        <v>843488</v>
      </c>
    </row>
    <row r="371" spans="4:6" x14ac:dyDescent="0.2">
      <c r="D371" s="121">
        <v>44456</v>
      </c>
      <c r="E371" s="122">
        <v>6.78</v>
      </c>
      <c r="F371" s="131">
        <v>1101775</v>
      </c>
    </row>
    <row r="372" spans="4:6" x14ac:dyDescent="0.2">
      <c r="D372" s="121">
        <v>44459</v>
      </c>
      <c r="E372" s="122">
        <v>6.76</v>
      </c>
      <c r="F372" s="131">
        <v>639036</v>
      </c>
    </row>
    <row r="373" spans="4:6" x14ac:dyDescent="0.2">
      <c r="D373" s="121">
        <v>44460</v>
      </c>
      <c r="E373" s="122">
        <v>6.85</v>
      </c>
      <c r="F373" s="131">
        <v>689865</v>
      </c>
    </row>
    <row r="374" spans="4:6" x14ac:dyDescent="0.2">
      <c r="D374" s="121">
        <v>44461</v>
      </c>
      <c r="E374" s="122">
        <v>6.72</v>
      </c>
      <c r="F374" s="131">
        <v>572685</v>
      </c>
    </row>
    <row r="375" spans="4:6" x14ac:dyDescent="0.2">
      <c r="D375" s="121">
        <v>44462</v>
      </c>
      <c r="E375" s="122">
        <v>6.86</v>
      </c>
      <c r="F375" s="131">
        <v>497139</v>
      </c>
    </row>
    <row r="376" spans="4:6" x14ac:dyDescent="0.2">
      <c r="D376" s="121">
        <v>44463</v>
      </c>
      <c r="E376" s="122">
        <v>6.8</v>
      </c>
      <c r="F376" s="131">
        <v>370690</v>
      </c>
    </row>
    <row r="377" spans="4:6" x14ac:dyDescent="0.2">
      <c r="D377" s="121">
        <v>44466</v>
      </c>
      <c r="E377" s="122">
        <v>6.87</v>
      </c>
      <c r="F377" s="131">
        <v>265111</v>
      </c>
    </row>
    <row r="378" spans="4:6" x14ac:dyDescent="0.2">
      <c r="D378" s="121">
        <v>44467</v>
      </c>
      <c r="E378" s="122">
        <v>6.87</v>
      </c>
      <c r="F378" s="131">
        <v>359384</v>
      </c>
    </row>
    <row r="379" spans="4:6" x14ac:dyDescent="0.2">
      <c r="D379" s="121">
        <v>44468</v>
      </c>
      <c r="E379" s="122">
        <v>6.76</v>
      </c>
      <c r="F379" s="131">
        <v>618378</v>
      </c>
    </row>
    <row r="380" spans="4:6" x14ac:dyDescent="0.2">
      <c r="D380" s="121">
        <v>44469</v>
      </c>
      <c r="E380" s="122">
        <v>6.97</v>
      </c>
      <c r="F380" s="131">
        <v>864853</v>
      </c>
    </row>
    <row r="381" spans="4:6" x14ac:dyDescent="0.2">
      <c r="D381" s="121">
        <v>44470</v>
      </c>
      <c r="E381" s="122">
        <v>6.95</v>
      </c>
      <c r="F381" s="131">
        <v>745703</v>
      </c>
    </row>
    <row r="382" spans="4:6" x14ac:dyDescent="0.2">
      <c r="D382" s="121">
        <v>44473</v>
      </c>
      <c r="E382" s="122">
        <v>6.94</v>
      </c>
      <c r="F382" s="131">
        <v>256722.99999999997</v>
      </c>
    </row>
    <row r="383" spans="4:6" x14ac:dyDescent="0.2">
      <c r="D383" s="121">
        <v>44474</v>
      </c>
      <c r="E383" s="122">
        <v>6.9</v>
      </c>
      <c r="F383" s="131">
        <v>232604</v>
      </c>
    </row>
    <row r="384" spans="4:6" x14ac:dyDescent="0.2">
      <c r="D384" s="121">
        <v>44475</v>
      </c>
      <c r="E384" s="122">
        <v>6.99</v>
      </c>
      <c r="F384" s="131">
        <v>701194</v>
      </c>
    </row>
    <row r="385" spans="4:6" x14ac:dyDescent="0.2">
      <c r="D385" s="121">
        <v>44476</v>
      </c>
      <c r="E385" s="122">
        <v>7.02</v>
      </c>
      <c r="F385" s="131">
        <v>343929</v>
      </c>
    </row>
    <row r="386" spans="4:6" x14ac:dyDescent="0.2">
      <c r="D386" s="121">
        <v>44477</v>
      </c>
      <c r="E386" s="122">
        <v>7.06</v>
      </c>
      <c r="F386" s="131">
        <v>500820.99999999994</v>
      </c>
    </row>
    <row r="387" spans="4:6" x14ac:dyDescent="0.2">
      <c r="D387" s="121">
        <v>44480</v>
      </c>
      <c r="E387" s="122">
        <v>6.92</v>
      </c>
      <c r="F387" s="131">
        <v>415803</v>
      </c>
    </row>
    <row r="388" spans="4:6" x14ac:dyDescent="0.2">
      <c r="D388" s="121">
        <v>44481</v>
      </c>
      <c r="E388" s="122">
        <v>6.82</v>
      </c>
      <c r="F388" s="131">
        <v>505106.00000000006</v>
      </c>
    </row>
    <row r="389" spans="4:6" x14ac:dyDescent="0.2">
      <c r="D389" s="121">
        <v>44482</v>
      </c>
      <c r="E389" s="122">
        <v>6.93</v>
      </c>
      <c r="F389" s="131">
        <v>394848</v>
      </c>
    </row>
    <row r="390" spans="4:6" x14ac:dyDescent="0.2">
      <c r="D390" s="121">
        <v>44483</v>
      </c>
      <c r="E390" s="122">
        <v>6.86</v>
      </c>
      <c r="F390" s="131">
        <v>519880</v>
      </c>
    </row>
    <row r="391" spans="4:6" x14ac:dyDescent="0.2">
      <c r="D391" s="121">
        <v>44484</v>
      </c>
      <c r="E391" s="122">
        <v>6.84</v>
      </c>
      <c r="F391" s="131">
        <v>380474</v>
      </c>
    </row>
    <row r="392" spans="4:6" x14ac:dyDescent="0.2">
      <c r="D392" s="121">
        <v>44487</v>
      </c>
      <c r="E392" s="122">
        <v>6.88</v>
      </c>
      <c r="F392" s="131">
        <v>386513</v>
      </c>
    </row>
    <row r="393" spans="4:6" x14ac:dyDescent="0.2">
      <c r="D393" s="121">
        <v>44488</v>
      </c>
      <c r="E393" s="122">
        <v>6.86</v>
      </c>
      <c r="F393" s="131">
        <v>454012</v>
      </c>
    </row>
    <row r="394" spans="4:6" x14ac:dyDescent="0.2">
      <c r="D394" s="121">
        <v>44489</v>
      </c>
      <c r="E394" s="122">
        <v>6.8</v>
      </c>
      <c r="F394" s="131">
        <v>753821</v>
      </c>
    </row>
    <row r="395" spans="4:6" x14ac:dyDescent="0.2">
      <c r="D395" s="121">
        <v>44490</v>
      </c>
      <c r="E395" s="122">
        <v>6.91</v>
      </c>
      <c r="F395" s="131">
        <v>816748</v>
      </c>
    </row>
    <row r="396" spans="4:6" x14ac:dyDescent="0.2">
      <c r="D396" s="121">
        <v>44491</v>
      </c>
      <c r="E396" s="122">
        <v>6.89</v>
      </c>
      <c r="F396" s="131">
        <v>409618</v>
      </c>
    </row>
    <row r="397" spans="4:6" x14ac:dyDescent="0.2">
      <c r="D397" s="121">
        <v>44494</v>
      </c>
      <c r="E397" s="122">
        <v>6.82</v>
      </c>
      <c r="F397" s="131">
        <v>311585</v>
      </c>
    </row>
    <row r="398" spans="4:6" x14ac:dyDescent="0.2">
      <c r="D398" s="121">
        <v>44495</v>
      </c>
      <c r="E398" s="122">
        <v>6.66</v>
      </c>
      <c r="F398" s="131">
        <v>593327</v>
      </c>
    </row>
    <row r="399" spans="4:6" x14ac:dyDescent="0.2">
      <c r="D399" s="121">
        <v>44496</v>
      </c>
      <c r="E399" s="122">
        <v>6.74</v>
      </c>
      <c r="F399" s="131">
        <v>520649.99999999994</v>
      </c>
    </row>
    <row r="400" spans="4:6" x14ac:dyDescent="0.2">
      <c r="D400" s="121">
        <v>44497</v>
      </c>
      <c r="E400" s="122">
        <v>6.69</v>
      </c>
      <c r="F400" s="131">
        <v>773135</v>
      </c>
    </row>
    <row r="401" spans="4:6" x14ac:dyDescent="0.2">
      <c r="D401" s="121">
        <v>44498</v>
      </c>
      <c r="E401" s="122">
        <v>6.62</v>
      </c>
      <c r="F401" s="131">
        <v>453859</v>
      </c>
    </row>
    <row r="402" spans="4:6" x14ac:dyDescent="0.2">
      <c r="D402" s="121">
        <v>44501</v>
      </c>
      <c r="E402" s="122">
        <v>6.68</v>
      </c>
      <c r="F402" s="131">
        <v>669760</v>
      </c>
    </row>
    <row r="403" spans="4:6" x14ac:dyDescent="0.2">
      <c r="D403" s="121">
        <v>44502</v>
      </c>
      <c r="E403" s="122">
        <v>6.72</v>
      </c>
      <c r="F403" s="131">
        <v>436694</v>
      </c>
    </row>
    <row r="404" spans="4:6" x14ac:dyDescent="0.2">
      <c r="D404" s="121">
        <v>44503</v>
      </c>
      <c r="E404" s="122">
        <v>6.75</v>
      </c>
      <c r="F404" s="131">
        <v>600008</v>
      </c>
    </row>
    <row r="405" spans="4:6" x14ac:dyDescent="0.2">
      <c r="D405" s="121">
        <v>44504</v>
      </c>
      <c r="E405" s="122">
        <v>7.14</v>
      </c>
      <c r="F405" s="131">
        <v>2272257</v>
      </c>
    </row>
    <row r="406" spans="4:6" x14ac:dyDescent="0.2">
      <c r="D406" s="121">
        <v>44505</v>
      </c>
      <c r="E406" s="122">
        <v>7.3</v>
      </c>
      <c r="F406" s="131">
        <v>1068900</v>
      </c>
    </row>
    <row r="407" spans="4:6" x14ac:dyDescent="0.2">
      <c r="D407" s="121">
        <v>44508</v>
      </c>
      <c r="E407" s="122">
        <v>7.3</v>
      </c>
      <c r="F407" s="131">
        <v>567847</v>
      </c>
    </row>
    <row r="408" spans="4:6" x14ac:dyDescent="0.2">
      <c r="D408" s="121">
        <v>44509</v>
      </c>
      <c r="E408" s="122">
        <v>7.29</v>
      </c>
      <c r="F408" s="131">
        <v>506703</v>
      </c>
    </row>
    <row r="409" spans="4:6" x14ac:dyDescent="0.2">
      <c r="D409" s="121">
        <v>44510</v>
      </c>
      <c r="E409" s="122">
        <v>7.27</v>
      </c>
      <c r="F409" s="131">
        <v>573489</v>
      </c>
    </row>
    <row r="410" spans="4:6" x14ac:dyDescent="0.2">
      <c r="D410" s="121">
        <v>44511</v>
      </c>
      <c r="E410" s="122">
        <v>7.25</v>
      </c>
      <c r="F410" s="131">
        <v>519335</v>
      </c>
    </row>
    <row r="411" spans="4:6" x14ac:dyDescent="0.2">
      <c r="D411" s="121">
        <v>44512</v>
      </c>
      <c r="E411" s="122">
        <v>7.15</v>
      </c>
      <c r="F411" s="131">
        <v>253386.99999999997</v>
      </c>
    </row>
    <row r="412" spans="4:6" x14ac:dyDescent="0.2">
      <c r="D412" s="121">
        <v>44515</v>
      </c>
      <c r="E412" s="122">
        <v>7.18</v>
      </c>
      <c r="F412" s="131">
        <v>353539</v>
      </c>
    </row>
    <row r="413" spans="4:6" x14ac:dyDescent="0.2">
      <c r="D413" s="121">
        <v>44516</v>
      </c>
      <c r="E413" s="122">
        <v>7.01</v>
      </c>
      <c r="F413" s="131">
        <v>456844</v>
      </c>
    </row>
    <row r="414" spans="4:6" x14ac:dyDescent="0.2">
      <c r="D414" s="121">
        <v>44517</v>
      </c>
      <c r="E414" s="122">
        <v>7.04</v>
      </c>
      <c r="F414" s="131">
        <v>460828</v>
      </c>
    </row>
    <row r="415" spans="4:6" x14ac:dyDescent="0.2">
      <c r="D415" s="121">
        <v>44518</v>
      </c>
      <c r="E415" s="122">
        <v>7.09</v>
      </c>
      <c r="F415" s="131">
        <v>399110</v>
      </c>
    </row>
    <row r="416" spans="4:6" x14ac:dyDescent="0.2">
      <c r="D416" s="121">
        <v>44519</v>
      </c>
      <c r="E416" s="122">
        <v>7.1</v>
      </c>
      <c r="F416" s="131">
        <v>239024</v>
      </c>
    </row>
    <row r="417" spans="4:6" x14ac:dyDescent="0.2">
      <c r="D417" s="121">
        <v>44522</v>
      </c>
      <c r="E417" s="122">
        <v>7.09</v>
      </c>
      <c r="F417" s="131">
        <v>357330</v>
      </c>
    </row>
    <row r="418" spans="4:6" x14ac:dyDescent="0.2">
      <c r="D418" s="121">
        <v>44523</v>
      </c>
      <c r="E418" s="122">
        <v>7.05</v>
      </c>
      <c r="F418" s="131">
        <v>402451</v>
      </c>
    </row>
    <row r="419" spans="4:6" x14ac:dyDescent="0.2">
      <c r="D419" s="121">
        <v>44524</v>
      </c>
      <c r="E419" s="122">
        <v>7</v>
      </c>
      <c r="F419" s="131">
        <v>333613</v>
      </c>
    </row>
    <row r="420" spans="4:6" x14ac:dyDescent="0.2">
      <c r="D420" s="121">
        <v>44525</v>
      </c>
      <c r="E420" s="122">
        <v>7.02</v>
      </c>
      <c r="F420" s="131">
        <v>304181</v>
      </c>
    </row>
    <row r="421" spans="4:6" x14ac:dyDescent="0.2">
      <c r="D421" s="121">
        <v>44526</v>
      </c>
      <c r="E421" s="122">
        <v>6.88</v>
      </c>
      <c r="F421" s="131">
        <v>467717</v>
      </c>
    </row>
    <row r="422" spans="4:6" x14ac:dyDescent="0.2">
      <c r="D422" s="121">
        <v>44529</v>
      </c>
      <c r="E422" s="122">
        <v>6.85</v>
      </c>
      <c r="F422" s="131">
        <v>621229</v>
      </c>
    </row>
    <row r="423" spans="4:6" x14ac:dyDescent="0.2">
      <c r="D423" s="121">
        <v>44530</v>
      </c>
      <c r="E423" s="122">
        <v>7</v>
      </c>
      <c r="F423" s="131">
        <v>1336753</v>
      </c>
    </row>
    <row r="424" spans="4:6" x14ac:dyDescent="0.2">
      <c r="D424" s="121">
        <v>44531</v>
      </c>
      <c r="E424" s="122">
        <v>7.05</v>
      </c>
      <c r="F424" s="131">
        <v>641714</v>
      </c>
    </row>
    <row r="425" spans="4:6" x14ac:dyDescent="0.2">
      <c r="D425" s="121">
        <v>44532</v>
      </c>
      <c r="E425" s="122">
        <v>6.93</v>
      </c>
      <c r="F425" s="131">
        <v>478646</v>
      </c>
    </row>
    <row r="426" spans="4:6" x14ac:dyDescent="0.2">
      <c r="D426" s="121">
        <v>44533</v>
      </c>
      <c r="E426" s="122">
        <v>6.96</v>
      </c>
      <c r="F426" s="131">
        <v>512816.99999999994</v>
      </c>
    </row>
    <row r="427" spans="4:6" x14ac:dyDescent="0.2">
      <c r="D427" s="121">
        <v>44536</v>
      </c>
      <c r="E427" s="122">
        <v>6.93</v>
      </c>
      <c r="F427" s="131">
        <v>447421</v>
      </c>
    </row>
    <row r="428" spans="4:6" x14ac:dyDescent="0.2">
      <c r="D428" s="121">
        <v>44537</v>
      </c>
      <c r="E428" s="122">
        <v>6.79</v>
      </c>
      <c r="F428" s="131">
        <v>958648</v>
      </c>
    </row>
    <row r="429" spans="4:6" x14ac:dyDescent="0.2">
      <c r="D429" s="121">
        <v>44538</v>
      </c>
      <c r="E429" s="122">
        <v>6.69</v>
      </c>
      <c r="F429" s="131">
        <v>918497</v>
      </c>
    </row>
    <row r="430" spans="4:6" x14ac:dyDescent="0.2">
      <c r="D430" s="121">
        <v>44539</v>
      </c>
      <c r="E430" s="122">
        <v>6.77</v>
      </c>
      <c r="F430" s="131">
        <v>1327547</v>
      </c>
    </row>
    <row r="431" spans="4:6" x14ac:dyDescent="0.2">
      <c r="D431" s="121">
        <v>44540</v>
      </c>
      <c r="E431" s="122">
        <v>7.1</v>
      </c>
      <c r="F431" s="131">
        <v>857812</v>
      </c>
    </row>
    <row r="432" spans="4:6" x14ac:dyDescent="0.2">
      <c r="D432" s="121">
        <v>44543</v>
      </c>
      <c r="E432" s="122">
        <v>6.86</v>
      </c>
      <c r="F432" s="131">
        <v>423637</v>
      </c>
    </row>
    <row r="433" spans="4:6" x14ac:dyDescent="0.2">
      <c r="D433" s="121">
        <v>44544</v>
      </c>
      <c r="E433" s="122">
        <v>7.05</v>
      </c>
      <c r="F433" s="131">
        <v>434770</v>
      </c>
    </row>
    <row r="434" spans="4:6" x14ac:dyDescent="0.2">
      <c r="D434" s="121">
        <v>44545</v>
      </c>
      <c r="E434" s="122">
        <v>6.91</v>
      </c>
      <c r="F434" s="131">
        <v>347924</v>
      </c>
    </row>
    <row r="435" spans="4:6" x14ac:dyDescent="0.2">
      <c r="D435" s="121">
        <v>44546</v>
      </c>
      <c r="E435" s="122">
        <v>6.9</v>
      </c>
      <c r="F435" s="131">
        <v>740670</v>
      </c>
    </row>
    <row r="436" spans="4:6" x14ac:dyDescent="0.2">
      <c r="D436" s="121">
        <v>44547</v>
      </c>
      <c r="E436" s="122">
        <v>6.92</v>
      </c>
      <c r="F436" s="131">
        <v>713004</v>
      </c>
    </row>
    <row r="437" spans="4:6" x14ac:dyDescent="0.2">
      <c r="D437" s="121">
        <v>44550</v>
      </c>
      <c r="E437" s="122">
        <v>6.9</v>
      </c>
      <c r="F437" s="131">
        <v>430515</v>
      </c>
    </row>
    <row r="438" spans="4:6" x14ac:dyDescent="0.2">
      <c r="D438" s="121">
        <v>44551</v>
      </c>
      <c r="E438" s="122">
        <v>6.97</v>
      </c>
      <c r="F438" s="131">
        <v>565731</v>
      </c>
    </row>
    <row r="439" spans="4:6" x14ac:dyDescent="0.2">
      <c r="D439" s="121">
        <v>44552</v>
      </c>
      <c r="E439" s="122">
        <v>6.93</v>
      </c>
      <c r="F439" s="131">
        <v>557634</v>
      </c>
    </row>
    <row r="440" spans="4:6" x14ac:dyDescent="0.2">
      <c r="D440" s="121">
        <v>44553</v>
      </c>
      <c r="E440" s="122">
        <v>7.02</v>
      </c>
      <c r="F440" s="131">
        <v>190963</v>
      </c>
    </row>
    <row r="441" spans="4:6" x14ac:dyDescent="0.2">
      <c r="D441" s="121">
        <v>44554</v>
      </c>
      <c r="E441" s="122">
        <v>7.03</v>
      </c>
      <c r="F441" s="131">
        <v>108358</v>
      </c>
    </row>
    <row r="442" spans="4:6" x14ac:dyDescent="0.2">
      <c r="D442" s="121">
        <v>44559</v>
      </c>
      <c r="E442" s="122">
        <v>7.2</v>
      </c>
      <c r="F442" s="131">
        <v>520514.00000000006</v>
      </c>
    </row>
    <row r="443" spans="4:6" x14ac:dyDescent="0.2">
      <c r="D443" s="121">
        <v>44560</v>
      </c>
      <c r="E443" s="122">
        <v>7.13</v>
      </c>
      <c r="F443" s="131">
        <v>368602</v>
      </c>
    </row>
    <row r="444" spans="4:6" x14ac:dyDescent="0.2">
      <c r="D444" s="121">
        <v>44561</v>
      </c>
      <c r="E444" s="122">
        <v>7.01</v>
      </c>
      <c r="F444" s="131">
        <v>383363</v>
      </c>
    </row>
    <row r="445" spans="4:6" x14ac:dyDescent="0.2">
      <c r="D445" s="121">
        <v>44565</v>
      </c>
      <c r="E445" s="122">
        <v>7.28</v>
      </c>
      <c r="F445" s="131">
        <v>291474</v>
      </c>
    </row>
    <row r="446" spans="4:6" x14ac:dyDescent="0.2">
      <c r="D446" s="121">
        <v>44566</v>
      </c>
      <c r="E446" s="122">
        <v>7.16</v>
      </c>
      <c r="F446" s="131">
        <v>354423</v>
      </c>
    </row>
    <row r="447" spans="4:6" x14ac:dyDescent="0.2">
      <c r="D447" s="121">
        <v>44567</v>
      </c>
      <c r="E447" s="122">
        <v>6.97</v>
      </c>
      <c r="F447" s="131">
        <v>363682</v>
      </c>
    </row>
    <row r="448" spans="4:6" x14ac:dyDescent="0.2">
      <c r="D448" s="121">
        <v>44568</v>
      </c>
      <c r="E448" s="122">
        <v>7.23</v>
      </c>
      <c r="F448" s="131">
        <v>569858</v>
      </c>
    </row>
    <row r="449" spans="4:6" x14ac:dyDescent="0.2">
      <c r="D449" s="121">
        <v>44571</v>
      </c>
      <c r="E449" s="122">
        <v>7.04</v>
      </c>
      <c r="F449" s="131">
        <v>225111</v>
      </c>
    </row>
    <row r="450" spans="4:6" x14ac:dyDescent="0.2">
      <c r="D450" s="121">
        <v>44572</v>
      </c>
      <c r="E450" s="122">
        <v>7.01</v>
      </c>
      <c r="F450" s="131">
        <v>279544</v>
      </c>
    </row>
    <row r="451" spans="4:6" x14ac:dyDescent="0.2">
      <c r="D451" s="121">
        <v>44573</v>
      </c>
      <c r="E451" s="122">
        <v>6.99</v>
      </c>
      <c r="F451" s="131">
        <v>347626</v>
      </c>
    </row>
    <row r="452" spans="4:6" x14ac:dyDescent="0.2">
      <c r="D452" s="121">
        <v>44574</v>
      </c>
      <c r="E452" s="122">
        <v>6.89</v>
      </c>
      <c r="F452" s="131">
        <v>339462</v>
      </c>
    </row>
    <row r="453" spans="4:6" x14ac:dyDescent="0.2">
      <c r="D453" s="121">
        <v>44575</v>
      </c>
      <c r="E453" s="122">
        <v>6.78</v>
      </c>
      <c r="F453" s="131">
        <v>407001</v>
      </c>
    </row>
    <row r="454" spans="4:6" x14ac:dyDescent="0.2">
      <c r="D454" s="121">
        <v>44578</v>
      </c>
      <c r="E454" s="122">
        <v>6.82</v>
      </c>
      <c r="F454" s="131">
        <v>376843</v>
      </c>
    </row>
    <row r="455" spans="4:6" x14ac:dyDescent="0.2">
      <c r="D455" s="121">
        <v>44579</v>
      </c>
      <c r="E455" s="122">
        <v>6.72</v>
      </c>
      <c r="F455" s="131">
        <v>429730</v>
      </c>
    </row>
    <row r="456" spans="4:6" x14ac:dyDescent="0.2">
      <c r="D456" s="121">
        <v>44580</v>
      </c>
      <c r="E456" s="122">
        <v>6.84</v>
      </c>
      <c r="F456" s="131">
        <v>681979</v>
      </c>
    </row>
    <row r="457" spans="4:6" x14ac:dyDescent="0.2">
      <c r="D457" s="121">
        <v>44581</v>
      </c>
      <c r="E457" s="122">
        <v>6.7</v>
      </c>
      <c r="F457" s="131">
        <v>773839</v>
      </c>
    </row>
    <row r="458" spans="4:6" x14ac:dyDescent="0.2">
      <c r="D458" s="121">
        <v>44582</v>
      </c>
      <c r="E458" s="122">
        <v>6.54</v>
      </c>
      <c r="F458" s="131">
        <v>489109</v>
      </c>
    </row>
    <row r="459" spans="4:6" x14ac:dyDescent="0.2">
      <c r="D459" s="121">
        <v>44585</v>
      </c>
      <c r="E459" s="122">
        <v>6.47</v>
      </c>
      <c r="F459" s="131">
        <v>611634</v>
      </c>
    </row>
    <row r="460" spans="4:6" x14ac:dyDescent="0.2">
      <c r="D460" s="121">
        <v>44586</v>
      </c>
      <c r="E460" s="122">
        <v>6.34</v>
      </c>
      <c r="F460" s="131">
        <v>812044</v>
      </c>
    </row>
    <row r="461" spans="4:6" x14ac:dyDescent="0.2">
      <c r="D461" s="121">
        <v>44588</v>
      </c>
      <c r="E461" s="122">
        <v>6.28</v>
      </c>
      <c r="F461" s="131">
        <v>725952</v>
      </c>
    </row>
    <row r="462" spans="4:6" x14ac:dyDescent="0.2">
      <c r="D462" s="121">
        <v>44589</v>
      </c>
      <c r="E462" s="122">
        <v>6.63</v>
      </c>
      <c r="F462" s="131">
        <v>2436168</v>
      </c>
    </row>
    <row r="463" spans="4:6" x14ac:dyDescent="0.2">
      <c r="D463" s="121">
        <v>44592</v>
      </c>
      <c r="E463" s="122">
        <v>6.23</v>
      </c>
      <c r="F463" s="131">
        <v>2102418</v>
      </c>
    </row>
    <row r="464" spans="4:6" x14ac:dyDescent="0.2">
      <c r="D464" s="121">
        <v>44593</v>
      </c>
      <c r="E464" s="122">
        <v>6.38</v>
      </c>
      <c r="F464" s="131">
        <v>520575</v>
      </c>
    </row>
    <row r="465" spans="4:6" x14ac:dyDescent="0.2">
      <c r="D465" s="121">
        <v>44594</v>
      </c>
      <c r="E465" s="122">
        <v>6.36</v>
      </c>
      <c r="F465" s="131">
        <v>506688.99999999994</v>
      </c>
    </row>
    <row r="466" spans="4:6" x14ac:dyDescent="0.2">
      <c r="D466" s="121">
        <v>44595</v>
      </c>
      <c r="E466" s="122">
        <v>6.44</v>
      </c>
      <c r="F466" s="131">
        <v>370888</v>
      </c>
    </row>
    <row r="467" spans="4:6" x14ac:dyDescent="0.2">
      <c r="D467" s="121">
        <v>44596</v>
      </c>
      <c r="E467" s="122">
        <v>6.52</v>
      </c>
      <c r="F467" s="131">
        <v>763273</v>
      </c>
    </row>
    <row r="468" spans="4:6" x14ac:dyDescent="0.2">
      <c r="D468" s="121">
        <v>44599</v>
      </c>
      <c r="E468" s="122">
        <v>6.51</v>
      </c>
      <c r="F468" s="131">
        <v>340179</v>
      </c>
    </row>
    <row r="469" spans="4:6" x14ac:dyDescent="0.2">
      <c r="D469" s="121">
        <v>44600</v>
      </c>
      <c r="E469" s="122">
        <v>6.5</v>
      </c>
      <c r="F469" s="131">
        <v>427781</v>
      </c>
    </row>
    <row r="470" spans="4:6" x14ac:dyDescent="0.2">
      <c r="D470" s="121">
        <v>44601</v>
      </c>
      <c r="E470" s="122">
        <v>6.63</v>
      </c>
      <c r="F470" s="131">
        <v>587831</v>
      </c>
    </row>
    <row r="471" spans="4:6" x14ac:dyDescent="0.2">
      <c r="D471" s="121">
        <v>44602</v>
      </c>
      <c r="E471" s="122">
        <v>6.7</v>
      </c>
      <c r="F471" s="131">
        <v>413610</v>
      </c>
    </row>
    <row r="472" spans="4:6" x14ac:dyDescent="0.2">
      <c r="D472" s="121">
        <v>44603</v>
      </c>
      <c r="E472" s="122">
        <v>6.58</v>
      </c>
      <c r="F472" s="131">
        <v>324819</v>
      </c>
    </row>
    <row r="473" spans="4:6" x14ac:dyDescent="0.2">
      <c r="D473" s="121">
        <v>44606</v>
      </c>
      <c r="E473" s="122">
        <v>6.57</v>
      </c>
      <c r="F473" s="131">
        <v>280501</v>
      </c>
    </row>
    <row r="474" spans="4:6" x14ac:dyDescent="0.2">
      <c r="D474" s="121">
        <v>44607</v>
      </c>
      <c r="E474" s="122">
        <v>6.58</v>
      </c>
      <c r="F474" s="131">
        <v>292438</v>
      </c>
    </row>
    <row r="475" spans="4:6" x14ac:dyDescent="0.2">
      <c r="D475" s="121">
        <v>44608</v>
      </c>
      <c r="E475" s="122">
        <v>6.72</v>
      </c>
      <c r="F475" s="131">
        <v>516323</v>
      </c>
    </row>
    <row r="476" spans="4:6" x14ac:dyDescent="0.2">
      <c r="D476" s="121">
        <v>44609</v>
      </c>
      <c r="E476" s="122">
        <v>6.61</v>
      </c>
      <c r="F476" s="131">
        <v>255724.99999999997</v>
      </c>
    </row>
    <row r="477" spans="4:6" x14ac:dyDescent="0.2">
      <c r="D477" s="121">
        <v>44610</v>
      </c>
      <c r="E477" s="122">
        <v>6.64</v>
      </c>
      <c r="F477" s="131">
        <v>331174</v>
      </c>
    </row>
    <row r="478" spans="4:6" x14ac:dyDescent="0.2">
      <c r="D478" s="121">
        <v>44613</v>
      </c>
      <c r="E478" s="122">
        <v>6.63</v>
      </c>
      <c r="F478" s="131">
        <v>513829</v>
      </c>
    </row>
    <row r="479" spans="4:6" x14ac:dyDescent="0.2">
      <c r="D479" s="121">
        <v>44614</v>
      </c>
      <c r="E479" s="122">
        <v>6.78</v>
      </c>
      <c r="F479" s="131">
        <v>957809</v>
      </c>
    </row>
    <row r="480" spans="4:6" x14ac:dyDescent="0.2">
      <c r="D480" s="121">
        <v>44615</v>
      </c>
      <c r="E480" s="122">
        <v>6.81</v>
      </c>
      <c r="F480" s="131">
        <v>679369</v>
      </c>
    </row>
    <row r="481" spans="4:6" x14ac:dyDescent="0.2">
      <c r="D481" s="121">
        <v>44616</v>
      </c>
      <c r="E481" s="122">
        <v>6.65</v>
      </c>
      <c r="F481" s="131">
        <v>1006307.0000000001</v>
      </c>
    </row>
    <row r="482" spans="4:6" x14ac:dyDescent="0.2">
      <c r="D482" s="121">
        <v>44617</v>
      </c>
      <c r="E482" s="122">
        <v>6.45</v>
      </c>
      <c r="F482" s="131">
        <v>571548</v>
      </c>
    </row>
    <row r="483" spans="4:6" x14ac:dyDescent="0.2">
      <c r="D483" s="121">
        <v>44620</v>
      </c>
      <c r="E483" s="122">
        <v>6.53</v>
      </c>
      <c r="F483" s="131">
        <v>650121</v>
      </c>
    </row>
    <row r="484" spans="4:6" x14ac:dyDescent="0.2">
      <c r="D484" s="121">
        <v>44621</v>
      </c>
      <c r="E484" s="122">
        <v>6.67</v>
      </c>
      <c r="F484" s="131">
        <v>526346</v>
      </c>
    </row>
    <row r="485" spans="4:6" x14ac:dyDescent="0.2">
      <c r="D485" s="121">
        <v>44622</v>
      </c>
      <c r="E485" s="122">
        <v>6.48</v>
      </c>
      <c r="F485" s="131">
        <v>960074</v>
      </c>
    </row>
    <row r="486" spans="4:6" x14ac:dyDescent="0.2">
      <c r="D486" s="121">
        <v>44623</v>
      </c>
      <c r="E486" s="122">
        <v>6.36</v>
      </c>
      <c r="F486" s="131">
        <v>563816</v>
      </c>
    </row>
    <row r="487" spans="4:6" x14ac:dyDescent="0.2">
      <c r="D487" s="121">
        <v>44624</v>
      </c>
      <c r="E487" s="122">
        <v>6.34</v>
      </c>
      <c r="F487" s="131">
        <v>511831.99999999994</v>
      </c>
    </row>
    <row r="488" spans="4:6" x14ac:dyDescent="0.2">
      <c r="D488" s="121">
        <v>44627</v>
      </c>
      <c r="E488" s="122">
        <v>6.26</v>
      </c>
      <c r="F488" s="131">
        <v>472222</v>
      </c>
    </row>
    <row r="489" spans="4:6" x14ac:dyDescent="0.2">
      <c r="D489" s="121">
        <v>44628</v>
      </c>
      <c r="E489" s="122">
        <v>6.25</v>
      </c>
      <c r="F489" s="131">
        <v>451207</v>
      </c>
    </row>
    <row r="490" spans="4:6" x14ac:dyDescent="0.2">
      <c r="D490" s="121">
        <v>44629</v>
      </c>
      <c r="E490" s="122">
        <v>6.31</v>
      </c>
      <c r="F490" s="131">
        <v>321793</v>
      </c>
    </row>
    <row r="491" spans="4:6" x14ac:dyDescent="0.2">
      <c r="D491" s="121">
        <v>44630</v>
      </c>
      <c r="E491" s="122">
        <v>6.32</v>
      </c>
      <c r="F491" s="131">
        <v>806115</v>
      </c>
    </row>
    <row r="492" spans="4:6" x14ac:dyDescent="0.2">
      <c r="D492" s="121">
        <v>44631</v>
      </c>
      <c r="E492" s="122">
        <v>6.22</v>
      </c>
      <c r="F492" s="131">
        <v>814941</v>
      </c>
    </row>
    <row r="493" spans="4:6" x14ac:dyDescent="0.2">
      <c r="D493" s="121">
        <v>44634</v>
      </c>
      <c r="E493" s="122">
        <v>6.48</v>
      </c>
      <c r="F493" s="131">
        <v>572068</v>
      </c>
    </row>
    <row r="494" spans="4:6" x14ac:dyDescent="0.2">
      <c r="D494" s="121">
        <v>44635</v>
      </c>
      <c r="E494" s="122">
        <v>6.6</v>
      </c>
      <c r="F494" s="131">
        <v>832370</v>
      </c>
    </row>
    <row r="495" spans="4:6" x14ac:dyDescent="0.2">
      <c r="D495" s="121">
        <v>44636</v>
      </c>
      <c r="E495" s="122">
        <v>6.75</v>
      </c>
      <c r="F495" s="131">
        <v>666076</v>
      </c>
    </row>
    <row r="496" spans="4:6" x14ac:dyDescent="0.2">
      <c r="D496" s="121">
        <v>44637</v>
      </c>
      <c r="E496" s="122">
        <v>6.77</v>
      </c>
      <c r="F496" s="131">
        <v>677080</v>
      </c>
    </row>
    <row r="497" spans="4:6" x14ac:dyDescent="0.2">
      <c r="D497" s="121">
        <v>44638</v>
      </c>
      <c r="E497" s="122">
        <v>6.64</v>
      </c>
      <c r="F497" s="131">
        <v>1319878</v>
      </c>
    </row>
    <row r="498" spans="4:6" x14ac:dyDescent="0.2">
      <c r="D498" s="121">
        <v>44641</v>
      </c>
      <c r="E498" s="122">
        <v>6.57</v>
      </c>
      <c r="F498" s="131">
        <v>528736</v>
      </c>
    </row>
    <row r="499" spans="4:6" x14ac:dyDescent="0.2">
      <c r="D499" s="121">
        <v>44642</v>
      </c>
      <c r="E499" s="122">
        <v>6.5</v>
      </c>
      <c r="F499" s="131">
        <v>389072</v>
      </c>
    </row>
    <row r="500" spans="4:6" x14ac:dyDescent="0.2">
      <c r="D500" s="121">
        <v>44643</v>
      </c>
      <c r="E500" s="122">
        <v>6.48</v>
      </c>
      <c r="F500" s="131">
        <v>282107</v>
      </c>
    </row>
    <row r="501" spans="4:6" x14ac:dyDescent="0.2">
      <c r="D501" s="121">
        <v>44644</v>
      </c>
      <c r="E501" s="122">
        <v>6.42</v>
      </c>
      <c r="F501" s="131">
        <v>626404</v>
      </c>
    </row>
    <row r="502" spans="4:6" x14ac:dyDescent="0.2">
      <c r="D502" s="121">
        <v>44645</v>
      </c>
      <c r="E502" s="122">
        <v>6.45</v>
      </c>
      <c r="F502" s="131">
        <v>1385920</v>
      </c>
    </row>
    <row r="503" spans="4:6" x14ac:dyDescent="0.2">
      <c r="D503" s="121">
        <v>44648</v>
      </c>
      <c r="E503" s="122">
        <v>6.38</v>
      </c>
      <c r="F503" s="131">
        <v>450459</v>
      </c>
    </row>
    <row r="504" spans="4:6" x14ac:dyDescent="0.2">
      <c r="D504" s="121">
        <v>44649</v>
      </c>
      <c r="E504" s="122">
        <v>6.45</v>
      </c>
      <c r="F504" s="131">
        <v>377689</v>
      </c>
    </row>
    <row r="505" spans="4:6" x14ac:dyDescent="0.2">
      <c r="D505" s="121">
        <v>44650</v>
      </c>
      <c r="E505" s="122">
        <v>6.43</v>
      </c>
      <c r="F505" s="131">
        <v>455982</v>
      </c>
    </row>
    <row r="506" spans="4:6" x14ac:dyDescent="0.2">
      <c r="D506" s="121">
        <v>44651</v>
      </c>
      <c r="E506" s="122">
        <v>6.36</v>
      </c>
      <c r="F506" s="131">
        <v>781244</v>
      </c>
    </row>
    <row r="507" spans="4:6" x14ac:dyDescent="0.2">
      <c r="D507" s="121">
        <v>44652</v>
      </c>
      <c r="E507" s="122">
        <v>6.28</v>
      </c>
      <c r="F507" s="131">
        <v>486104</v>
      </c>
    </row>
    <row r="508" spans="4:6" x14ac:dyDescent="0.2">
      <c r="D508" s="121">
        <v>44655</v>
      </c>
      <c r="E508" s="122">
        <v>6.34</v>
      </c>
      <c r="F508" s="131">
        <v>588817</v>
      </c>
    </row>
    <row r="509" spans="4:6" x14ac:dyDescent="0.2">
      <c r="D509" s="121">
        <v>44656</v>
      </c>
      <c r="E509" s="122">
        <v>6.44</v>
      </c>
      <c r="F509" s="131">
        <v>402613</v>
      </c>
    </row>
    <row r="510" spans="4:6" x14ac:dyDescent="0.2">
      <c r="D510" s="121">
        <v>44657</v>
      </c>
      <c r="E510" s="122">
        <v>6.44</v>
      </c>
      <c r="F510" s="131">
        <v>380514</v>
      </c>
    </row>
    <row r="511" spans="4:6" x14ac:dyDescent="0.2">
      <c r="D511" s="121">
        <v>44658</v>
      </c>
      <c r="E511" s="122">
        <v>6.42</v>
      </c>
      <c r="F511" s="131">
        <v>256481</v>
      </c>
    </row>
    <row r="512" spans="4:6" x14ac:dyDescent="0.2">
      <c r="D512" s="121">
        <v>44659</v>
      </c>
      <c r="E512" s="122">
        <v>6.41</v>
      </c>
      <c r="F512" s="131">
        <v>189218</v>
      </c>
    </row>
    <row r="513" spans="4:6" x14ac:dyDescent="0.2">
      <c r="D513" s="121">
        <v>44662</v>
      </c>
      <c r="E513" s="122">
        <v>6.45</v>
      </c>
      <c r="F513" s="131">
        <v>253396.99999999997</v>
      </c>
    </row>
    <row r="514" spans="4:6" x14ac:dyDescent="0.2">
      <c r="D514" s="121">
        <v>44663</v>
      </c>
      <c r="E514" s="122">
        <v>6.39</v>
      </c>
      <c r="F514" s="131">
        <v>268996</v>
      </c>
    </row>
    <row r="515" spans="4:6" x14ac:dyDescent="0.2">
      <c r="D515" s="121">
        <v>44664</v>
      </c>
      <c r="E515" s="122">
        <v>6.39</v>
      </c>
      <c r="F515" s="131">
        <v>308698</v>
      </c>
    </row>
    <row r="516" spans="4:6" x14ac:dyDescent="0.2">
      <c r="D516" s="121">
        <v>44665</v>
      </c>
      <c r="E516" s="122">
        <v>6.52</v>
      </c>
      <c r="F516" s="131">
        <v>460061</v>
      </c>
    </row>
    <row r="517" spans="4:6" x14ac:dyDescent="0.2">
      <c r="D517" s="121">
        <v>44670</v>
      </c>
      <c r="E517" s="122">
        <v>6.63</v>
      </c>
      <c r="F517" s="131">
        <v>442307</v>
      </c>
    </row>
    <row r="518" spans="4:6" x14ac:dyDescent="0.2">
      <c r="D518" s="121">
        <v>44671</v>
      </c>
      <c r="E518" s="122">
        <v>6.66</v>
      </c>
      <c r="F518" s="131">
        <v>856658</v>
      </c>
    </row>
    <row r="519" spans="4:6" x14ac:dyDescent="0.2">
      <c r="D519" s="121">
        <v>44672</v>
      </c>
      <c r="E519" s="122">
        <v>6.83</v>
      </c>
      <c r="F519" s="131">
        <v>1528500</v>
      </c>
    </row>
    <row r="520" spans="4:6" x14ac:dyDescent="0.2">
      <c r="D520" s="121">
        <v>44673</v>
      </c>
      <c r="E520" s="122">
        <v>6.86</v>
      </c>
      <c r="F520" s="131">
        <v>925332</v>
      </c>
    </row>
    <row r="521" spans="4:6" x14ac:dyDescent="0.2">
      <c r="D521" s="121">
        <v>44677</v>
      </c>
      <c r="E521" s="122">
        <v>6.77</v>
      </c>
      <c r="F521" s="131">
        <v>458435</v>
      </c>
    </row>
    <row r="522" spans="4:6" x14ac:dyDescent="0.2">
      <c r="D522" s="121">
        <v>44678</v>
      </c>
      <c r="E522" s="122">
        <v>6.99</v>
      </c>
      <c r="F522" s="131">
        <v>2048338.0000000002</v>
      </c>
    </row>
    <row r="523" spans="4:6" x14ac:dyDescent="0.2">
      <c r="D523" s="121">
        <v>44679</v>
      </c>
      <c r="E523" s="122">
        <v>7.01</v>
      </c>
      <c r="F523" s="131">
        <v>672809</v>
      </c>
    </row>
    <row r="524" spans="4:6" x14ac:dyDescent="0.2">
      <c r="D524" s="121">
        <v>44680</v>
      </c>
      <c r="E524" s="122">
        <v>7.08</v>
      </c>
      <c r="F524" s="131">
        <v>611332</v>
      </c>
    </row>
    <row r="525" spans="4:6" x14ac:dyDescent="0.2">
      <c r="D525" s="121">
        <v>44683</v>
      </c>
      <c r="E525" s="122">
        <v>7.07</v>
      </c>
      <c r="F525" s="131">
        <v>940331</v>
      </c>
    </row>
    <row r="526" spans="4:6" x14ac:dyDescent="0.2">
      <c r="D526" s="121">
        <v>44684</v>
      </c>
      <c r="E526" s="122">
        <v>7.02</v>
      </c>
      <c r="F526" s="131">
        <v>1133406</v>
      </c>
    </row>
    <row r="527" spans="4:6" x14ac:dyDescent="0.2">
      <c r="D527" s="121">
        <v>44685</v>
      </c>
      <c r="E527" s="122">
        <v>7.12</v>
      </c>
      <c r="F527" s="131">
        <v>1013946.9999999999</v>
      </c>
    </row>
    <row r="528" spans="4:6" x14ac:dyDescent="0.2">
      <c r="D528" s="121">
        <v>44686</v>
      </c>
      <c r="E528" s="122">
        <v>7.23</v>
      </c>
      <c r="F528" s="131">
        <v>783280</v>
      </c>
    </row>
    <row r="529" spans="4:6" x14ac:dyDescent="0.2">
      <c r="D529" s="121">
        <v>44687</v>
      </c>
      <c r="E529" s="122">
        <v>7.2</v>
      </c>
      <c r="F529" s="131">
        <v>1254052</v>
      </c>
    </row>
    <row r="530" spans="4:6" x14ac:dyDescent="0.2">
      <c r="D530" s="121">
        <v>44690</v>
      </c>
      <c r="E530" s="122">
        <v>7.13</v>
      </c>
      <c r="F530" s="131">
        <v>946441</v>
      </c>
    </row>
    <row r="531" spans="4:6" x14ac:dyDescent="0.2">
      <c r="D531" s="121">
        <v>44691</v>
      </c>
      <c r="E531" s="122">
        <v>7.2</v>
      </c>
      <c r="F531" s="131">
        <v>1286742</v>
      </c>
    </row>
    <row r="532" spans="4:6" x14ac:dyDescent="0.2">
      <c r="D532" s="121">
        <v>44692</v>
      </c>
      <c r="E532" s="122">
        <v>7.24</v>
      </c>
      <c r="F532" s="131">
        <v>1438657</v>
      </c>
    </row>
    <row r="533" spans="4:6" x14ac:dyDescent="0.2">
      <c r="D533" s="121">
        <v>44693</v>
      </c>
      <c r="E533" s="122">
        <v>7.13</v>
      </c>
      <c r="F533" s="131">
        <v>1067574</v>
      </c>
    </row>
    <row r="534" spans="4:6" x14ac:dyDescent="0.2">
      <c r="D534" s="121">
        <v>44694</v>
      </c>
      <c r="E534" s="122">
        <v>7.28</v>
      </c>
      <c r="F534" s="131">
        <v>1513928</v>
      </c>
    </row>
    <row r="535" spans="4:6" x14ac:dyDescent="0.2">
      <c r="D535" s="121">
        <v>44697</v>
      </c>
      <c r="E535" s="122">
        <v>7.15</v>
      </c>
      <c r="F535" s="131">
        <v>597118</v>
      </c>
    </row>
    <row r="536" spans="4:6" x14ac:dyDescent="0.2">
      <c r="D536" s="121">
        <v>44698</v>
      </c>
      <c r="E536" s="122">
        <v>7.25</v>
      </c>
      <c r="F536" s="131">
        <v>1160021</v>
      </c>
    </row>
    <row r="537" spans="4:6" x14ac:dyDescent="0.2">
      <c r="D537" s="121">
        <v>44699</v>
      </c>
      <c r="E537" s="122">
        <v>7.17</v>
      </c>
      <c r="F537" s="131">
        <v>685610</v>
      </c>
    </row>
    <row r="538" spans="4:6" x14ac:dyDescent="0.2">
      <c r="D538" s="121">
        <v>44700</v>
      </c>
      <c r="E538" s="122">
        <v>7.15</v>
      </c>
      <c r="F538" s="131">
        <v>488313</v>
      </c>
    </row>
    <row r="539" spans="4:6" x14ac:dyDescent="0.2">
      <c r="D539" s="121">
        <v>44701</v>
      </c>
      <c r="E539" s="122">
        <v>7.17</v>
      </c>
      <c r="F539" s="131">
        <v>408956</v>
      </c>
    </row>
    <row r="540" spans="4:6" x14ac:dyDescent="0.2">
      <c r="D540" s="121">
        <v>44704</v>
      </c>
      <c r="E540" s="122">
        <v>7.2</v>
      </c>
      <c r="F540" s="131">
        <v>313272</v>
      </c>
    </row>
    <row r="541" spans="4:6" x14ac:dyDescent="0.2">
      <c r="D541" s="121">
        <v>44705</v>
      </c>
      <c r="E541" s="122">
        <v>7.2</v>
      </c>
      <c r="F541" s="131">
        <v>974722</v>
      </c>
    </row>
    <row r="542" spans="4:6" x14ac:dyDescent="0.2">
      <c r="D542" s="121">
        <v>44706</v>
      </c>
      <c r="E542" s="122">
        <v>7.42</v>
      </c>
      <c r="F542" s="131">
        <v>730497</v>
      </c>
    </row>
    <row r="543" spans="4:6" x14ac:dyDescent="0.2">
      <c r="D543" s="121">
        <v>44707</v>
      </c>
      <c r="E543" s="122">
        <v>7.27</v>
      </c>
      <c r="F543" s="131">
        <v>949748</v>
      </c>
    </row>
    <row r="544" spans="4:6" x14ac:dyDescent="0.2">
      <c r="D544" s="121">
        <v>44708</v>
      </c>
      <c r="E544" s="122">
        <v>7.36</v>
      </c>
      <c r="F544" s="131">
        <v>365287</v>
      </c>
    </row>
    <row r="545" spans="4:6" x14ac:dyDescent="0.2">
      <c r="D545" s="121">
        <v>44711</v>
      </c>
      <c r="E545" s="122">
        <v>7.41</v>
      </c>
      <c r="F545" s="131">
        <v>610177</v>
      </c>
    </row>
    <row r="546" spans="4:6" x14ac:dyDescent="0.2">
      <c r="D546" s="121">
        <v>44712</v>
      </c>
      <c r="E546" s="122">
        <v>7.39</v>
      </c>
      <c r="F546" s="131">
        <v>1378510</v>
      </c>
    </row>
    <row r="547" spans="4:6" x14ac:dyDescent="0.2">
      <c r="D547" s="121">
        <v>44713</v>
      </c>
      <c r="E547" s="122">
        <v>7.48</v>
      </c>
      <c r="F547" s="131">
        <v>891799</v>
      </c>
    </row>
    <row r="548" spans="4:6" x14ac:dyDescent="0.2">
      <c r="D548" s="121">
        <v>44714</v>
      </c>
      <c r="E548" s="122">
        <v>7.37</v>
      </c>
      <c r="F548" s="131">
        <v>848460</v>
      </c>
    </row>
    <row r="549" spans="4:6" x14ac:dyDescent="0.2">
      <c r="D549" s="121">
        <v>44715</v>
      </c>
      <c r="E549" s="122">
        <v>7.35</v>
      </c>
      <c r="F549" s="131">
        <v>465499</v>
      </c>
    </row>
    <row r="550" spans="4:6" x14ac:dyDescent="0.2">
      <c r="D550" s="121">
        <v>44718</v>
      </c>
      <c r="E550" s="122">
        <v>7.35</v>
      </c>
      <c r="F550" s="131">
        <v>531024</v>
      </c>
    </row>
    <row r="551" spans="4:6" x14ac:dyDescent="0.2">
      <c r="D551" s="121">
        <v>44719</v>
      </c>
      <c r="E551" s="122">
        <v>7.32</v>
      </c>
      <c r="F551" s="131">
        <v>563279</v>
      </c>
    </row>
    <row r="552" spans="4:6" x14ac:dyDescent="0.2">
      <c r="D552" s="121">
        <v>44720</v>
      </c>
      <c r="E552" s="122">
        <v>7.44</v>
      </c>
      <c r="F552" s="131">
        <v>736459</v>
      </c>
    </row>
    <row r="553" spans="4:6" x14ac:dyDescent="0.2">
      <c r="D553" s="121">
        <v>44721</v>
      </c>
      <c r="E553" s="122">
        <v>7.42</v>
      </c>
      <c r="F553" s="131">
        <v>957526</v>
      </c>
    </row>
    <row r="554" spans="4:6" x14ac:dyDescent="0.2">
      <c r="D554" s="121">
        <v>44722</v>
      </c>
      <c r="E554" s="122">
        <v>7.17</v>
      </c>
      <c r="F554" s="131">
        <v>1348867</v>
      </c>
    </row>
    <row r="555" spans="4:6" x14ac:dyDescent="0.2">
      <c r="D555" s="121">
        <v>44726</v>
      </c>
      <c r="E555" s="122">
        <v>7.02</v>
      </c>
      <c r="F555" s="131">
        <v>1481902</v>
      </c>
    </row>
    <row r="556" spans="4:6" x14ac:dyDescent="0.2">
      <c r="D556" s="121">
        <v>44727</v>
      </c>
      <c r="E556" s="122">
        <v>7.18</v>
      </c>
      <c r="F556" s="131">
        <v>918644</v>
      </c>
    </row>
    <row r="557" spans="4:6" x14ac:dyDescent="0.2">
      <c r="D557" s="121">
        <v>44728</v>
      </c>
      <c r="E557" s="122">
        <v>7.24</v>
      </c>
      <c r="F557" s="131">
        <v>1570068</v>
      </c>
    </row>
    <row r="558" spans="4:6" x14ac:dyDescent="0.2">
      <c r="D558" s="121">
        <v>44729</v>
      </c>
      <c r="E558" s="122">
        <v>7.13</v>
      </c>
      <c r="F558" s="131">
        <v>1224929</v>
      </c>
    </row>
    <row r="559" spans="4:6" x14ac:dyDescent="0.2">
      <c r="D559" s="121">
        <v>44732</v>
      </c>
      <c r="E559" s="122">
        <v>7.12</v>
      </c>
      <c r="F559" s="131">
        <v>848359</v>
      </c>
    </row>
    <row r="560" spans="4:6" x14ac:dyDescent="0.2">
      <c r="D560" s="121">
        <v>44733</v>
      </c>
      <c r="E560" s="122">
        <v>7.29</v>
      </c>
      <c r="F560" s="131">
        <v>1283178</v>
      </c>
    </row>
    <row r="561" spans="4:6" x14ac:dyDescent="0.2">
      <c r="D561" s="121">
        <v>44734</v>
      </c>
      <c r="E561" s="122">
        <v>7.24</v>
      </c>
      <c r="F561" s="131">
        <v>972313</v>
      </c>
    </row>
    <row r="562" spans="4:6" x14ac:dyDescent="0.2">
      <c r="D562" s="121">
        <v>44735</v>
      </c>
      <c r="E562" s="122">
        <v>7.31</v>
      </c>
      <c r="F562" s="131">
        <v>782314</v>
      </c>
    </row>
    <row r="563" spans="4:6" x14ac:dyDescent="0.2">
      <c r="D563" s="121">
        <v>44736</v>
      </c>
      <c r="E563" s="122">
        <v>7.37</v>
      </c>
      <c r="F563" s="131">
        <v>667649</v>
      </c>
    </row>
    <row r="564" spans="4:6" x14ac:dyDescent="0.2">
      <c r="D564" s="121">
        <v>44739</v>
      </c>
      <c r="E564" s="122">
        <v>7.41</v>
      </c>
      <c r="F564" s="131">
        <v>765579</v>
      </c>
    </row>
    <row r="565" spans="4:6" x14ac:dyDescent="0.2">
      <c r="D565" s="121">
        <v>44740</v>
      </c>
      <c r="E565" s="122">
        <v>7.44</v>
      </c>
      <c r="F565" s="131">
        <v>1137206</v>
      </c>
    </row>
    <row r="566" spans="4:6" x14ac:dyDescent="0.2">
      <c r="D566" s="121">
        <v>44741</v>
      </c>
      <c r="E566" s="122">
        <v>7.42</v>
      </c>
      <c r="F566" s="131">
        <v>1005433.9999999999</v>
      </c>
    </row>
    <row r="567" spans="4:6" x14ac:dyDescent="0.2">
      <c r="D567" s="121">
        <v>44742</v>
      </c>
      <c r="E567" s="122">
        <v>7.38</v>
      </c>
      <c r="F567" s="131">
        <v>790340</v>
      </c>
    </row>
    <row r="568" spans="4:6" x14ac:dyDescent="0.2">
      <c r="D568" s="121">
        <v>44743</v>
      </c>
      <c r="E568" s="122">
        <v>7.36</v>
      </c>
      <c r="F568" s="131">
        <v>645243</v>
      </c>
    </row>
    <row r="569" spans="4:6" x14ac:dyDescent="0.2">
      <c r="D569" s="121">
        <v>44746</v>
      </c>
      <c r="E569" s="122">
        <v>7.46</v>
      </c>
      <c r="F569" s="131">
        <v>562091</v>
      </c>
    </row>
    <row r="570" spans="4:6" x14ac:dyDescent="0.2">
      <c r="D570" s="121">
        <v>44747</v>
      </c>
      <c r="E570" s="122">
        <v>7.39</v>
      </c>
      <c r="F570" s="131">
        <v>752926</v>
      </c>
    </row>
    <row r="571" spans="4:6" x14ac:dyDescent="0.2">
      <c r="D571" s="121">
        <v>44748</v>
      </c>
      <c r="E571" s="122">
        <v>7.51</v>
      </c>
      <c r="F571" s="131">
        <v>708578</v>
      </c>
    </row>
    <row r="572" spans="4:6" x14ac:dyDescent="0.2">
      <c r="D572" s="121">
        <v>44749</v>
      </c>
      <c r="E572" s="122">
        <v>7.52</v>
      </c>
      <c r="F572" s="131">
        <v>491731</v>
      </c>
    </row>
    <row r="573" spans="4:6" x14ac:dyDescent="0.2">
      <c r="D573" s="121">
        <v>44750</v>
      </c>
      <c r="E573" s="122">
        <v>7.46</v>
      </c>
      <c r="F573" s="131">
        <v>463856</v>
      </c>
    </row>
    <row r="574" spans="4:6" x14ac:dyDescent="0.2">
      <c r="D574" s="121">
        <v>44753</v>
      </c>
      <c r="E574" s="122">
        <v>7.45</v>
      </c>
      <c r="F574" s="131">
        <v>545874</v>
      </c>
    </row>
    <row r="575" spans="4:6" x14ac:dyDescent="0.2">
      <c r="D575" s="121">
        <v>44754</v>
      </c>
      <c r="E575" s="122">
        <v>7.66</v>
      </c>
      <c r="F575" s="131">
        <v>683335</v>
      </c>
    </row>
    <row r="576" spans="4:6" x14ac:dyDescent="0.2">
      <c r="D576" s="121">
        <v>44755</v>
      </c>
      <c r="E576" s="122">
        <v>7.54</v>
      </c>
      <c r="F576" s="131">
        <v>567470</v>
      </c>
    </row>
    <row r="577" spans="4:6" x14ac:dyDescent="0.2">
      <c r="D577" s="121">
        <v>44756</v>
      </c>
      <c r="E577" s="122">
        <v>7.54</v>
      </c>
      <c r="F577" s="131">
        <v>554258</v>
      </c>
    </row>
    <row r="578" spans="4:6" x14ac:dyDescent="0.2">
      <c r="D578" s="121">
        <v>44757</v>
      </c>
      <c r="E578" s="122">
        <v>7.59</v>
      </c>
      <c r="F578" s="131">
        <v>706877</v>
      </c>
    </row>
    <row r="579" spans="4:6" x14ac:dyDescent="0.2">
      <c r="D579" s="121">
        <v>44760</v>
      </c>
      <c r="E579" s="122">
        <v>7.41</v>
      </c>
      <c r="F579" s="131">
        <v>956336</v>
      </c>
    </row>
    <row r="580" spans="4:6" x14ac:dyDescent="0.2">
      <c r="D580" s="121">
        <v>44761</v>
      </c>
      <c r="E580" s="122">
        <v>7.52</v>
      </c>
      <c r="F580" s="131">
        <v>777928</v>
      </c>
    </row>
    <row r="581" spans="4:6" x14ac:dyDescent="0.2">
      <c r="D581" s="121">
        <v>44762</v>
      </c>
      <c r="E581" s="122">
        <v>7.28</v>
      </c>
      <c r="F581" s="131">
        <v>2352508</v>
      </c>
    </row>
    <row r="582" spans="4:6" x14ac:dyDescent="0.2">
      <c r="D582" s="121">
        <v>44763</v>
      </c>
      <c r="E582" s="122">
        <v>7.2</v>
      </c>
      <c r="F582" s="131">
        <v>1658094</v>
      </c>
    </row>
    <row r="583" spans="4:6" x14ac:dyDescent="0.2">
      <c r="D583" s="121">
        <v>44764</v>
      </c>
      <c r="E583" s="122">
        <v>7.25</v>
      </c>
      <c r="F583" s="131">
        <v>789443</v>
      </c>
    </row>
    <row r="584" spans="4:6" x14ac:dyDescent="0.2">
      <c r="D584" s="121">
        <v>44767</v>
      </c>
      <c r="E584" s="122">
        <v>7.29</v>
      </c>
      <c r="F584" s="131">
        <v>639264</v>
      </c>
    </row>
    <row r="585" spans="4:6" x14ac:dyDescent="0.2">
      <c r="D585" s="121">
        <v>44768</v>
      </c>
      <c r="E585" s="122">
        <v>7.41</v>
      </c>
      <c r="F585" s="131">
        <v>484961</v>
      </c>
    </row>
    <row r="586" spans="4:6" x14ac:dyDescent="0.2">
      <c r="D586" s="121">
        <v>44769</v>
      </c>
      <c r="E586" s="122">
        <v>7.53</v>
      </c>
      <c r="F586" s="131">
        <v>574383</v>
      </c>
    </row>
    <row r="587" spans="4:6" x14ac:dyDescent="0.2">
      <c r="D587" s="121">
        <v>44770</v>
      </c>
      <c r="E587" s="122">
        <v>7.32</v>
      </c>
      <c r="F587" s="131">
        <v>713854</v>
      </c>
    </row>
    <row r="588" spans="4:6" x14ac:dyDescent="0.2">
      <c r="D588" s="121">
        <v>44771</v>
      </c>
      <c r="E588" s="122">
        <v>7.24</v>
      </c>
      <c r="F588" s="131">
        <v>1008596</v>
      </c>
    </row>
    <row r="589" spans="4:6" x14ac:dyDescent="0.2">
      <c r="D589" s="121">
        <v>44774</v>
      </c>
      <c r="E589" s="122">
        <v>7.16</v>
      </c>
      <c r="F589" s="131">
        <v>1104751</v>
      </c>
    </row>
    <row r="590" spans="4:6" x14ac:dyDescent="0.2">
      <c r="D590" s="121">
        <v>44775</v>
      </c>
      <c r="E590" s="122">
        <v>7.33</v>
      </c>
      <c r="F590" s="131">
        <v>859400</v>
      </c>
    </row>
    <row r="591" spans="4:6" x14ac:dyDescent="0.2">
      <c r="D591" s="121">
        <v>44776</v>
      </c>
      <c r="E591" s="122">
        <v>7.29</v>
      </c>
      <c r="F591" s="131">
        <v>827734</v>
      </c>
    </row>
    <row r="592" spans="4:6" x14ac:dyDescent="0.2">
      <c r="D592" s="121">
        <v>44777</v>
      </c>
      <c r="E592" s="122">
        <v>7.32</v>
      </c>
      <c r="F592" s="131">
        <v>692955</v>
      </c>
    </row>
    <row r="593" spans="4:6" x14ac:dyDescent="0.2">
      <c r="D593" s="121">
        <v>44778</v>
      </c>
      <c r="E593" s="122">
        <v>7.29</v>
      </c>
      <c r="F593" s="131">
        <v>583302</v>
      </c>
    </row>
    <row r="594" spans="4:6" x14ac:dyDescent="0.2">
      <c r="D594" s="121">
        <v>44781</v>
      </c>
      <c r="E594" s="122">
        <v>7.15</v>
      </c>
      <c r="F594" s="131">
        <v>487079</v>
      </c>
    </row>
    <row r="595" spans="4:6" x14ac:dyDescent="0.2">
      <c r="D595" s="121">
        <v>44782</v>
      </c>
      <c r="E595" s="122">
        <v>7.23</v>
      </c>
      <c r="F595" s="131">
        <v>484484</v>
      </c>
    </row>
    <row r="596" spans="4:6" x14ac:dyDescent="0.2">
      <c r="D596" s="121">
        <v>44783</v>
      </c>
      <c r="E596" s="122">
        <v>7.19</v>
      </c>
      <c r="F596" s="131">
        <v>331952</v>
      </c>
    </row>
    <row r="597" spans="4:6" x14ac:dyDescent="0.2">
      <c r="D597" s="121">
        <v>44784</v>
      </c>
      <c r="E597" s="122">
        <v>7.19</v>
      </c>
      <c r="F597" s="131">
        <v>266966</v>
      </c>
    </row>
    <row r="598" spans="4:6" x14ac:dyDescent="0.2">
      <c r="D598" s="121">
        <v>44785</v>
      </c>
      <c r="E598" s="122">
        <v>7.14</v>
      </c>
      <c r="F598" s="131">
        <v>299402</v>
      </c>
    </row>
    <row r="599" spans="4:6" x14ac:dyDescent="0.2">
      <c r="D599" s="121">
        <v>44788</v>
      </c>
      <c r="E599" s="122">
        <v>6.95</v>
      </c>
      <c r="F599" s="131">
        <v>1093410</v>
      </c>
    </row>
    <row r="600" spans="4:6" x14ac:dyDescent="0.2">
      <c r="D600" s="121">
        <v>44789</v>
      </c>
      <c r="E600" s="122">
        <v>7.12</v>
      </c>
      <c r="F600" s="131">
        <v>762025</v>
      </c>
    </row>
    <row r="601" spans="4:6" x14ac:dyDescent="0.2">
      <c r="D601" s="121">
        <v>44790</v>
      </c>
      <c r="E601" s="122">
        <v>7.13</v>
      </c>
      <c r="F601" s="131">
        <v>680904</v>
      </c>
    </row>
    <row r="602" spans="4:6" x14ac:dyDescent="0.2">
      <c r="D602" s="121">
        <v>44791</v>
      </c>
      <c r="E602" s="122">
        <v>7.18</v>
      </c>
      <c r="F602" s="131">
        <v>837751</v>
      </c>
    </row>
    <row r="603" spans="4:6" x14ac:dyDescent="0.2">
      <c r="D603" s="121">
        <v>44792</v>
      </c>
      <c r="E603" s="122">
        <v>7.27</v>
      </c>
      <c r="F603" s="131">
        <v>553631</v>
      </c>
    </row>
    <row r="604" spans="4:6" x14ac:dyDescent="0.2">
      <c r="D604" s="121">
        <v>44795</v>
      </c>
      <c r="E604" s="122">
        <v>7.78</v>
      </c>
      <c r="F604" s="131">
        <v>1821507</v>
      </c>
    </row>
    <row r="605" spans="4:6" x14ac:dyDescent="0.2">
      <c r="D605" s="121">
        <v>44796</v>
      </c>
      <c r="E605" s="122">
        <v>7.81</v>
      </c>
      <c r="F605" s="131">
        <v>1618498</v>
      </c>
    </row>
    <row r="606" spans="4:6" x14ac:dyDescent="0.2">
      <c r="D606" s="121">
        <v>44797</v>
      </c>
      <c r="E606" s="122">
        <v>7.84</v>
      </c>
      <c r="F606" s="131">
        <v>1165709</v>
      </c>
    </row>
    <row r="607" spans="4:6" x14ac:dyDescent="0.2">
      <c r="D607" s="121">
        <v>44798</v>
      </c>
      <c r="E607" s="122">
        <v>7.86</v>
      </c>
      <c r="F607" s="131">
        <v>684609</v>
      </c>
    </row>
    <row r="608" spans="4:6" x14ac:dyDescent="0.2">
      <c r="D608" s="121">
        <v>44799</v>
      </c>
      <c r="E608" s="122">
        <v>8.0299999999999994</v>
      </c>
      <c r="F608" s="131">
        <v>973066</v>
      </c>
    </row>
    <row r="609" spans="4:6" x14ac:dyDescent="0.2">
      <c r="D609" s="121">
        <v>44802</v>
      </c>
      <c r="E609" s="122">
        <v>7.81</v>
      </c>
      <c r="F609" s="131">
        <v>830647</v>
      </c>
    </row>
    <row r="610" spans="4:6" x14ac:dyDescent="0.2">
      <c r="D610" s="121">
        <v>44803</v>
      </c>
      <c r="E610" s="122">
        <v>8.0500000000000007</v>
      </c>
      <c r="F610" s="131">
        <v>1211676</v>
      </c>
    </row>
    <row r="611" spans="4:6" x14ac:dyDescent="0.2">
      <c r="D611" s="121">
        <v>44804</v>
      </c>
      <c r="E611" s="122">
        <v>8.18</v>
      </c>
      <c r="F611" s="131">
        <v>1040723.0000000001</v>
      </c>
    </row>
    <row r="612" spans="4:6" x14ac:dyDescent="0.2">
      <c r="D612" s="121">
        <v>44805</v>
      </c>
      <c r="E612" s="122">
        <v>8.08</v>
      </c>
      <c r="F612" s="131">
        <v>1046607.0000000001</v>
      </c>
    </row>
    <row r="613" spans="4:6" x14ac:dyDescent="0.2">
      <c r="D613" s="121">
        <v>44806</v>
      </c>
      <c r="E613" s="122">
        <v>8</v>
      </c>
      <c r="F613" s="131">
        <v>678114</v>
      </c>
    </row>
    <row r="614" spans="4:6" x14ac:dyDescent="0.2">
      <c r="D614" s="121">
        <v>44809</v>
      </c>
      <c r="E614" s="122">
        <v>7.79</v>
      </c>
      <c r="F614" s="131">
        <v>466222</v>
      </c>
    </row>
    <row r="615" spans="4:6" x14ac:dyDescent="0.2">
      <c r="D615" s="121">
        <v>44810</v>
      </c>
      <c r="E615" s="122">
        <v>7.77</v>
      </c>
      <c r="F615" s="131">
        <v>1312588</v>
      </c>
    </row>
    <row r="616" spans="4:6" x14ac:dyDescent="0.2">
      <c r="D616" s="121">
        <v>44811</v>
      </c>
      <c r="E616" s="122">
        <v>7.74</v>
      </c>
      <c r="F616" s="131">
        <v>810371</v>
      </c>
    </row>
    <row r="617" spans="4:6" x14ac:dyDescent="0.2">
      <c r="D617" s="121">
        <v>44812</v>
      </c>
      <c r="E617" s="122">
        <v>7.69</v>
      </c>
      <c r="F617" s="131">
        <v>854098</v>
      </c>
    </row>
    <row r="618" spans="4:6" x14ac:dyDescent="0.2">
      <c r="D618" s="121">
        <v>44813</v>
      </c>
      <c r="E618" s="122">
        <v>7.69</v>
      </c>
      <c r="F618" s="131">
        <v>871841</v>
      </c>
    </row>
    <row r="619" spans="4:6" x14ac:dyDescent="0.2">
      <c r="D619" s="121">
        <v>44816</v>
      </c>
      <c r="E619" s="122">
        <v>7.74</v>
      </c>
      <c r="F619" s="131">
        <v>603899</v>
      </c>
    </row>
    <row r="620" spans="4:6" x14ac:dyDescent="0.2">
      <c r="D620" s="121">
        <v>44817</v>
      </c>
      <c r="E620" s="122">
        <v>7.89</v>
      </c>
      <c r="F620" s="131">
        <v>916800</v>
      </c>
    </row>
    <row r="621" spans="4:6" x14ac:dyDescent="0.2">
      <c r="D621" s="121">
        <v>44818</v>
      </c>
      <c r="E621" s="122">
        <v>7.82</v>
      </c>
      <c r="F621" s="131">
        <v>1610566</v>
      </c>
    </row>
    <row r="622" spans="4:6" x14ac:dyDescent="0.2">
      <c r="D622" s="121">
        <v>44819</v>
      </c>
      <c r="E622" s="122">
        <v>7.92</v>
      </c>
      <c r="F622" s="131">
        <v>1049266</v>
      </c>
    </row>
    <row r="623" spans="4:6" x14ac:dyDescent="0.2">
      <c r="D623" s="121">
        <v>44820</v>
      </c>
      <c r="E623" s="122">
        <v>7.95</v>
      </c>
      <c r="F623" s="131">
        <v>1730000</v>
      </c>
    </row>
    <row r="624" spans="4:6" x14ac:dyDescent="0.2">
      <c r="D624" s="121">
        <v>44823</v>
      </c>
      <c r="E624" s="122">
        <v>7.83</v>
      </c>
      <c r="F624" s="131">
        <v>615285</v>
      </c>
    </row>
    <row r="625" spans="4:6" x14ac:dyDescent="0.2">
      <c r="D625" s="121">
        <v>44824</v>
      </c>
      <c r="E625" s="122">
        <v>7.77</v>
      </c>
      <c r="F625" s="131">
        <v>499444</v>
      </c>
    </row>
    <row r="626" spans="4:6" x14ac:dyDescent="0.2">
      <c r="D626" s="121">
        <v>44825</v>
      </c>
      <c r="E626" s="122">
        <v>7.59</v>
      </c>
      <c r="F626" s="131">
        <v>823061</v>
      </c>
    </row>
    <row r="627" spans="4:6" x14ac:dyDescent="0.2">
      <c r="D627" s="121">
        <v>44827</v>
      </c>
      <c r="E627" s="122">
        <v>7.56</v>
      </c>
      <c r="F627" s="131">
        <v>873666</v>
      </c>
    </row>
    <row r="628" spans="4:6" x14ac:dyDescent="0.2">
      <c r="D628" s="121">
        <v>44830</v>
      </c>
      <c r="E628" s="122">
        <v>7.42</v>
      </c>
      <c r="F628" s="131">
        <v>691773</v>
      </c>
    </row>
    <row r="629" spans="4:6" x14ac:dyDescent="0.2">
      <c r="D629" s="121">
        <v>44831</v>
      </c>
      <c r="E629" s="122">
        <v>7.35</v>
      </c>
      <c r="F629" s="131">
        <v>818610</v>
      </c>
    </row>
    <row r="630" spans="4:6" x14ac:dyDescent="0.2">
      <c r="D630" s="121">
        <v>44832</v>
      </c>
      <c r="E630" s="122">
        <v>7.4</v>
      </c>
      <c r="F630" s="131">
        <v>1281467</v>
      </c>
    </row>
    <row r="631" spans="4:6" x14ac:dyDescent="0.2">
      <c r="D631" s="121">
        <v>44833</v>
      </c>
      <c r="E631" s="122">
        <v>7.49</v>
      </c>
      <c r="F631" s="131">
        <v>524437</v>
      </c>
    </row>
    <row r="632" spans="4:6" x14ac:dyDescent="0.2">
      <c r="D632" s="121">
        <v>44834</v>
      </c>
      <c r="E632" s="122">
        <v>7.43</v>
      </c>
      <c r="F632" s="131">
        <v>910107</v>
      </c>
    </row>
    <row r="633" spans="4:6" x14ac:dyDescent="0.2">
      <c r="D633" s="121">
        <v>44837</v>
      </c>
      <c r="E633" s="122">
        <v>7.35</v>
      </c>
      <c r="F633" s="131">
        <v>443628</v>
      </c>
    </row>
    <row r="634" spans="4:6" x14ac:dyDescent="0.2">
      <c r="D634" s="121">
        <v>44838</v>
      </c>
      <c r="E634" s="122">
        <v>7.46</v>
      </c>
      <c r="F634" s="131">
        <v>679294</v>
      </c>
    </row>
    <row r="635" spans="4:6" x14ac:dyDescent="0.2">
      <c r="D635" s="121">
        <v>44839</v>
      </c>
      <c r="E635" s="122">
        <v>7.5</v>
      </c>
      <c r="F635" s="131">
        <v>1100991</v>
      </c>
    </row>
    <row r="636" spans="4:6" x14ac:dyDescent="0.2">
      <c r="D636" s="121">
        <v>44840</v>
      </c>
      <c r="E636" s="122">
        <v>7.55</v>
      </c>
      <c r="F636" s="131">
        <v>665398</v>
      </c>
    </row>
    <row r="637" spans="4:6" x14ac:dyDescent="0.2">
      <c r="D637" s="121">
        <v>44841</v>
      </c>
      <c r="E637" s="122">
        <v>7.48</v>
      </c>
      <c r="F637" s="131">
        <v>490601</v>
      </c>
    </row>
    <row r="638" spans="4:6" x14ac:dyDescent="0.2">
      <c r="D638" s="121">
        <v>44844</v>
      </c>
      <c r="E638" s="122">
        <v>7.46</v>
      </c>
      <c r="F638" s="131">
        <v>569364</v>
      </c>
    </row>
    <row r="639" spans="4:6" x14ac:dyDescent="0.2">
      <c r="D639" s="121">
        <v>44845</v>
      </c>
      <c r="E639" s="122">
        <v>7.51</v>
      </c>
      <c r="F639" s="131">
        <v>585777</v>
      </c>
    </row>
    <row r="640" spans="4:6" x14ac:dyDescent="0.2">
      <c r="D640" s="121">
        <v>44846</v>
      </c>
      <c r="E640" s="122">
        <v>7.51</v>
      </c>
      <c r="F640" s="132" t="e">
        <v>#N/A</v>
      </c>
    </row>
    <row r="641" spans="4:6" x14ac:dyDescent="0.2">
      <c r="D641" s="121">
        <v>44847</v>
      </c>
      <c r="E641" s="122">
        <v>6.61</v>
      </c>
      <c r="F641" s="131">
        <v>7581005</v>
      </c>
    </row>
    <row r="642" spans="4:6" x14ac:dyDescent="0.2">
      <c r="D642" s="121">
        <v>44848</v>
      </c>
      <c r="E642" s="122">
        <v>6.91</v>
      </c>
      <c r="F642" s="131">
        <v>2806129</v>
      </c>
    </row>
    <row r="643" spans="4:6" x14ac:dyDescent="0.2">
      <c r="D643" s="121">
        <v>44851</v>
      </c>
      <c r="E643" s="122">
        <v>6.72</v>
      </c>
      <c r="F643" s="131">
        <v>977314</v>
      </c>
    </row>
    <row r="644" spans="4:6" x14ac:dyDescent="0.2">
      <c r="D644" s="121">
        <v>44852</v>
      </c>
      <c r="E644" s="122">
        <v>6.74</v>
      </c>
      <c r="F644" s="131">
        <v>1271043</v>
      </c>
    </row>
    <row r="645" spans="4:6" x14ac:dyDescent="0.2">
      <c r="D645" s="121">
        <v>44853</v>
      </c>
      <c r="E645" s="122">
        <v>6.85</v>
      </c>
      <c r="F645" s="131">
        <v>1339790</v>
      </c>
    </row>
    <row r="646" spans="4:6" x14ac:dyDescent="0.2">
      <c r="D646" s="121">
        <v>44854</v>
      </c>
      <c r="E646" s="122">
        <v>6.81</v>
      </c>
      <c r="F646" s="131">
        <v>886567</v>
      </c>
    </row>
    <row r="647" spans="4:6" x14ac:dyDescent="0.2">
      <c r="D647" s="121">
        <v>44855</v>
      </c>
      <c r="E647" s="122">
        <v>6.7</v>
      </c>
      <c r="F647" s="131">
        <v>775520</v>
      </c>
    </row>
    <row r="648" spans="4:6" x14ac:dyDescent="0.2">
      <c r="D648" s="121">
        <v>44858</v>
      </c>
      <c r="E648" s="122">
        <v>6.77</v>
      </c>
      <c r="F648" s="131">
        <v>1006636.0000000001</v>
      </c>
    </row>
    <row r="649" spans="4:6" x14ac:dyDescent="0.2">
      <c r="D649" s="121">
        <v>44859</v>
      </c>
      <c r="E649" s="122">
        <v>6.76</v>
      </c>
      <c r="F649" s="131">
        <v>768177</v>
      </c>
    </row>
    <row r="650" spans="4:6" x14ac:dyDescent="0.2">
      <c r="D650" s="121">
        <v>44860</v>
      </c>
      <c r="E650" s="122">
        <v>6.76</v>
      </c>
      <c r="F650" s="131">
        <v>1326582</v>
      </c>
    </row>
    <row r="651" spans="4:6" x14ac:dyDescent="0.2">
      <c r="D651" s="121">
        <v>44861</v>
      </c>
      <c r="E651" s="122">
        <v>6.67</v>
      </c>
      <c r="F651" s="131">
        <v>1443701</v>
      </c>
    </row>
    <row r="652" spans="4:6" x14ac:dyDescent="0.2">
      <c r="D652" s="121">
        <v>44862</v>
      </c>
      <c r="E652" s="122">
        <v>6.52</v>
      </c>
      <c r="F652" s="131">
        <v>1046191.0000000001</v>
      </c>
    </row>
    <row r="653" spans="4:6" x14ac:dyDescent="0.2">
      <c r="D653" s="121">
        <v>44865</v>
      </c>
      <c r="E653" s="122">
        <v>6.67</v>
      </c>
      <c r="F653" s="131">
        <v>1153939</v>
      </c>
    </row>
    <row r="654" spans="4:6" x14ac:dyDescent="0.2">
      <c r="D654" s="121">
        <v>44866</v>
      </c>
      <c r="E654" s="122">
        <v>6.85</v>
      </c>
      <c r="F654" s="131">
        <v>1085771</v>
      </c>
    </row>
    <row r="655" spans="4:6" x14ac:dyDescent="0.2">
      <c r="D655" s="121">
        <v>44867</v>
      </c>
      <c r="E655" s="122">
        <v>6.96</v>
      </c>
      <c r="F655" s="131">
        <v>2349360</v>
      </c>
    </row>
    <row r="656" spans="4:6" x14ac:dyDescent="0.2">
      <c r="D656" s="121">
        <v>44868</v>
      </c>
      <c r="E656" s="122">
        <v>6.91</v>
      </c>
      <c r="F656" s="131">
        <v>762421</v>
      </c>
    </row>
    <row r="657" spans="4:6" x14ac:dyDescent="0.2">
      <c r="D657" s="121">
        <v>44869</v>
      </c>
      <c r="E657" s="122">
        <v>6.81</v>
      </c>
      <c r="F657" s="131">
        <v>1244427</v>
      </c>
    </row>
    <row r="658" spans="4:6" x14ac:dyDescent="0.2">
      <c r="D658" s="121">
        <v>44872</v>
      </c>
      <c r="E658" s="122">
        <v>6.91</v>
      </c>
      <c r="F658" s="131">
        <v>820615</v>
      </c>
    </row>
    <row r="659" spans="4:6" x14ac:dyDescent="0.2">
      <c r="D659" s="121">
        <v>44873</v>
      </c>
      <c r="E659" s="122">
        <v>6.89</v>
      </c>
      <c r="F659" s="131">
        <v>742039</v>
      </c>
    </row>
    <row r="660" spans="4:6" x14ac:dyDescent="0.2">
      <c r="D660" s="121">
        <v>44874</v>
      </c>
      <c r="E660" s="122">
        <v>6.97</v>
      </c>
      <c r="F660" s="131">
        <v>768566</v>
      </c>
    </row>
    <row r="661" spans="4:6" x14ac:dyDescent="0.2">
      <c r="D661" s="121">
        <v>44875</v>
      </c>
      <c r="E661" s="122">
        <v>6.89</v>
      </c>
      <c r="F661" s="131">
        <v>940789</v>
      </c>
    </row>
    <row r="662" spans="4:6" x14ac:dyDescent="0.2">
      <c r="D662" s="121">
        <v>44876</v>
      </c>
      <c r="E662" s="122">
        <v>6.84</v>
      </c>
      <c r="F662" s="131">
        <v>1091146</v>
      </c>
    </row>
    <row r="663" spans="4:6" x14ac:dyDescent="0.2">
      <c r="D663" s="121">
        <v>44879</v>
      </c>
      <c r="E663" s="122">
        <v>6.71</v>
      </c>
      <c r="F663" s="131">
        <v>1167436</v>
      </c>
    </row>
    <row r="664" spans="4:6" x14ac:dyDescent="0.2">
      <c r="D664" s="121">
        <v>44880</v>
      </c>
      <c r="E664" s="122">
        <v>6.81</v>
      </c>
      <c r="F664" s="131">
        <v>664169</v>
      </c>
    </row>
    <row r="665" spans="4:6" x14ac:dyDescent="0.2">
      <c r="D665" s="121">
        <v>44881</v>
      </c>
      <c r="E665" s="122">
        <v>6.74</v>
      </c>
      <c r="F665" s="131">
        <v>838217</v>
      </c>
    </row>
    <row r="666" spans="4:6" x14ac:dyDescent="0.2">
      <c r="D666" s="121">
        <v>44882</v>
      </c>
      <c r="E666" s="122">
        <v>6.9</v>
      </c>
      <c r="F666" s="131">
        <v>1093796</v>
      </c>
    </row>
    <row r="667" spans="4:6" x14ac:dyDescent="0.2">
      <c r="D667" s="121">
        <v>44883</v>
      </c>
      <c r="E667" s="122">
        <v>7.12</v>
      </c>
      <c r="F667" s="131">
        <v>1399680</v>
      </c>
    </row>
    <row r="668" spans="4:6" x14ac:dyDescent="0.2">
      <c r="D668" s="121">
        <v>44886</v>
      </c>
      <c r="E668" s="122">
        <v>7.24</v>
      </c>
      <c r="F668" s="131">
        <v>1223265</v>
      </c>
    </row>
    <row r="669" spans="4:6" x14ac:dyDescent="0.2">
      <c r="D669" s="121">
        <v>44887</v>
      </c>
      <c r="E669" s="122">
        <v>7.2</v>
      </c>
      <c r="F669" s="131">
        <v>810342</v>
      </c>
    </row>
    <row r="670" spans="4:6" x14ac:dyDescent="0.2">
      <c r="D670" s="121">
        <v>44888</v>
      </c>
      <c r="E670" s="122">
        <v>7.22</v>
      </c>
      <c r="F670" s="131">
        <v>537986</v>
      </c>
    </row>
    <row r="671" spans="4:6" x14ac:dyDescent="0.2">
      <c r="D671" s="121">
        <v>44889</v>
      </c>
      <c r="E671" s="122">
        <v>7.15</v>
      </c>
      <c r="F671" s="131">
        <v>925385</v>
      </c>
    </row>
    <row r="672" spans="4:6" x14ac:dyDescent="0.2">
      <c r="D672" s="121">
        <v>44890</v>
      </c>
      <c r="E672" s="122">
        <v>7.2</v>
      </c>
      <c r="F672" s="131">
        <v>488388</v>
      </c>
    </row>
    <row r="673" spans="4:6" x14ac:dyDescent="0.2">
      <c r="D673" s="121">
        <v>44893</v>
      </c>
      <c r="E673" s="122">
        <v>7.25</v>
      </c>
      <c r="F673" s="131">
        <v>924585</v>
      </c>
    </row>
    <row r="674" spans="4:6" x14ac:dyDescent="0.2">
      <c r="D674" s="121">
        <v>44894</v>
      </c>
      <c r="E674" s="122">
        <v>7.2</v>
      </c>
      <c r="F674" s="131">
        <v>1158740</v>
      </c>
    </row>
    <row r="675" spans="4:6" x14ac:dyDescent="0.2">
      <c r="D675" s="121">
        <v>44895</v>
      </c>
      <c r="E675" s="122">
        <v>7.3</v>
      </c>
      <c r="F675" s="131">
        <v>1479665</v>
      </c>
    </row>
    <row r="676" spans="4:6" x14ac:dyDescent="0.2">
      <c r="D676" s="121">
        <v>44896</v>
      </c>
      <c r="E676" s="122">
        <v>7.23</v>
      </c>
      <c r="F676" s="131">
        <v>621256</v>
      </c>
    </row>
    <row r="677" spans="4:6" x14ac:dyDescent="0.2">
      <c r="D677" s="121">
        <v>44897</v>
      </c>
      <c r="E677" s="122">
        <v>7.13</v>
      </c>
      <c r="F677" s="131">
        <v>778172</v>
      </c>
    </row>
    <row r="678" spans="4:6" x14ac:dyDescent="0.2">
      <c r="D678" s="121">
        <v>44900</v>
      </c>
      <c r="E678" s="122">
        <v>7.08</v>
      </c>
      <c r="F678" s="131">
        <v>529233</v>
      </c>
    </row>
    <row r="679" spans="4:6" x14ac:dyDescent="0.2">
      <c r="D679" s="121">
        <v>44901</v>
      </c>
      <c r="E679" s="122">
        <v>7.06</v>
      </c>
      <c r="F679" s="131">
        <v>1299905</v>
      </c>
    </row>
    <row r="680" spans="4:6" x14ac:dyDescent="0.2">
      <c r="D680" s="121">
        <v>44902</v>
      </c>
      <c r="E680" s="122">
        <v>7.23</v>
      </c>
      <c r="F680" s="131">
        <v>1542594</v>
      </c>
    </row>
    <row r="681" spans="4:6" x14ac:dyDescent="0.2">
      <c r="D681" s="121">
        <v>44903</v>
      </c>
      <c r="E681" s="122">
        <v>7.17</v>
      </c>
      <c r="F681" s="131">
        <v>492670</v>
      </c>
    </row>
    <row r="682" spans="4:6" x14ac:dyDescent="0.2">
      <c r="D682" s="121">
        <v>44904</v>
      </c>
      <c r="E682" s="122">
        <v>7.2</v>
      </c>
      <c r="F682" s="131">
        <v>410866</v>
      </c>
    </row>
    <row r="683" spans="4:6" x14ac:dyDescent="0.2">
      <c r="D683" s="121">
        <v>44907</v>
      </c>
      <c r="E683" s="122">
        <v>7.17</v>
      </c>
      <c r="F683" s="131">
        <v>675652</v>
      </c>
    </row>
    <row r="684" spans="4:6" x14ac:dyDescent="0.2">
      <c r="D684" s="121">
        <v>44908</v>
      </c>
      <c r="E684" s="122">
        <v>7.23</v>
      </c>
      <c r="F684" s="131">
        <v>865781</v>
      </c>
    </row>
    <row r="685" spans="4:6" x14ac:dyDescent="0.2">
      <c r="D685" s="121">
        <v>44909</v>
      </c>
      <c r="E685" s="122">
        <v>7.28</v>
      </c>
      <c r="F685" s="131">
        <v>685169</v>
      </c>
    </row>
    <row r="686" spans="4:6" x14ac:dyDescent="0.2">
      <c r="D686" s="121">
        <v>44910</v>
      </c>
      <c r="E686" s="122">
        <v>7.21</v>
      </c>
      <c r="F686" s="131">
        <v>1203302</v>
      </c>
    </row>
    <row r="687" spans="4:6" x14ac:dyDescent="0.2">
      <c r="D687" s="121">
        <v>44911</v>
      </c>
      <c r="E687" s="122">
        <v>7.27</v>
      </c>
      <c r="F687" s="131">
        <v>2839241</v>
      </c>
    </row>
    <row r="688" spans="4:6" x14ac:dyDescent="0.2">
      <c r="D688" s="121">
        <v>44914</v>
      </c>
      <c r="E688" s="122">
        <v>7.34</v>
      </c>
      <c r="F688" s="131">
        <v>646483</v>
      </c>
    </row>
    <row r="689" spans="4:6" x14ac:dyDescent="0.2">
      <c r="D689" s="121">
        <v>44915</v>
      </c>
      <c r="E689" s="122">
        <v>7.25</v>
      </c>
      <c r="F689" s="131">
        <v>1030921.9999999999</v>
      </c>
    </row>
    <row r="690" spans="4:6" x14ac:dyDescent="0.2">
      <c r="D690" s="121">
        <v>44916</v>
      </c>
      <c r="E690" s="122">
        <v>7.44</v>
      </c>
      <c r="F690" s="131">
        <v>1340832</v>
      </c>
    </row>
    <row r="691" spans="4:6" x14ac:dyDescent="0.2">
      <c r="D691" s="121">
        <v>44917</v>
      </c>
      <c r="E691" s="122">
        <v>7.7</v>
      </c>
      <c r="F691" s="131">
        <v>1117773</v>
      </c>
    </row>
    <row r="692" spans="4:6" x14ac:dyDescent="0.2">
      <c r="D692" s="121">
        <v>44918</v>
      </c>
      <c r="E692" s="122">
        <v>7.73</v>
      </c>
      <c r="F692" s="131">
        <v>1564735</v>
      </c>
    </row>
    <row r="693" spans="4:6" x14ac:dyDescent="0.2">
      <c r="D693" s="121">
        <v>44923</v>
      </c>
      <c r="E693" s="122">
        <v>7.77</v>
      </c>
      <c r="F693" s="131">
        <v>932329</v>
      </c>
    </row>
    <row r="694" spans="4:6" x14ac:dyDescent="0.2">
      <c r="D694" s="121">
        <v>44924</v>
      </c>
      <c r="E694" s="122">
        <v>7.76</v>
      </c>
      <c r="F694" s="131">
        <v>612210</v>
      </c>
    </row>
    <row r="695" spans="4:6" x14ac:dyDescent="0.2">
      <c r="D695" s="121">
        <v>44925</v>
      </c>
      <c r="E695" s="122">
        <v>7.75</v>
      </c>
      <c r="F695" s="131">
        <v>597338</v>
      </c>
    </row>
    <row r="696" spans="4:6" x14ac:dyDescent="0.2">
      <c r="D696" s="121">
        <v>44929</v>
      </c>
      <c r="E696" s="122">
        <v>7.61</v>
      </c>
      <c r="F696" s="131">
        <v>632730</v>
      </c>
    </row>
    <row r="697" spans="4:6" x14ac:dyDescent="0.2">
      <c r="D697" s="121">
        <v>44930</v>
      </c>
      <c r="E697" s="122">
        <v>7.79</v>
      </c>
      <c r="F697" s="131">
        <v>858499</v>
      </c>
    </row>
    <row r="698" spans="4:6" x14ac:dyDescent="0.2">
      <c r="D698" s="121">
        <v>44931</v>
      </c>
      <c r="E698" s="122">
        <v>7.69</v>
      </c>
      <c r="F698" s="131">
        <v>886647</v>
      </c>
    </row>
    <row r="699" spans="4:6" x14ac:dyDescent="0.2">
      <c r="D699" s="121">
        <v>44932</v>
      </c>
      <c r="E699" s="122">
        <v>7.67</v>
      </c>
      <c r="F699" s="131">
        <v>433423</v>
      </c>
    </row>
    <row r="700" spans="4:6" x14ac:dyDescent="0.2">
      <c r="D700" s="121">
        <v>44935</v>
      </c>
      <c r="E700" s="122">
        <v>7.63</v>
      </c>
      <c r="F700" s="131">
        <v>421221</v>
      </c>
    </row>
    <row r="701" spans="4:6" x14ac:dyDescent="0.2">
      <c r="D701" s="121">
        <v>44936</v>
      </c>
      <c r="E701" s="122">
        <v>7.56</v>
      </c>
      <c r="F701" s="131">
        <v>554297</v>
      </c>
    </row>
    <row r="702" spans="4:6" x14ac:dyDescent="0.2">
      <c r="D702" s="121">
        <v>44937</v>
      </c>
      <c r="E702" s="122">
        <v>7.58</v>
      </c>
      <c r="F702" s="131">
        <v>907520</v>
      </c>
    </row>
    <row r="703" spans="4:6" x14ac:dyDescent="0.2">
      <c r="D703" s="121">
        <v>44938</v>
      </c>
      <c r="E703" s="122">
        <v>7.67</v>
      </c>
      <c r="F703" s="131">
        <v>628893</v>
      </c>
    </row>
    <row r="704" spans="4:6" x14ac:dyDescent="0.2">
      <c r="D704" s="121">
        <v>44939</v>
      </c>
      <c r="E704" s="122">
        <v>7.7</v>
      </c>
      <c r="F704" s="131">
        <v>507306.00000000006</v>
      </c>
    </row>
    <row r="705" spans="4:6" x14ac:dyDescent="0.2">
      <c r="D705" s="121">
        <v>44942</v>
      </c>
      <c r="E705" s="122">
        <v>7.66</v>
      </c>
      <c r="F705" s="131">
        <v>783462</v>
      </c>
    </row>
    <row r="706" spans="4:6" x14ac:dyDescent="0.2">
      <c r="D706" s="121">
        <v>44943</v>
      </c>
      <c r="E706" s="122">
        <v>7.7</v>
      </c>
      <c r="F706" s="131">
        <v>430635</v>
      </c>
    </row>
    <row r="707" spans="4:6" x14ac:dyDescent="0.2">
      <c r="D707" s="121">
        <v>44944</v>
      </c>
      <c r="E707" s="122">
        <v>7.73</v>
      </c>
      <c r="F707" s="131">
        <v>942924</v>
      </c>
    </row>
    <row r="708" spans="4:6" x14ac:dyDescent="0.2">
      <c r="D708" s="121">
        <v>44945</v>
      </c>
      <c r="E708" s="122">
        <v>7.79</v>
      </c>
      <c r="F708" s="131">
        <v>916928</v>
      </c>
    </row>
    <row r="709" spans="4:6" x14ac:dyDescent="0.2">
      <c r="D709" s="121">
        <v>44946</v>
      </c>
      <c r="E709" s="122">
        <v>7.78</v>
      </c>
      <c r="F709" s="131">
        <v>872720</v>
      </c>
    </row>
    <row r="710" spans="4:6" x14ac:dyDescent="0.2">
      <c r="D710" s="121">
        <v>44949</v>
      </c>
      <c r="E710" s="122">
        <v>7.85</v>
      </c>
      <c r="F710" s="131">
        <v>711047</v>
      </c>
    </row>
    <row r="711" spans="4:6" x14ac:dyDescent="0.2">
      <c r="D711" s="121">
        <v>44950</v>
      </c>
      <c r="E711" s="122">
        <v>7.89</v>
      </c>
      <c r="F711" s="131">
        <v>594068</v>
      </c>
    </row>
    <row r="712" spans="4:6" x14ac:dyDescent="0.2">
      <c r="D712" s="121">
        <v>44951</v>
      </c>
      <c r="E712" s="122">
        <v>7.89</v>
      </c>
      <c r="F712" s="131">
        <v>638504</v>
      </c>
    </row>
    <row r="713" spans="4:6" x14ac:dyDescent="0.2">
      <c r="D713" s="121">
        <v>44953</v>
      </c>
      <c r="E713" s="122">
        <v>7.94</v>
      </c>
      <c r="F713" s="131">
        <v>926888</v>
      </c>
    </row>
    <row r="714" spans="4:6" x14ac:dyDescent="0.2">
      <c r="D714" s="121">
        <v>44956</v>
      </c>
      <c r="E714" s="122">
        <v>7.8</v>
      </c>
      <c r="F714" s="131">
        <v>635908</v>
      </c>
    </row>
    <row r="715" spans="4:6" x14ac:dyDescent="0.2">
      <c r="D715" s="121">
        <v>44957</v>
      </c>
      <c r="E715" s="122">
        <v>7.87</v>
      </c>
      <c r="F715" s="131">
        <v>721680</v>
      </c>
    </row>
    <row r="716" spans="4:6" x14ac:dyDescent="0.2">
      <c r="D716" s="121">
        <v>44958</v>
      </c>
      <c r="E716" s="122">
        <v>7.8</v>
      </c>
      <c r="F716" s="131">
        <v>494340</v>
      </c>
    </row>
    <row r="717" spans="4:6" x14ac:dyDescent="0.2">
      <c r="D717" s="121">
        <v>44959</v>
      </c>
      <c r="E717" s="122">
        <v>7.74</v>
      </c>
      <c r="F717" s="131">
        <v>2367335</v>
      </c>
    </row>
    <row r="718" spans="4:6" x14ac:dyDescent="0.2">
      <c r="D718" s="121">
        <v>44960</v>
      </c>
      <c r="E718" s="122">
        <v>7.74</v>
      </c>
      <c r="F718" s="131">
        <v>805019</v>
      </c>
    </row>
    <row r="719" spans="4:6" x14ac:dyDescent="0.2">
      <c r="D719" s="121">
        <v>44963</v>
      </c>
      <c r="E719" s="122">
        <v>7.86</v>
      </c>
      <c r="F719" s="131">
        <v>510796</v>
      </c>
    </row>
    <row r="720" spans="4:6" x14ac:dyDescent="0.2">
      <c r="D720" s="121">
        <v>44964</v>
      </c>
      <c r="E720" s="122">
        <v>7.94</v>
      </c>
      <c r="F720" s="131">
        <v>1089780</v>
      </c>
    </row>
    <row r="721" spans="4:6" x14ac:dyDescent="0.2">
      <c r="D721" s="121">
        <v>44965</v>
      </c>
      <c r="E721" s="122">
        <v>8.0399999999999991</v>
      </c>
      <c r="F721" s="131">
        <v>2854677</v>
      </c>
    </row>
    <row r="722" spans="4:6" x14ac:dyDescent="0.2">
      <c r="D722" s="121">
        <v>44966</v>
      </c>
      <c r="E722" s="122">
        <v>7.96</v>
      </c>
      <c r="F722" s="131">
        <v>572448</v>
      </c>
    </row>
    <row r="723" spans="4:6" x14ac:dyDescent="0.2">
      <c r="D723" s="121">
        <v>44967</v>
      </c>
      <c r="E723" s="122">
        <v>8.01</v>
      </c>
      <c r="F723" s="131">
        <v>780531</v>
      </c>
    </row>
    <row r="724" spans="4:6" x14ac:dyDescent="0.2">
      <c r="D724" s="121">
        <v>44970</v>
      </c>
      <c r="E724" s="122">
        <v>8</v>
      </c>
      <c r="F724" s="131">
        <v>723633</v>
      </c>
    </row>
    <row r="725" spans="4:6" x14ac:dyDescent="0.2">
      <c r="D725" s="121">
        <v>44971</v>
      </c>
      <c r="E725" s="122">
        <v>7.9</v>
      </c>
      <c r="F725" s="131">
        <v>761496</v>
      </c>
    </row>
    <row r="726" spans="4:6" x14ac:dyDescent="0.2">
      <c r="D726" s="121">
        <v>44972</v>
      </c>
      <c r="E726" s="122">
        <v>7.98</v>
      </c>
      <c r="F726" s="131">
        <v>551610</v>
      </c>
    </row>
    <row r="727" spans="4:6" x14ac:dyDescent="0.2">
      <c r="D727" s="121">
        <v>44973</v>
      </c>
      <c r="E727" s="122">
        <v>8.0399999999999991</v>
      </c>
      <c r="F727" s="131">
        <v>769941</v>
      </c>
    </row>
    <row r="728" spans="4:6" x14ac:dyDescent="0.2">
      <c r="D728" s="121">
        <v>44974</v>
      </c>
      <c r="E728" s="122">
        <v>7.94</v>
      </c>
      <c r="F728" s="131">
        <v>1001640.0000000001</v>
      </c>
    </row>
    <row r="729" spans="4:6" x14ac:dyDescent="0.2">
      <c r="D729" s="121">
        <v>44977</v>
      </c>
      <c r="E729" s="122">
        <v>7.02</v>
      </c>
      <c r="F729" s="131">
        <v>3104711</v>
      </c>
    </row>
    <row r="730" spans="4:6" x14ac:dyDescent="0.2">
      <c r="D730" s="121">
        <v>44978</v>
      </c>
      <c r="E730" s="122">
        <v>7.17</v>
      </c>
      <c r="F730" s="131">
        <v>2068603</v>
      </c>
    </row>
    <row r="731" spans="4:6" x14ac:dyDescent="0.2">
      <c r="D731" s="121">
        <v>44979</v>
      </c>
      <c r="E731" s="122">
        <v>7.33</v>
      </c>
      <c r="F731" s="131">
        <v>1257819</v>
      </c>
    </row>
    <row r="732" spans="4:6" x14ac:dyDescent="0.2">
      <c r="D732" s="121">
        <v>44980</v>
      </c>
      <c r="E732" s="122">
        <v>7.42</v>
      </c>
      <c r="F732" s="131">
        <v>1330282</v>
      </c>
    </row>
    <row r="733" spans="4:6" x14ac:dyDescent="0.2">
      <c r="D733" s="121">
        <v>44981</v>
      </c>
      <c r="E733" s="122">
        <v>7.44</v>
      </c>
      <c r="F733" s="131">
        <v>1217006</v>
      </c>
    </row>
    <row r="734" spans="4:6" x14ac:dyDescent="0.2">
      <c r="D734" s="121">
        <v>44984</v>
      </c>
      <c r="E734" s="122">
        <v>7.49</v>
      </c>
      <c r="F734" s="131">
        <v>1142428</v>
      </c>
    </row>
    <row r="735" spans="4:6" x14ac:dyDescent="0.2">
      <c r="D735" s="121">
        <v>44985</v>
      </c>
      <c r="E735" s="122">
        <v>7.6</v>
      </c>
      <c r="F735" s="131">
        <v>2937588</v>
      </c>
    </row>
    <row r="736" spans="4:6" x14ac:dyDescent="0.2">
      <c r="D736" s="121">
        <v>44986</v>
      </c>
      <c r="E736" s="122">
        <v>7.58</v>
      </c>
      <c r="F736" s="131">
        <v>693543</v>
      </c>
    </row>
    <row r="737" spans="4:6" x14ac:dyDescent="0.2">
      <c r="D737" s="121">
        <v>44987</v>
      </c>
      <c r="E737" s="122">
        <v>7.47</v>
      </c>
      <c r="F737" s="131">
        <v>923580</v>
      </c>
    </row>
    <row r="738" spans="4:6" x14ac:dyDescent="0.2">
      <c r="D738" s="121">
        <v>44988</v>
      </c>
      <c r="E738" s="122">
        <v>7.39</v>
      </c>
      <c r="F738" s="131">
        <v>745979</v>
      </c>
    </row>
    <row r="739" spans="4:6" x14ac:dyDescent="0.2">
      <c r="D739" s="121">
        <v>44991</v>
      </c>
      <c r="E739" s="122">
        <v>7.3</v>
      </c>
      <c r="F739" s="131">
        <v>984718</v>
      </c>
    </row>
    <row r="740" spans="4:6" x14ac:dyDescent="0.2">
      <c r="D740" s="121">
        <v>44992</v>
      </c>
      <c r="E740" s="122">
        <v>7.31</v>
      </c>
      <c r="F740" s="131">
        <v>1823682</v>
      </c>
    </row>
    <row r="741" spans="4:6" x14ac:dyDescent="0.2">
      <c r="D741" s="121">
        <v>44993</v>
      </c>
      <c r="E741" s="122">
        <v>7.22</v>
      </c>
      <c r="F741" s="131">
        <v>1769765</v>
      </c>
    </row>
    <row r="742" spans="4:6" x14ac:dyDescent="0.2">
      <c r="D742" s="121">
        <v>44994</v>
      </c>
      <c r="E742" s="122">
        <v>7.36</v>
      </c>
      <c r="F742" s="131">
        <v>936071</v>
      </c>
    </row>
    <row r="743" spans="4:6" x14ac:dyDescent="0.2">
      <c r="D743" s="121">
        <v>44995</v>
      </c>
      <c r="E743" s="122">
        <v>7.25</v>
      </c>
      <c r="F743" s="131">
        <v>780649</v>
      </c>
    </row>
    <row r="744" spans="4:6" x14ac:dyDescent="0.2">
      <c r="D744" s="121">
        <v>44998</v>
      </c>
      <c r="E744" s="122">
        <v>7.04</v>
      </c>
      <c r="F744" s="131">
        <v>802098</v>
      </c>
    </row>
    <row r="745" spans="4:6" x14ac:dyDescent="0.2">
      <c r="D745" s="121">
        <v>44999</v>
      </c>
      <c r="E745" s="122">
        <v>6.88</v>
      </c>
      <c r="F745" s="131">
        <v>1612874</v>
      </c>
    </row>
    <row r="746" spans="4:6" x14ac:dyDescent="0.2">
      <c r="D746" s="121">
        <v>45000</v>
      </c>
      <c r="E746" s="122">
        <v>7</v>
      </c>
      <c r="F746" s="131">
        <v>4347247</v>
      </c>
    </row>
    <row r="747" spans="4:6" x14ac:dyDescent="0.2">
      <c r="D747" s="121">
        <v>45001</v>
      </c>
      <c r="E747" s="122">
        <v>6.99</v>
      </c>
      <c r="F747" s="131">
        <v>2602624</v>
      </c>
    </row>
    <row r="748" spans="4:6" x14ac:dyDescent="0.2">
      <c r="D748" s="121">
        <v>45002</v>
      </c>
      <c r="E748" s="122">
        <v>6.89</v>
      </c>
      <c r="F748" s="131">
        <v>7909281</v>
      </c>
    </row>
    <row r="749" spans="4:6" x14ac:dyDescent="0.2">
      <c r="D749" s="121">
        <v>45005</v>
      </c>
      <c r="E749" s="122">
        <v>6.81</v>
      </c>
      <c r="F749" s="131">
        <v>1204421</v>
      </c>
    </row>
    <row r="750" spans="4:6" x14ac:dyDescent="0.2">
      <c r="D750" s="121">
        <v>45006</v>
      </c>
      <c r="E750" s="122">
        <v>6.83</v>
      </c>
      <c r="F750" s="131">
        <v>418331</v>
      </c>
    </row>
    <row r="751" spans="4:6" x14ac:dyDescent="0.2">
      <c r="D751" s="121">
        <v>45007</v>
      </c>
      <c r="E751" s="122">
        <v>6.97</v>
      </c>
      <c r="F751" s="131">
        <v>1019941</v>
      </c>
    </row>
    <row r="752" spans="4:6" x14ac:dyDescent="0.2">
      <c r="D752" s="121">
        <v>45008</v>
      </c>
      <c r="E752" s="122">
        <v>7</v>
      </c>
      <c r="F752" s="131">
        <v>1295305</v>
      </c>
    </row>
    <row r="753" spans="4:6" x14ac:dyDescent="0.2">
      <c r="D753" s="121">
        <v>45009</v>
      </c>
      <c r="E753" s="122">
        <v>6.93</v>
      </c>
      <c r="F753" s="131">
        <v>639917</v>
      </c>
    </row>
    <row r="754" spans="4:6" x14ac:dyDescent="0.2">
      <c r="D754" s="121">
        <v>45012</v>
      </c>
      <c r="E754" s="122">
        <v>7</v>
      </c>
      <c r="F754" s="131">
        <v>439142</v>
      </c>
    </row>
    <row r="755" spans="4:6" x14ac:dyDescent="0.2">
      <c r="D755" s="121">
        <v>45013</v>
      </c>
      <c r="E755" s="122">
        <v>6.92</v>
      </c>
      <c r="F755" s="131">
        <v>935512</v>
      </c>
    </row>
    <row r="756" spans="4:6" x14ac:dyDescent="0.2">
      <c r="D756" s="121">
        <v>45014</v>
      </c>
      <c r="E756" s="122">
        <v>6.97</v>
      </c>
      <c r="F756" s="131">
        <v>657698</v>
      </c>
    </row>
    <row r="757" spans="4:6" x14ac:dyDescent="0.2">
      <c r="D757" s="121">
        <v>45015</v>
      </c>
      <c r="E757" s="122">
        <v>6.98</v>
      </c>
      <c r="F757" s="131">
        <v>837373</v>
      </c>
    </row>
    <row r="758" spans="4:6" x14ac:dyDescent="0.2">
      <c r="D758" s="121">
        <v>45016</v>
      </c>
      <c r="E758" s="122">
        <v>7.05</v>
      </c>
      <c r="F758" s="131">
        <v>1150691</v>
      </c>
    </row>
    <row r="759" spans="4:6" x14ac:dyDescent="0.2">
      <c r="D759" s="121">
        <v>45019</v>
      </c>
      <c r="E759" s="122">
        <v>7.06</v>
      </c>
      <c r="F759" s="131">
        <v>681160</v>
      </c>
    </row>
    <row r="760" spans="4:6" x14ac:dyDescent="0.2">
      <c r="D760" s="121">
        <v>45020</v>
      </c>
      <c r="E760" s="122">
        <v>7.16</v>
      </c>
      <c r="F760" s="131">
        <v>454660</v>
      </c>
    </row>
    <row r="761" spans="4:6" x14ac:dyDescent="0.2">
      <c r="D761" s="121">
        <v>45021</v>
      </c>
      <c r="E761" s="122">
        <v>7.22</v>
      </c>
      <c r="F761" s="131">
        <v>658723</v>
      </c>
    </row>
    <row r="762" spans="4:6" x14ac:dyDescent="0.2">
      <c r="D762" s="121">
        <v>45022</v>
      </c>
      <c r="E762" s="122">
        <v>7.23</v>
      </c>
      <c r="F762" s="131">
        <v>488300</v>
      </c>
    </row>
    <row r="763" spans="4:6" x14ac:dyDescent="0.2">
      <c r="D763" s="121">
        <v>45027</v>
      </c>
      <c r="E763" s="122">
        <v>7.24</v>
      </c>
      <c r="F763" s="131">
        <v>957503</v>
      </c>
    </row>
    <row r="764" spans="4:6" x14ac:dyDescent="0.2">
      <c r="D764" s="121">
        <v>45028</v>
      </c>
      <c r="E764" s="122">
        <v>7.39</v>
      </c>
      <c r="F764" s="131">
        <v>794950</v>
      </c>
    </row>
    <row r="765" spans="4:6" x14ac:dyDescent="0.2">
      <c r="D765" s="121">
        <v>45029</v>
      </c>
      <c r="E765" s="122">
        <v>7.39</v>
      </c>
      <c r="F765" s="131">
        <v>1097425</v>
      </c>
    </row>
    <row r="766" spans="4:6" x14ac:dyDescent="0.2">
      <c r="D766" s="121">
        <v>45030</v>
      </c>
      <c r="E766" s="122">
        <v>7.45</v>
      </c>
      <c r="F766" s="131">
        <v>808373</v>
      </c>
    </row>
    <row r="767" spans="4:6" x14ac:dyDescent="0.2">
      <c r="D767" s="121">
        <v>45033</v>
      </c>
      <c r="E767" s="122">
        <v>7.45</v>
      </c>
      <c r="F767" s="131">
        <v>328770</v>
      </c>
    </row>
    <row r="768" spans="4:6" x14ac:dyDescent="0.2">
      <c r="D768" s="121">
        <v>45034</v>
      </c>
      <c r="E768" s="122">
        <v>7.39</v>
      </c>
      <c r="F768" s="131">
        <v>1398301</v>
      </c>
    </row>
    <row r="769" spans="4:6" x14ac:dyDescent="0.2">
      <c r="D769" s="121">
        <v>45035</v>
      </c>
      <c r="E769" s="122">
        <v>7.48</v>
      </c>
      <c r="F769" s="131">
        <v>433252</v>
      </c>
    </row>
    <row r="770" spans="4:6" x14ac:dyDescent="0.2">
      <c r="D770" s="121">
        <v>45036</v>
      </c>
      <c r="E770" s="122">
        <v>7.57</v>
      </c>
      <c r="F770" s="131">
        <v>873885</v>
      </c>
    </row>
    <row r="771" spans="4:6" x14ac:dyDescent="0.2">
      <c r="D771" s="121">
        <v>45037</v>
      </c>
      <c r="E771" s="122">
        <v>7.64</v>
      </c>
      <c r="F771" s="131">
        <v>688705</v>
      </c>
    </row>
    <row r="772" spans="4:6" x14ac:dyDescent="0.2">
      <c r="D772" s="121">
        <v>45040</v>
      </c>
      <c r="E772" s="122">
        <v>7.7</v>
      </c>
      <c r="F772" s="131">
        <v>630660</v>
      </c>
    </row>
    <row r="773" spans="4:6" x14ac:dyDescent="0.2">
      <c r="D773" s="121">
        <v>45042</v>
      </c>
      <c r="E773" s="122">
        <v>7.75</v>
      </c>
      <c r="F773" s="131">
        <v>1197529</v>
      </c>
    </row>
    <row r="774" spans="4:6" x14ac:dyDescent="0.2">
      <c r="D774" s="121">
        <v>45043</v>
      </c>
      <c r="E774" s="122">
        <v>7.69</v>
      </c>
      <c r="F774" s="131">
        <v>482581</v>
      </c>
    </row>
    <row r="775" spans="4:6" x14ac:dyDescent="0.2">
      <c r="D775" s="121">
        <v>45044</v>
      </c>
      <c r="E775" s="122">
        <v>7.72</v>
      </c>
      <c r="F775" s="131">
        <v>1534519</v>
      </c>
    </row>
    <row r="776" spans="4:6" x14ac:dyDescent="0.2">
      <c r="D776" s="121">
        <v>45047</v>
      </c>
      <c r="E776" s="122">
        <v>7.58</v>
      </c>
      <c r="F776" s="131">
        <v>1049245</v>
      </c>
    </row>
    <row r="777" spans="4:6" x14ac:dyDescent="0.2">
      <c r="D777" s="121">
        <v>45048</v>
      </c>
      <c r="E777" s="122">
        <v>7.63</v>
      </c>
      <c r="F777" s="131">
        <v>1109637</v>
      </c>
    </row>
    <row r="778" spans="4:6" x14ac:dyDescent="0.2">
      <c r="D778" s="121">
        <v>45049</v>
      </c>
      <c r="E778" s="122">
        <v>7.52</v>
      </c>
      <c r="F778" s="131">
        <v>1262807</v>
      </c>
    </row>
    <row r="779" spans="4:6" x14ac:dyDescent="0.2">
      <c r="D779" s="121">
        <v>45050</v>
      </c>
      <c r="E779" s="122">
        <v>7.71</v>
      </c>
      <c r="F779" s="131">
        <v>955798</v>
      </c>
    </row>
    <row r="780" spans="4:6" x14ac:dyDescent="0.2">
      <c r="D780" s="121">
        <v>45051</v>
      </c>
      <c r="E780" s="122">
        <v>7.9</v>
      </c>
      <c r="F780" s="131">
        <v>1329945</v>
      </c>
    </row>
    <row r="781" spans="4:6" x14ac:dyDescent="0.2">
      <c r="D781" s="121">
        <v>45054</v>
      </c>
      <c r="E781" s="122">
        <v>8.0399999999999991</v>
      </c>
      <c r="F781" s="131">
        <v>2464248</v>
      </c>
    </row>
    <row r="782" spans="4:6" x14ac:dyDescent="0.2">
      <c r="D782" s="121">
        <v>45055</v>
      </c>
      <c r="E782" s="122">
        <v>8.1199999999999992</v>
      </c>
      <c r="F782" s="131">
        <v>3103594</v>
      </c>
    </row>
    <row r="783" spans="4:6" x14ac:dyDescent="0.2">
      <c r="D783" s="121">
        <v>45056</v>
      </c>
      <c r="E783" s="122">
        <v>8.02</v>
      </c>
      <c r="F783" s="131">
        <v>2519679</v>
      </c>
    </row>
    <row r="784" spans="4:6" x14ac:dyDescent="0.2">
      <c r="D784" s="121">
        <v>45057</v>
      </c>
      <c r="E784" s="122">
        <v>8</v>
      </c>
      <c r="F784" s="131">
        <v>3518190</v>
      </c>
    </row>
    <row r="785" spans="4:6" x14ac:dyDescent="0.2">
      <c r="D785" s="121">
        <v>45058</v>
      </c>
      <c r="E785" s="122">
        <v>8.06</v>
      </c>
      <c r="F785" s="131">
        <v>801289</v>
      </c>
    </row>
    <row r="786" spans="4:6" x14ac:dyDescent="0.2">
      <c r="D786" s="121">
        <v>45061</v>
      </c>
      <c r="E786" s="122">
        <v>8.1300000000000008</v>
      </c>
      <c r="F786" s="131">
        <v>1134644</v>
      </c>
    </row>
    <row r="787" spans="4:6" x14ac:dyDescent="0.2">
      <c r="D787" s="121">
        <v>45062</v>
      </c>
      <c r="E787" s="122">
        <v>8.1300000000000008</v>
      </c>
      <c r="F787" s="131">
        <v>1097420</v>
      </c>
    </row>
    <row r="788" spans="4:6" x14ac:dyDescent="0.2">
      <c r="D788" s="121">
        <v>45063</v>
      </c>
      <c r="E788" s="122">
        <v>8.07</v>
      </c>
      <c r="F788" s="131">
        <v>731801</v>
      </c>
    </row>
    <row r="789" spans="4:6" x14ac:dyDescent="0.2">
      <c r="D789" s="121">
        <v>45064</v>
      </c>
      <c r="E789" s="122">
        <v>8.11</v>
      </c>
      <c r="F789" s="131">
        <v>1110808</v>
      </c>
    </row>
    <row r="790" spans="4:6" x14ac:dyDescent="0.2">
      <c r="D790" s="121">
        <v>45065</v>
      </c>
      <c r="E790" s="122">
        <v>8.16</v>
      </c>
      <c r="F790" s="131">
        <v>668854</v>
      </c>
    </row>
    <row r="791" spans="4:6" x14ac:dyDescent="0.2">
      <c r="D791" s="121">
        <v>45068</v>
      </c>
      <c r="E791" s="122">
        <v>8.2899999999999991</v>
      </c>
      <c r="F791" s="131">
        <v>1295420</v>
      </c>
    </row>
    <row r="792" spans="4:6" x14ac:dyDescent="0.2">
      <c r="D792" s="121">
        <v>45069</v>
      </c>
      <c r="E792" s="122">
        <v>8.2200000000000006</v>
      </c>
      <c r="F792" s="131">
        <v>1220981</v>
      </c>
    </row>
    <row r="793" spans="4:6" x14ac:dyDescent="0.2">
      <c r="D793" s="121">
        <v>45070</v>
      </c>
      <c r="E793" s="122">
        <v>8.2100000000000009</v>
      </c>
      <c r="F793" s="131">
        <v>1067778</v>
      </c>
    </row>
    <row r="794" spans="4:6" x14ac:dyDescent="0.2">
      <c r="D794" s="121">
        <v>45071</v>
      </c>
      <c r="E794" s="122">
        <v>8.25</v>
      </c>
      <c r="F794" s="131">
        <v>1197416</v>
      </c>
    </row>
    <row r="795" spans="4:6" x14ac:dyDescent="0.2">
      <c r="D795" s="121">
        <v>45072</v>
      </c>
      <c r="E795" s="122">
        <v>8.2200000000000006</v>
      </c>
      <c r="F795" s="131">
        <v>621315</v>
      </c>
    </row>
    <row r="796" spans="4:6" x14ac:dyDescent="0.2">
      <c r="D796" s="121">
        <v>45075</v>
      </c>
      <c r="E796" s="122">
        <v>8.4600000000000009</v>
      </c>
      <c r="F796" s="131">
        <v>999367</v>
      </c>
    </row>
    <row r="797" spans="4:6" x14ac:dyDescent="0.2">
      <c r="D797" s="121">
        <v>45076</v>
      </c>
      <c r="E797" s="122">
        <v>8.5299999999999994</v>
      </c>
      <c r="F797" s="131">
        <v>675789</v>
      </c>
    </row>
    <row r="798" spans="4:6" x14ac:dyDescent="0.2">
      <c r="D798" s="121">
        <v>45077</v>
      </c>
      <c r="E798" s="122">
        <v>8.4499999999999993</v>
      </c>
      <c r="F798" s="131">
        <v>1547369</v>
      </c>
    </row>
    <row r="799" spans="4:6" x14ac:dyDescent="0.2">
      <c r="D799" s="121">
        <v>45078</v>
      </c>
      <c r="E799" s="122">
        <v>8.44</v>
      </c>
      <c r="F799" s="131">
        <v>1939000</v>
      </c>
    </row>
    <row r="800" spans="4:6" x14ac:dyDescent="0.2">
      <c r="D800" s="121">
        <v>45079</v>
      </c>
      <c r="E800" s="122">
        <v>8.3699999999999992</v>
      </c>
      <c r="F800" s="131">
        <v>601848</v>
      </c>
    </row>
    <row r="801" spans="4:6" x14ac:dyDescent="0.2">
      <c r="D801" s="121">
        <v>45082</v>
      </c>
      <c r="E801" s="122">
        <v>8.4</v>
      </c>
      <c r="F801" s="131">
        <v>746406</v>
      </c>
    </row>
    <row r="802" spans="4:6" x14ac:dyDescent="0.2">
      <c r="D802" s="121">
        <v>45083</v>
      </c>
      <c r="E802" s="122">
        <v>8.4700000000000006</v>
      </c>
      <c r="F802" s="131">
        <v>853247</v>
      </c>
    </row>
    <row r="803" spans="4:6" x14ac:dyDescent="0.2">
      <c r="D803" s="121">
        <v>45084</v>
      </c>
      <c r="E803" s="122">
        <v>8.41</v>
      </c>
      <c r="F803" s="131">
        <v>770961</v>
      </c>
    </row>
    <row r="804" spans="4:6" x14ac:dyDescent="0.2">
      <c r="D804" s="121">
        <v>45085</v>
      </c>
      <c r="E804" s="122">
        <v>8.39</v>
      </c>
      <c r="F804" s="131">
        <v>1502047</v>
      </c>
    </row>
    <row r="805" spans="4:6" x14ac:dyDescent="0.2">
      <c r="D805" s="121">
        <v>45086</v>
      </c>
      <c r="E805" s="122">
        <v>8.48</v>
      </c>
      <c r="F805" s="131">
        <v>556990</v>
      </c>
    </row>
    <row r="806" spans="4:6" x14ac:dyDescent="0.2">
      <c r="D806" s="121">
        <v>45090</v>
      </c>
      <c r="E806" s="122">
        <v>8.51</v>
      </c>
      <c r="F806" s="131">
        <v>1143955</v>
      </c>
    </row>
    <row r="807" spans="4:6" x14ac:dyDescent="0.2">
      <c r="D807" s="121">
        <v>45091</v>
      </c>
      <c r="E807" s="122">
        <v>8.5500000000000007</v>
      </c>
      <c r="F807" s="131">
        <v>953917</v>
      </c>
    </row>
    <row r="808" spans="4:6" x14ac:dyDescent="0.2">
      <c r="D808" s="121">
        <v>45092</v>
      </c>
      <c r="E808" s="122">
        <v>8.6</v>
      </c>
      <c r="F808" s="131">
        <v>1073487</v>
      </c>
    </row>
    <row r="809" spans="4:6" x14ac:dyDescent="0.2">
      <c r="D809" s="121">
        <v>45093</v>
      </c>
      <c r="E809" s="122">
        <v>8.69</v>
      </c>
      <c r="F809" s="131">
        <v>1570271</v>
      </c>
    </row>
    <row r="810" spans="4:6" x14ac:dyDescent="0.2">
      <c r="D810" s="121">
        <v>45096</v>
      </c>
      <c r="E810" s="122">
        <v>8.8000000000000007</v>
      </c>
      <c r="F810" s="131">
        <v>1324966</v>
      </c>
    </row>
    <row r="811" spans="4:6" x14ac:dyDescent="0.2">
      <c r="D811" s="121">
        <v>45097</v>
      </c>
      <c r="E811" s="122">
        <v>8.8000000000000007</v>
      </c>
      <c r="F811" s="131">
        <v>832176</v>
      </c>
    </row>
    <row r="812" spans="4:6" x14ac:dyDescent="0.2">
      <c r="D812" s="121">
        <v>45098</v>
      </c>
      <c r="E812" s="122">
        <v>8.85</v>
      </c>
      <c r="F812" s="131">
        <v>935742</v>
      </c>
    </row>
    <row r="813" spans="4:6" x14ac:dyDescent="0.2">
      <c r="D813" s="121">
        <v>45099</v>
      </c>
      <c r="E813" s="122">
        <v>8.68</v>
      </c>
      <c r="F813" s="131">
        <v>1294882</v>
      </c>
    </row>
    <row r="814" spans="4:6" x14ac:dyDescent="0.2">
      <c r="D814" s="121">
        <v>45100</v>
      </c>
      <c r="E814" s="122">
        <v>8.57</v>
      </c>
      <c r="F814" s="131">
        <v>1338426</v>
      </c>
    </row>
    <row r="815" spans="4:6" x14ac:dyDescent="0.2">
      <c r="D815" s="121">
        <v>45103</v>
      </c>
      <c r="E815" s="122">
        <v>8.5</v>
      </c>
      <c r="F815" s="131">
        <v>999660</v>
      </c>
    </row>
    <row r="816" spans="4:6" x14ac:dyDescent="0.2">
      <c r="D816" s="121">
        <v>45104</v>
      </c>
      <c r="E816" s="122">
        <v>8.3699999999999992</v>
      </c>
      <c r="F816" s="131">
        <v>1398798</v>
      </c>
    </row>
    <row r="817" spans="4:6" x14ac:dyDescent="0.2">
      <c r="D817" s="121">
        <v>45105</v>
      </c>
      <c r="E817" s="122">
        <v>8.5</v>
      </c>
      <c r="F817" s="131">
        <v>994609</v>
      </c>
    </row>
    <row r="818" spans="4:6" x14ac:dyDescent="0.2">
      <c r="D818" s="121">
        <v>45106</v>
      </c>
      <c r="E818" s="122">
        <v>8.4700000000000006</v>
      </c>
      <c r="F818" s="131">
        <v>1037976.9999999999</v>
      </c>
    </row>
    <row r="819" spans="4:6" x14ac:dyDescent="0.2">
      <c r="D819" s="121">
        <v>45107</v>
      </c>
      <c r="E819" s="122">
        <v>8.4499999999999993</v>
      </c>
      <c r="F819" s="131">
        <v>1419326</v>
      </c>
    </row>
    <row r="820" spans="4:6" x14ac:dyDescent="0.2">
      <c r="D820" s="121">
        <v>45110</v>
      </c>
      <c r="E820" s="122">
        <v>8.43</v>
      </c>
      <c r="F820" s="131">
        <v>947432</v>
      </c>
    </row>
    <row r="821" spans="4:6" x14ac:dyDescent="0.2">
      <c r="D821" s="121">
        <v>45111</v>
      </c>
      <c r="E821" s="122">
        <v>8.7200000000000006</v>
      </c>
      <c r="F821" s="131">
        <v>805944</v>
      </c>
    </row>
    <row r="822" spans="4:6" x14ac:dyDescent="0.2">
      <c r="D822" s="121">
        <v>45112</v>
      </c>
      <c r="E822" s="122">
        <v>8.69</v>
      </c>
      <c r="F822" s="131">
        <v>916285</v>
      </c>
    </row>
    <row r="823" spans="4:6" x14ac:dyDescent="0.2">
      <c r="D823" s="121">
        <v>45113</v>
      </c>
      <c r="E823" s="122">
        <v>8.67</v>
      </c>
      <c r="F823" s="131">
        <v>861665</v>
      </c>
    </row>
    <row r="824" spans="4:6" x14ac:dyDescent="0.2">
      <c r="D824" s="121">
        <v>45114</v>
      </c>
      <c r="E824" s="122">
        <v>8.5299999999999994</v>
      </c>
      <c r="F824" s="131">
        <v>611404</v>
      </c>
    </row>
    <row r="825" spans="4:6" x14ac:dyDescent="0.2">
      <c r="D825" s="121">
        <v>45117</v>
      </c>
      <c r="E825" s="122">
        <v>8.48</v>
      </c>
      <c r="F825" s="131">
        <v>466729</v>
      </c>
    </row>
    <row r="826" spans="4:6" x14ac:dyDescent="0.2">
      <c r="D826" s="121">
        <v>45118</v>
      </c>
      <c r="E826" s="122">
        <v>8.49</v>
      </c>
      <c r="F826" s="131">
        <v>659911</v>
      </c>
    </row>
    <row r="827" spans="4:6" x14ac:dyDescent="0.2">
      <c r="D827" s="121">
        <v>45119</v>
      </c>
      <c r="E827" s="122">
        <v>8.43</v>
      </c>
      <c r="F827" s="131">
        <v>673328</v>
      </c>
    </row>
    <row r="828" spans="4:6" x14ac:dyDescent="0.2">
      <c r="D828" s="121">
        <v>45120</v>
      </c>
      <c r="E828" s="122">
        <v>8.2799999999999994</v>
      </c>
      <c r="F828" s="131">
        <v>1114261</v>
      </c>
    </row>
    <row r="829" spans="4:6" x14ac:dyDescent="0.2">
      <c r="D829" s="121">
        <v>45121</v>
      </c>
      <c r="E829" s="122">
        <v>8.2899999999999991</v>
      </c>
      <c r="F829" s="131">
        <v>910799</v>
      </c>
    </row>
    <row r="830" spans="4:6" x14ac:dyDescent="0.2">
      <c r="D830" s="121">
        <v>45124</v>
      </c>
      <c r="E830" s="122">
        <v>8.14</v>
      </c>
      <c r="F830" s="131">
        <v>2275256</v>
      </c>
    </row>
    <row r="831" spans="4:6" x14ac:dyDescent="0.2">
      <c r="D831" s="121">
        <v>45125</v>
      </c>
      <c r="E831" s="122">
        <v>8.2200000000000006</v>
      </c>
      <c r="F831" s="131">
        <v>802426</v>
      </c>
    </row>
    <row r="832" spans="4:6" x14ac:dyDescent="0.2">
      <c r="D832" s="121">
        <v>45126</v>
      </c>
      <c r="E832" s="122">
        <v>8.25</v>
      </c>
      <c r="F832" s="131">
        <v>907254</v>
      </c>
    </row>
    <row r="833" spans="4:6" x14ac:dyDescent="0.2">
      <c r="D833" s="121">
        <v>45127</v>
      </c>
      <c r="E833" s="122">
        <v>8.23</v>
      </c>
      <c r="F833" s="131">
        <v>515857</v>
      </c>
    </row>
    <row r="834" spans="4:6" x14ac:dyDescent="0.2">
      <c r="D834" s="121">
        <v>45128</v>
      </c>
      <c r="E834" s="122">
        <v>8.2200000000000006</v>
      </c>
      <c r="F834" s="131">
        <v>767750</v>
      </c>
    </row>
    <row r="835" spans="4:6" x14ac:dyDescent="0.2">
      <c r="D835" s="121">
        <v>45131</v>
      </c>
      <c r="E835" s="122">
        <v>8.3000000000000007</v>
      </c>
      <c r="F835" s="131">
        <v>942820</v>
      </c>
    </row>
    <row r="836" spans="4:6" x14ac:dyDescent="0.2">
      <c r="D836" s="121">
        <v>45132</v>
      </c>
      <c r="E836" s="122">
        <v>8.35</v>
      </c>
      <c r="F836" s="131">
        <v>600066</v>
      </c>
    </row>
    <row r="837" spans="4:6" x14ac:dyDescent="0.2">
      <c r="D837" s="121">
        <v>45133</v>
      </c>
      <c r="E837" s="122">
        <v>8.42</v>
      </c>
      <c r="F837" s="131">
        <v>757945</v>
      </c>
    </row>
    <row r="838" spans="4:6" x14ac:dyDescent="0.2">
      <c r="D838" s="121">
        <v>45134</v>
      </c>
      <c r="E838" s="122">
        <v>8.35</v>
      </c>
      <c r="F838" s="131">
        <v>1594912</v>
      </c>
    </row>
    <row r="839" spans="4:6" x14ac:dyDescent="0.2">
      <c r="D839" s="121">
        <v>45135</v>
      </c>
      <c r="E839" s="122">
        <v>8.35</v>
      </c>
      <c r="F839" s="131">
        <v>988528</v>
      </c>
    </row>
    <row r="840" spans="4:6" x14ac:dyDescent="0.2">
      <c r="D840" s="121">
        <v>45138</v>
      </c>
      <c r="E840" s="122">
        <v>8.2799999999999994</v>
      </c>
      <c r="F840" s="131">
        <v>756530</v>
      </c>
    </row>
    <row r="841" spans="4:6" x14ac:dyDescent="0.2">
      <c r="D841" s="121">
        <v>45139</v>
      </c>
      <c r="E841" s="122">
        <v>8.23</v>
      </c>
      <c r="F841" s="131">
        <v>468465</v>
      </c>
    </row>
    <row r="842" spans="4:6" x14ac:dyDescent="0.2">
      <c r="D842" s="121">
        <v>45140</v>
      </c>
      <c r="E842" s="122">
        <v>8.1199999999999992</v>
      </c>
      <c r="F842" s="131">
        <v>744408</v>
      </c>
    </row>
    <row r="843" spans="4:6" x14ac:dyDescent="0.2">
      <c r="D843" s="121">
        <v>45141</v>
      </c>
      <c r="E843" s="122">
        <v>8.14</v>
      </c>
      <c r="F843" s="131">
        <v>609175</v>
      </c>
    </row>
    <row r="844" spans="4:6" x14ac:dyDescent="0.2">
      <c r="D844" s="121">
        <v>45142</v>
      </c>
      <c r="E844" s="122">
        <v>8.15</v>
      </c>
      <c r="F844" s="131">
        <v>1338341</v>
      </c>
    </row>
    <row r="845" spans="4:6" x14ac:dyDescent="0.2">
      <c r="D845" s="121">
        <v>45145</v>
      </c>
      <c r="E845" s="122">
        <v>8.0500000000000007</v>
      </c>
      <c r="F845" s="131">
        <v>412864</v>
      </c>
    </row>
    <row r="846" spans="4:6" x14ac:dyDescent="0.2">
      <c r="D846" s="121">
        <v>45146</v>
      </c>
      <c r="E846" s="122">
        <v>8</v>
      </c>
      <c r="F846" s="131">
        <v>1149311</v>
      </c>
    </row>
    <row r="847" spans="4:6" x14ac:dyDescent="0.2">
      <c r="D847" s="121">
        <v>45147</v>
      </c>
      <c r="E847" s="122">
        <v>7.92</v>
      </c>
      <c r="F847" s="131">
        <v>722886</v>
      </c>
    </row>
    <row r="848" spans="4:6" x14ac:dyDescent="0.2">
      <c r="D848" s="121">
        <v>45148</v>
      </c>
      <c r="E848" s="122">
        <v>7.91</v>
      </c>
      <c r="F848" s="131">
        <v>1418603</v>
      </c>
    </row>
    <row r="849" spans="4:6" x14ac:dyDescent="0.2">
      <c r="D849" s="121">
        <v>45149</v>
      </c>
      <c r="E849" s="122">
        <v>7.9</v>
      </c>
      <c r="F849" s="131">
        <v>580893</v>
      </c>
    </row>
    <row r="850" spans="4:6" x14ac:dyDescent="0.2">
      <c r="D850" s="121">
        <v>45152</v>
      </c>
      <c r="E850" s="122">
        <v>7.87</v>
      </c>
      <c r="F850" s="131">
        <v>511573.00000000006</v>
      </c>
    </row>
    <row r="851" spans="4:6" x14ac:dyDescent="0.2">
      <c r="D851" s="121">
        <v>45153</v>
      </c>
      <c r="E851" s="122">
        <v>7.89</v>
      </c>
      <c r="F851" s="131">
        <v>664343</v>
      </c>
    </row>
    <row r="852" spans="4:6" x14ac:dyDescent="0.2">
      <c r="D852" s="121">
        <v>45154</v>
      </c>
      <c r="E852" s="122">
        <v>7.81</v>
      </c>
      <c r="F852" s="131">
        <v>1004256</v>
      </c>
    </row>
    <row r="853" spans="4:6" x14ac:dyDescent="0.2">
      <c r="D853" s="121">
        <v>45155</v>
      </c>
      <c r="E853" s="122">
        <v>7.88</v>
      </c>
      <c r="F853" s="131">
        <v>719545</v>
      </c>
    </row>
    <row r="854" spans="4:6" x14ac:dyDescent="0.2">
      <c r="D854" s="121">
        <v>45156</v>
      </c>
      <c r="E854" s="122">
        <v>8</v>
      </c>
      <c r="F854" s="131">
        <v>796204</v>
      </c>
    </row>
    <row r="855" spans="4:6" x14ac:dyDescent="0.2">
      <c r="D855" s="121">
        <v>45159</v>
      </c>
      <c r="E855" s="122">
        <v>8.36</v>
      </c>
      <c r="F855" s="131">
        <v>1854660</v>
      </c>
    </row>
    <row r="856" spans="4:6" x14ac:dyDescent="0.2">
      <c r="D856" s="121">
        <v>45160</v>
      </c>
      <c r="E856" s="122">
        <v>7.76</v>
      </c>
      <c r="F856" s="131">
        <v>1511627</v>
      </c>
    </row>
    <row r="857" spans="4:6" x14ac:dyDescent="0.2">
      <c r="D857" s="121">
        <v>45161</v>
      </c>
      <c r="E857" s="122">
        <v>7.79</v>
      </c>
      <c r="F857" s="131">
        <v>1230338</v>
      </c>
    </row>
    <row r="858" spans="4:6" x14ac:dyDescent="0.2">
      <c r="D858" s="121">
        <v>45162</v>
      </c>
      <c r="E858" s="122">
        <v>7.99</v>
      </c>
      <c r="F858" s="131">
        <v>744103</v>
      </c>
    </row>
    <row r="859" spans="4:6" x14ac:dyDescent="0.2">
      <c r="D859" s="121">
        <v>45163</v>
      </c>
      <c r="E859" s="122">
        <v>8.0299999999999994</v>
      </c>
      <c r="F859" s="131">
        <v>1001390</v>
      </c>
    </row>
    <row r="860" spans="4:6" x14ac:dyDescent="0.2">
      <c r="D860" s="121">
        <v>45166</v>
      </c>
      <c r="E860" s="122">
        <v>8.1199999999999992</v>
      </c>
      <c r="F860" s="131">
        <v>930489</v>
      </c>
    </row>
    <row r="861" spans="4:6" x14ac:dyDescent="0.2">
      <c r="D861" s="121">
        <v>45167</v>
      </c>
      <c r="E861" s="122">
        <v>8.08</v>
      </c>
      <c r="F861" s="131">
        <v>459349</v>
      </c>
    </row>
    <row r="862" spans="4:6" x14ac:dyDescent="0.2">
      <c r="D862" s="121">
        <v>45168</v>
      </c>
      <c r="E862" s="122">
        <v>8.16</v>
      </c>
      <c r="F862" s="131">
        <v>2249980</v>
      </c>
    </row>
    <row r="863" spans="4:6" x14ac:dyDescent="0.2">
      <c r="D863" s="121">
        <v>45169</v>
      </c>
      <c r="E863" s="122">
        <v>8.32</v>
      </c>
      <c r="F863" s="131">
        <v>718072</v>
      </c>
    </row>
    <row r="864" spans="4:6" x14ac:dyDescent="0.2">
      <c r="D864" s="121">
        <v>45170</v>
      </c>
      <c r="E864" s="122">
        <v>8.24</v>
      </c>
      <c r="F864" s="131">
        <v>394574</v>
      </c>
    </row>
    <row r="865" spans="4:6" x14ac:dyDescent="0.2">
      <c r="D865" s="121">
        <v>45173</v>
      </c>
      <c r="E865" s="122">
        <v>8.0399999999999991</v>
      </c>
      <c r="F865" s="131">
        <v>363889</v>
      </c>
    </row>
    <row r="866" spans="4:6" x14ac:dyDescent="0.2">
      <c r="D866" s="121">
        <v>45174</v>
      </c>
      <c r="E866" s="122">
        <v>7.95</v>
      </c>
      <c r="F866" s="131">
        <v>489405</v>
      </c>
    </row>
    <row r="867" spans="4:6" x14ac:dyDescent="0.2">
      <c r="D867" s="121">
        <v>45175</v>
      </c>
      <c r="E867" s="122">
        <v>7.76</v>
      </c>
      <c r="F867" s="131">
        <v>471467</v>
      </c>
    </row>
    <row r="868" spans="4:6" x14ac:dyDescent="0.2">
      <c r="D868" s="121">
        <v>45176</v>
      </c>
      <c r="E868" s="122">
        <v>7.59</v>
      </c>
      <c r="F868" s="131">
        <v>1560187</v>
      </c>
    </row>
    <row r="869" spans="4:6" x14ac:dyDescent="0.2">
      <c r="D869" s="121">
        <v>45177</v>
      </c>
      <c r="E869" s="122">
        <v>7.61</v>
      </c>
      <c r="F869" s="131">
        <v>854772</v>
      </c>
    </row>
    <row r="870" spans="4:6" x14ac:dyDescent="0.2">
      <c r="D870" s="121">
        <v>45180</v>
      </c>
      <c r="E870" s="122">
        <v>7.79</v>
      </c>
      <c r="F870" s="131">
        <v>932478</v>
      </c>
    </row>
    <row r="871" spans="4:6" x14ac:dyDescent="0.2">
      <c r="D871" s="121">
        <v>45181</v>
      </c>
      <c r="E871" s="122">
        <v>7.73</v>
      </c>
      <c r="F871" s="131">
        <v>587373</v>
      </c>
    </row>
    <row r="872" spans="4:6" x14ac:dyDescent="0.2">
      <c r="D872" s="121">
        <v>45182</v>
      </c>
      <c r="E872" s="122">
        <v>7.71</v>
      </c>
      <c r="F872" s="131">
        <v>629571</v>
      </c>
    </row>
    <row r="873" spans="4:6" x14ac:dyDescent="0.2">
      <c r="D873" s="121">
        <v>45183</v>
      </c>
      <c r="E873" s="122">
        <v>7.67</v>
      </c>
      <c r="F873" s="131">
        <v>875304</v>
      </c>
    </row>
    <row r="874" spans="4:6" x14ac:dyDescent="0.2">
      <c r="D874" s="121">
        <v>45184</v>
      </c>
      <c r="E874" s="122">
        <v>7.72</v>
      </c>
      <c r="F874" s="131">
        <v>1581127</v>
      </c>
    </row>
    <row r="875" spans="4:6" x14ac:dyDescent="0.2">
      <c r="D875" s="121">
        <v>45187</v>
      </c>
      <c r="E875" s="122">
        <v>7.63</v>
      </c>
      <c r="F875" s="131">
        <v>547343</v>
      </c>
    </row>
    <row r="876" spans="4:6" x14ac:dyDescent="0.2">
      <c r="D876" s="121">
        <v>45188</v>
      </c>
      <c r="E876" s="122">
        <v>7.6</v>
      </c>
      <c r="F876" s="131">
        <v>484637</v>
      </c>
    </row>
    <row r="877" spans="4:6" x14ac:dyDescent="0.2">
      <c r="D877" s="121">
        <v>45189</v>
      </c>
      <c r="E877" s="122">
        <v>7.67</v>
      </c>
      <c r="F877" s="131">
        <v>937526</v>
      </c>
    </row>
    <row r="878" spans="4:6" x14ac:dyDescent="0.2">
      <c r="D878" s="121">
        <v>45190</v>
      </c>
      <c r="E878" s="122">
        <v>7.54</v>
      </c>
      <c r="F878" s="131">
        <v>936767</v>
      </c>
    </row>
    <row r="879" spans="4:6" x14ac:dyDescent="0.2">
      <c r="D879" s="121">
        <v>45191</v>
      </c>
      <c r="E879" s="122">
        <v>7.47</v>
      </c>
      <c r="F879" s="131">
        <v>1055471</v>
      </c>
    </row>
    <row r="880" spans="4:6" x14ac:dyDescent="0.2">
      <c r="D880" s="121">
        <v>45194</v>
      </c>
      <c r="E880" s="122">
        <v>7.56</v>
      </c>
      <c r="F880" s="131">
        <v>680600</v>
      </c>
    </row>
    <row r="881" spans="4:6" x14ac:dyDescent="0.2">
      <c r="D881" s="121">
        <v>45195</v>
      </c>
      <c r="E881" s="122">
        <v>7.5</v>
      </c>
      <c r="F881" s="131">
        <v>527189</v>
      </c>
    </row>
    <row r="882" spans="4:6" x14ac:dyDescent="0.2">
      <c r="D882" s="121">
        <v>45196</v>
      </c>
      <c r="E882" s="122">
        <v>7.43</v>
      </c>
      <c r="F882" s="131">
        <v>682874</v>
      </c>
    </row>
    <row r="883" spans="4:6" x14ac:dyDescent="0.2">
      <c r="D883" s="121">
        <v>45197</v>
      </c>
      <c r="E883" s="122">
        <v>7.47</v>
      </c>
      <c r="F883" s="131">
        <v>547126</v>
      </c>
    </row>
    <row r="884" spans="4:6" x14ac:dyDescent="0.2">
      <c r="D884" s="121">
        <v>45198</v>
      </c>
      <c r="E884" s="122">
        <v>7.43</v>
      </c>
      <c r="F884" s="131">
        <v>414052</v>
      </c>
    </row>
    <row r="885" spans="4:6" x14ac:dyDescent="0.2">
      <c r="D885" s="121">
        <v>45201</v>
      </c>
      <c r="E885" s="122">
        <v>7.39</v>
      </c>
      <c r="F885" s="131">
        <v>310581</v>
      </c>
    </row>
    <row r="886" spans="4:6" x14ac:dyDescent="0.2">
      <c r="D886" s="121">
        <v>45202</v>
      </c>
      <c r="E886" s="122">
        <v>7.32</v>
      </c>
      <c r="F886" s="131">
        <v>750328</v>
      </c>
    </row>
    <row r="887" spans="4:6" x14ac:dyDescent="0.2">
      <c r="D887" s="121">
        <v>45203</v>
      </c>
      <c r="E887" s="122">
        <v>7.31</v>
      </c>
      <c r="F887" s="131">
        <v>888303</v>
      </c>
    </row>
    <row r="888" spans="4:6" x14ac:dyDescent="0.2">
      <c r="D888" s="121">
        <v>45204</v>
      </c>
      <c r="E888" s="122">
        <v>7.52</v>
      </c>
      <c r="F888" s="131">
        <v>787281</v>
      </c>
    </row>
    <row r="889" spans="4:6" x14ac:dyDescent="0.2">
      <c r="D889" s="121">
        <v>45205</v>
      </c>
      <c r="E889" s="122">
        <v>7.63</v>
      </c>
      <c r="F889" s="131">
        <v>720748</v>
      </c>
    </row>
    <row r="890" spans="4:6" x14ac:dyDescent="0.2">
      <c r="D890" s="121">
        <v>45208</v>
      </c>
      <c r="E890" s="122">
        <v>7.6</v>
      </c>
      <c r="F890" s="131">
        <v>998684</v>
      </c>
    </row>
    <row r="891" spans="4:6" x14ac:dyDescent="0.2">
      <c r="D891" s="121">
        <v>45209</v>
      </c>
      <c r="E891" s="122">
        <v>7.55</v>
      </c>
      <c r="F891" s="131">
        <v>785422</v>
      </c>
    </row>
    <row r="892" spans="4:6" x14ac:dyDescent="0.2">
      <c r="D892" s="121">
        <v>45210</v>
      </c>
      <c r="E892" s="122">
        <v>7.64</v>
      </c>
      <c r="F892" s="131">
        <v>515935.00000000006</v>
      </c>
    </row>
    <row r="893" spans="4:6" x14ac:dyDescent="0.2">
      <c r="D893" s="121">
        <v>45211</v>
      </c>
      <c r="E893" s="122">
        <v>7.52</v>
      </c>
      <c r="F893" s="131">
        <v>1178420</v>
      </c>
    </row>
    <row r="894" spans="4:6" x14ac:dyDescent="0.2">
      <c r="D894" s="121">
        <v>45212</v>
      </c>
      <c r="E894" s="122">
        <v>7.38</v>
      </c>
      <c r="F894" s="131">
        <v>666492</v>
      </c>
    </row>
    <row r="895" spans="4:6" x14ac:dyDescent="0.2">
      <c r="D895" s="121">
        <v>45215</v>
      </c>
      <c r="E895" s="122">
        <v>7.33</v>
      </c>
      <c r="F895" s="131">
        <v>786766</v>
      </c>
    </row>
    <row r="896" spans="4:6" x14ac:dyDescent="0.2">
      <c r="D896" s="121">
        <v>45216</v>
      </c>
      <c r="E896" s="122">
        <v>7.38</v>
      </c>
      <c r="F896" s="131">
        <v>1024636.0000000001</v>
      </c>
    </row>
    <row r="897" spans="4:6" x14ac:dyDescent="0.2">
      <c r="D897" s="121">
        <v>45217</v>
      </c>
      <c r="E897" s="122">
        <v>7.47</v>
      </c>
      <c r="F897" s="131">
        <v>925376</v>
      </c>
    </row>
    <row r="898" spans="4:6" x14ac:dyDescent="0.2">
      <c r="D898" s="121">
        <v>45218</v>
      </c>
      <c r="E898" s="122">
        <v>7.38</v>
      </c>
      <c r="F898" s="131">
        <v>1095736</v>
      </c>
    </row>
    <row r="899" spans="4:6" x14ac:dyDescent="0.2">
      <c r="D899" s="121">
        <v>45219</v>
      </c>
      <c r="E899" s="122">
        <v>7.31</v>
      </c>
      <c r="F899" s="131">
        <v>614876</v>
      </c>
    </row>
    <row r="900" spans="4:6" x14ac:dyDescent="0.2">
      <c r="D900" s="121">
        <v>45222</v>
      </c>
      <c r="E900" s="122">
        <v>7.28</v>
      </c>
      <c r="F900" s="131">
        <v>558853</v>
      </c>
    </row>
    <row r="901" spans="4:6" x14ac:dyDescent="0.2">
      <c r="D901" s="121">
        <v>45223</v>
      </c>
      <c r="E901" s="122">
        <v>7.31</v>
      </c>
      <c r="F901" s="131">
        <v>668377</v>
      </c>
    </row>
    <row r="902" spans="4:6" x14ac:dyDescent="0.2">
      <c r="D902" s="121">
        <v>45224</v>
      </c>
      <c r="E902" s="122">
        <v>7.28</v>
      </c>
      <c r="F902" s="131">
        <v>876506</v>
      </c>
    </row>
    <row r="903" spans="4:6" x14ac:dyDescent="0.2">
      <c r="D903" s="121">
        <v>45225</v>
      </c>
      <c r="E903" s="122">
        <v>7.27</v>
      </c>
      <c r="F903" s="131">
        <v>793821</v>
      </c>
    </row>
    <row r="904" spans="4:6" x14ac:dyDescent="0.2">
      <c r="D904" s="121">
        <v>45226</v>
      </c>
      <c r="E904" s="122">
        <v>7.2</v>
      </c>
      <c r="F904" s="131">
        <v>1090585</v>
      </c>
    </row>
    <row r="905" spans="4:6" x14ac:dyDescent="0.2">
      <c r="D905" s="121">
        <v>45229</v>
      </c>
      <c r="E905" s="122">
        <v>7.11</v>
      </c>
      <c r="F905" s="131">
        <v>750797</v>
      </c>
    </row>
    <row r="906" spans="4:6" x14ac:dyDescent="0.2">
      <c r="D906" s="121">
        <v>45230</v>
      </c>
      <c r="E906" s="122">
        <v>7.24</v>
      </c>
      <c r="F906" s="131">
        <v>814185</v>
      </c>
    </row>
    <row r="907" spans="4:6" x14ac:dyDescent="0.2">
      <c r="D907" s="121">
        <v>45231</v>
      </c>
      <c r="E907" s="122">
        <v>7.23</v>
      </c>
      <c r="F907" s="131">
        <v>641282</v>
      </c>
    </row>
    <row r="908" spans="4:6" x14ac:dyDescent="0.2">
      <c r="D908" s="121">
        <v>45232</v>
      </c>
      <c r="E908" s="122">
        <v>7.28</v>
      </c>
      <c r="F908" s="131">
        <v>846495</v>
      </c>
    </row>
    <row r="909" spans="4:6" x14ac:dyDescent="0.2">
      <c r="D909" s="121">
        <v>45233</v>
      </c>
      <c r="E909" s="122">
        <v>7.35</v>
      </c>
      <c r="F909" s="131">
        <v>691828</v>
      </c>
    </row>
    <row r="910" spans="4:6" x14ac:dyDescent="0.2">
      <c r="D910" s="121">
        <v>45236</v>
      </c>
      <c r="E910" s="122">
        <v>7.34</v>
      </c>
      <c r="F910" s="131">
        <v>396804</v>
      </c>
    </row>
    <row r="911" spans="4:6" x14ac:dyDescent="0.2">
      <c r="D911" s="121">
        <v>45237</v>
      </c>
      <c r="E911" s="122">
        <v>7.17</v>
      </c>
      <c r="F911" s="131">
        <v>622231</v>
      </c>
    </row>
    <row r="912" spans="4:6" x14ac:dyDescent="0.2">
      <c r="D912" s="121">
        <v>45238</v>
      </c>
      <c r="E912" s="122">
        <v>7.12</v>
      </c>
      <c r="F912" s="131">
        <v>1614605</v>
      </c>
    </row>
    <row r="913" spans="4:6" x14ac:dyDescent="0.2">
      <c r="D913" s="121">
        <v>45239</v>
      </c>
      <c r="E913" s="122">
        <v>7.29</v>
      </c>
      <c r="F913" s="131">
        <v>768543</v>
      </c>
    </row>
    <row r="914" spans="4:6" x14ac:dyDescent="0.2">
      <c r="D914" s="121">
        <v>45240</v>
      </c>
      <c r="E914" s="122">
        <v>7.29</v>
      </c>
      <c r="F914" s="131">
        <v>703349</v>
      </c>
    </row>
    <row r="915" spans="4:6" x14ac:dyDescent="0.2">
      <c r="D915" s="121">
        <v>45243</v>
      </c>
      <c r="E915" s="122">
        <v>7.47</v>
      </c>
      <c r="F915" s="131">
        <v>975038</v>
      </c>
    </row>
    <row r="916" spans="4:6" x14ac:dyDescent="0.2">
      <c r="D916" s="121">
        <v>45244</v>
      </c>
      <c r="E916" s="122">
        <v>7.55</v>
      </c>
      <c r="F916" s="131">
        <v>571381</v>
      </c>
    </row>
    <row r="917" spans="4:6" x14ac:dyDescent="0.2">
      <c r="D917" s="121">
        <v>45245</v>
      </c>
      <c r="E917" s="122">
        <v>7.5</v>
      </c>
      <c r="F917" s="131">
        <v>926683</v>
      </c>
    </row>
    <row r="918" spans="4:6" x14ac:dyDescent="0.2">
      <c r="D918" s="121">
        <v>45246</v>
      </c>
      <c r="E918" s="122">
        <v>7.48</v>
      </c>
      <c r="F918" s="131">
        <v>716869</v>
      </c>
    </row>
    <row r="919" spans="4:6" x14ac:dyDescent="0.2">
      <c r="D919" s="121">
        <v>45247</v>
      </c>
      <c r="E919" s="122">
        <v>7.53</v>
      </c>
      <c r="F919" s="131">
        <v>662241</v>
      </c>
    </row>
    <row r="920" spans="4:6" x14ac:dyDescent="0.2">
      <c r="D920" s="121">
        <v>45250</v>
      </c>
      <c r="E920" s="122">
        <v>7.53</v>
      </c>
      <c r="F920" s="131">
        <v>764124</v>
      </c>
    </row>
    <row r="921" spans="4:6" x14ac:dyDescent="0.2">
      <c r="D921" s="121">
        <v>45251</v>
      </c>
      <c r="E921" s="122">
        <v>7.45</v>
      </c>
      <c r="F921" s="131">
        <v>553041</v>
      </c>
    </row>
    <row r="922" spans="4:6" x14ac:dyDescent="0.2">
      <c r="D922" s="121">
        <v>45252</v>
      </c>
      <c r="E922" s="122">
        <v>7.47</v>
      </c>
      <c r="F922" s="131">
        <v>677128</v>
      </c>
    </row>
    <row r="923" spans="4:6" x14ac:dyDescent="0.2">
      <c r="D923" s="121">
        <v>45253</v>
      </c>
      <c r="E923" s="122">
        <v>7.55</v>
      </c>
      <c r="F923" s="131">
        <v>745112</v>
      </c>
    </row>
    <row r="924" spans="4:6" x14ac:dyDescent="0.2">
      <c r="D924" s="121">
        <v>45254</v>
      </c>
      <c r="E924" s="122">
        <v>7.58</v>
      </c>
      <c r="F924" s="131">
        <v>501722</v>
      </c>
    </row>
    <row r="925" spans="4:6" x14ac:dyDescent="0.2">
      <c r="D925" s="121">
        <v>45257</v>
      </c>
      <c r="E925" s="122">
        <v>7.64</v>
      </c>
      <c r="F925" s="131">
        <v>670452</v>
      </c>
    </row>
    <row r="926" spans="4:6" x14ac:dyDescent="0.2">
      <c r="D926" s="121">
        <v>45258</v>
      </c>
      <c r="E926" s="122">
        <v>7.6</v>
      </c>
      <c r="F926" s="131">
        <v>450441</v>
      </c>
    </row>
    <row r="927" spans="4:6" x14ac:dyDescent="0.2">
      <c r="D927" s="121">
        <v>45259</v>
      </c>
      <c r="E927" s="122">
        <v>7.57</v>
      </c>
      <c r="F927" s="131">
        <v>466189</v>
      </c>
    </row>
    <row r="928" spans="4:6" x14ac:dyDescent="0.2">
      <c r="D928" s="121">
        <v>45260</v>
      </c>
      <c r="E928" s="122">
        <v>7.58</v>
      </c>
      <c r="F928" s="131">
        <v>916938</v>
      </c>
    </row>
    <row r="929" spans="4:6" x14ac:dyDescent="0.2">
      <c r="D929" s="121">
        <v>45261</v>
      </c>
      <c r="E929" s="122">
        <v>7.71</v>
      </c>
      <c r="F929" s="131">
        <v>865059</v>
      </c>
    </row>
    <row r="930" spans="4:6" x14ac:dyDescent="0.2">
      <c r="D930" s="121">
        <v>45264</v>
      </c>
      <c r="E930" s="122">
        <v>7.66</v>
      </c>
      <c r="F930" s="131">
        <v>524931</v>
      </c>
    </row>
    <row r="931" spans="4:6" x14ac:dyDescent="0.2">
      <c r="D931" s="121">
        <v>45265</v>
      </c>
      <c r="E931" s="122">
        <v>7.63</v>
      </c>
      <c r="F931" s="131">
        <v>657483</v>
      </c>
    </row>
    <row r="932" spans="4:6" x14ac:dyDescent="0.2">
      <c r="D932" s="121">
        <v>45266</v>
      </c>
      <c r="E932" s="122">
        <v>7.99</v>
      </c>
      <c r="F932" s="131">
        <v>1263075</v>
      </c>
    </row>
    <row r="933" spans="4:6" x14ac:dyDescent="0.2">
      <c r="D933" s="121">
        <v>45267</v>
      </c>
      <c r="E933" s="122">
        <v>7.67</v>
      </c>
      <c r="F933" s="131">
        <v>1324450</v>
      </c>
    </row>
    <row r="934" spans="4:6" x14ac:dyDescent="0.2">
      <c r="D934" s="121">
        <v>45268</v>
      </c>
      <c r="E934" s="122">
        <v>7.46</v>
      </c>
      <c r="F934" s="131">
        <v>1382692</v>
      </c>
    </row>
    <row r="935" spans="4:6" x14ac:dyDescent="0.2">
      <c r="D935" s="121">
        <v>45271</v>
      </c>
      <c r="E935" s="122">
        <v>7.4</v>
      </c>
      <c r="F935" s="131">
        <v>1608876</v>
      </c>
    </row>
    <row r="936" spans="4:6" x14ac:dyDescent="0.2">
      <c r="D936" s="121">
        <v>45272</v>
      </c>
      <c r="E936" s="122">
        <v>7.44</v>
      </c>
      <c r="F936" s="131">
        <v>688073</v>
      </c>
    </row>
    <row r="937" spans="4:6" x14ac:dyDescent="0.2">
      <c r="D937" s="121">
        <v>45273</v>
      </c>
      <c r="E937" s="122">
        <v>7.72</v>
      </c>
      <c r="F937" s="131">
        <v>1243707</v>
      </c>
    </row>
    <row r="938" spans="4:6" x14ac:dyDescent="0.2">
      <c r="D938" s="121">
        <v>45274</v>
      </c>
      <c r="E938" s="122">
        <v>7.46</v>
      </c>
      <c r="F938" s="131">
        <v>1238673</v>
      </c>
    </row>
    <row r="939" spans="4:6" x14ac:dyDescent="0.2">
      <c r="D939" s="121">
        <v>45275</v>
      </c>
      <c r="E939" s="122">
        <v>7.31</v>
      </c>
      <c r="F939" s="131">
        <v>2924243</v>
      </c>
    </row>
    <row r="940" spans="4:6" x14ac:dyDescent="0.2">
      <c r="D940" s="121">
        <v>45278</v>
      </c>
      <c r="E940" s="122">
        <v>7.35</v>
      </c>
      <c r="F940" s="131">
        <v>664486</v>
      </c>
    </row>
    <row r="941" spans="4:6" x14ac:dyDescent="0.2">
      <c r="D941" s="121">
        <v>45279</v>
      </c>
      <c r="E941" s="122">
        <v>7.41</v>
      </c>
      <c r="F941" s="131">
        <v>1050047</v>
      </c>
    </row>
    <row r="942" spans="4:6" x14ac:dyDescent="0.2">
      <c r="D942" s="121">
        <v>45280</v>
      </c>
      <c r="E942" s="122">
        <v>7.4</v>
      </c>
      <c r="F942" s="131">
        <v>777436</v>
      </c>
    </row>
    <row r="943" spans="4:6" x14ac:dyDescent="0.2">
      <c r="D943" s="121">
        <v>45281</v>
      </c>
      <c r="E943" s="122">
        <v>7.32</v>
      </c>
      <c r="F943" s="131">
        <v>1002704</v>
      </c>
    </row>
    <row r="944" spans="4:6" x14ac:dyDescent="0.2">
      <c r="D944" s="121">
        <v>45282</v>
      </c>
      <c r="E944" s="122">
        <v>7.33</v>
      </c>
      <c r="F944" s="131">
        <v>368550</v>
      </c>
    </row>
    <row r="945" spans="4:6" x14ac:dyDescent="0.2">
      <c r="D945" s="121">
        <v>45287</v>
      </c>
      <c r="E945" s="122">
        <v>7.32</v>
      </c>
      <c r="F945" s="131">
        <v>398688</v>
      </c>
    </row>
    <row r="946" spans="4:6" x14ac:dyDescent="0.2">
      <c r="D946" s="121">
        <v>45288</v>
      </c>
      <c r="E946" s="122">
        <v>7.38</v>
      </c>
      <c r="F946" s="131">
        <v>361958</v>
      </c>
    </row>
    <row r="947" spans="4:6" x14ac:dyDescent="0.2">
      <c r="D947" s="121">
        <v>45289</v>
      </c>
      <c r="E947" s="122">
        <v>7.39</v>
      </c>
      <c r="F947" s="131">
        <v>394554</v>
      </c>
    </row>
    <row r="948" spans="4:6" x14ac:dyDescent="0.2">
      <c r="D948" s="121">
        <v>45293</v>
      </c>
      <c r="E948" s="122">
        <v>7.38</v>
      </c>
      <c r="F948" s="131">
        <v>411482</v>
      </c>
    </row>
    <row r="949" spans="4:6" x14ac:dyDescent="0.2">
      <c r="D949" s="121">
        <v>45294</v>
      </c>
      <c r="E949" s="122">
        <v>7.46</v>
      </c>
      <c r="F949" s="131">
        <v>435323</v>
      </c>
    </row>
    <row r="950" spans="4:6" x14ac:dyDescent="0.2">
      <c r="D950" s="121">
        <v>45295</v>
      </c>
      <c r="E950" s="122">
        <v>7.47</v>
      </c>
      <c r="F950" s="131">
        <v>538965</v>
      </c>
    </row>
    <row r="951" spans="4:6" x14ac:dyDescent="0.2">
      <c r="D951" s="121">
        <v>45296</v>
      </c>
      <c r="E951" s="122">
        <v>7.56</v>
      </c>
      <c r="F951" s="131">
        <v>566056</v>
      </c>
    </row>
    <row r="952" spans="4:6" x14ac:dyDescent="0.2">
      <c r="D952" s="121">
        <v>45299</v>
      </c>
      <c r="E952" s="122">
        <v>7.53</v>
      </c>
      <c r="F952" s="131">
        <v>293057</v>
      </c>
    </row>
    <row r="953" spans="4:6" x14ac:dyDescent="0.2">
      <c r="D953" s="121">
        <v>45300</v>
      </c>
      <c r="E953" s="122">
        <v>7.56</v>
      </c>
      <c r="F953" s="131">
        <v>345477</v>
      </c>
    </row>
    <row r="954" spans="4:6" x14ac:dyDescent="0.2">
      <c r="D954" s="121">
        <v>45301</v>
      </c>
      <c r="E954" s="122">
        <v>7.47</v>
      </c>
      <c r="F954" s="131">
        <v>378853</v>
      </c>
    </row>
    <row r="955" spans="4:6" x14ac:dyDescent="0.2">
      <c r="D955" s="121">
        <v>45302</v>
      </c>
      <c r="E955" s="122">
        <v>7.59</v>
      </c>
      <c r="F955" s="131">
        <v>660456</v>
      </c>
    </row>
    <row r="956" spans="4:6" x14ac:dyDescent="0.2">
      <c r="D956" s="121">
        <v>45303</v>
      </c>
      <c r="E956" s="122">
        <v>7.55</v>
      </c>
      <c r="F956" s="131">
        <v>452876</v>
      </c>
    </row>
    <row r="957" spans="4:6" x14ac:dyDescent="0.2">
      <c r="D957" s="121">
        <v>45306</v>
      </c>
      <c r="E957" s="122">
        <v>7.54</v>
      </c>
      <c r="F957" s="131">
        <v>596992</v>
      </c>
    </row>
    <row r="958" spans="4:6" x14ac:dyDescent="0.2">
      <c r="D958" s="121">
        <v>45307</v>
      </c>
      <c r="E958" s="122">
        <v>7.51</v>
      </c>
      <c r="F958" s="131">
        <v>273831</v>
      </c>
    </row>
    <row r="959" spans="4:6" x14ac:dyDescent="0.2">
      <c r="D959" s="121">
        <v>45308</v>
      </c>
      <c r="E959" s="122">
        <v>7.5</v>
      </c>
      <c r="F959" s="131">
        <v>522277</v>
      </c>
    </row>
    <row r="960" spans="4:6" x14ac:dyDescent="0.2">
      <c r="D960" s="121">
        <v>45309</v>
      </c>
      <c r="E960" s="122">
        <v>7.67</v>
      </c>
      <c r="F960" s="131">
        <v>824012</v>
      </c>
    </row>
    <row r="961" spans="4:6" x14ac:dyDescent="0.2">
      <c r="D961" s="121">
        <v>45310</v>
      </c>
      <c r="E961" s="122">
        <v>7.78</v>
      </c>
      <c r="F961" s="131">
        <v>665493</v>
      </c>
    </row>
    <row r="962" spans="4:6" x14ac:dyDescent="0.2">
      <c r="D962" s="121">
        <v>45313</v>
      </c>
      <c r="E962" s="122">
        <v>7.96</v>
      </c>
      <c r="F962" s="131">
        <v>878418</v>
      </c>
    </row>
    <row r="963" spans="4:6" x14ac:dyDescent="0.2">
      <c r="D963" s="121">
        <v>45314</v>
      </c>
      <c r="E963" s="122">
        <v>8</v>
      </c>
      <c r="F963" s="131">
        <v>2015154</v>
      </c>
    </row>
    <row r="964" spans="4:6" x14ac:dyDescent="0.2">
      <c r="D964" s="121">
        <v>45315</v>
      </c>
      <c r="E964" s="122">
        <v>7.99</v>
      </c>
      <c r="F964" s="131">
        <v>446566</v>
      </c>
    </row>
    <row r="965" spans="4:6" x14ac:dyDescent="0.2">
      <c r="D965" s="121">
        <v>45316</v>
      </c>
      <c r="E965" s="122">
        <v>7.97</v>
      </c>
      <c r="F965" s="131">
        <v>656315</v>
      </c>
    </row>
    <row r="966" spans="4:6" x14ac:dyDescent="0.2">
      <c r="D966" s="121">
        <v>45320</v>
      </c>
      <c r="E966" s="122">
        <v>8</v>
      </c>
      <c r="F966" s="131">
        <v>497686</v>
      </c>
    </row>
    <row r="967" spans="4:6" x14ac:dyDescent="0.2">
      <c r="D967" s="121">
        <v>45321</v>
      </c>
      <c r="E967" s="122">
        <v>7.94</v>
      </c>
      <c r="F967" s="131">
        <v>522966.99999999994</v>
      </c>
    </row>
    <row r="968" spans="4:6" x14ac:dyDescent="0.2">
      <c r="D968" s="121">
        <v>45322</v>
      </c>
      <c r="E968" s="122">
        <v>8.14</v>
      </c>
      <c r="F968" s="131">
        <v>841385</v>
      </c>
    </row>
    <row r="969" spans="4:6" x14ac:dyDescent="0.2">
      <c r="D969" s="121">
        <v>45323</v>
      </c>
      <c r="E969" s="122">
        <v>8</v>
      </c>
      <c r="F969" s="131">
        <v>707599</v>
      </c>
    </row>
    <row r="970" spans="4:6" x14ac:dyDescent="0.2">
      <c r="D970" s="121">
        <v>45324</v>
      </c>
      <c r="E970" s="122">
        <v>8.01</v>
      </c>
      <c r="F970" s="131">
        <v>766760</v>
      </c>
    </row>
    <row r="971" spans="4:6" x14ac:dyDescent="0.2">
      <c r="D971" s="121">
        <v>45327</v>
      </c>
      <c r="E971" s="122">
        <v>7.98</v>
      </c>
      <c r="F971" s="131">
        <v>283538</v>
      </c>
    </row>
    <row r="972" spans="4:6" x14ac:dyDescent="0.2">
      <c r="D972" s="121">
        <v>45328</v>
      </c>
      <c r="E972" s="122">
        <v>7.98</v>
      </c>
      <c r="F972" s="131">
        <v>471662</v>
      </c>
    </row>
    <row r="973" spans="4:6" x14ac:dyDescent="0.2">
      <c r="D973" s="121">
        <v>45329</v>
      </c>
      <c r="E973" s="122">
        <v>8.0299999999999994</v>
      </c>
      <c r="F973" s="131">
        <v>481335</v>
      </c>
    </row>
    <row r="974" spans="4:6" x14ac:dyDescent="0.2">
      <c r="D974" s="121">
        <v>45330</v>
      </c>
      <c r="E974" s="122">
        <v>8.15</v>
      </c>
      <c r="F974" s="131">
        <v>406970</v>
      </c>
    </row>
    <row r="975" spans="4:6" x14ac:dyDescent="0.2">
      <c r="D975" s="121">
        <v>45331</v>
      </c>
      <c r="E975" s="122">
        <v>8.0500000000000007</v>
      </c>
      <c r="F975" s="131">
        <v>684766</v>
      </c>
    </row>
    <row r="976" spans="4:6" x14ac:dyDescent="0.2">
      <c r="D976" s="121">
        <v>45334</v>
      </c>
      <c r="E976" s="122">
        <v>8.0299999999999994</v>
      </c>
      <c r="F976" s="131">
        <v>330355</v>
      </c>
    </row>
    <row r="977" spans="4:6" x14ac:dyDescent="0.2">
      <c r="D977" s="121">
        <v>45335</v>
      </c>
      <c r="E977" s="122">
        <v>8.1</v>
      </c>
      <c r="F977" s="131">
        <v>452450</v>
      </c>
    </row>
    <row r="978" spans="4:6" x14ac:dyDescent="0.2">
      <c r="D978" s="121">
        <v>45336</v>
      </c>
      <c r="E978" s="122">
        <v>8</v>
      </c>
      <c r="F978" s="131">
        <v>451020</v>
      </c>
    </row>
    <row r="979" spans="4:6" x14ac:dyDescent="0.2">
      <c r="D979" s="121">
        <v>45337</v>
      </c>
      <c r="E979" s="122">
        <v>8.0399999999999991</v>
      </c>
      <c r="F979" s="131">
        <v>572450</v>
      </c>
    </row>
    <row r="980" spans="4:6" x14ac:dyDescent="0.2">
      <c r="D980" s="121">
        <v>45338</v>
      </c>
      <c r="E980" s="122">
        <v>8.06</v>
      </c>
      <c r="F980" s="131">
        <v>474928</v>
      </c>
    </row>
    <row r="981" spans="4:6" x14ac:dyDescent="0.2">
      <c r="D981" s="121">
        <v>45341</v>
      </c>
      <c r="E981" s="122">
        <v>8.09</v>
      </c>
      <c r="F981" s="131">
        <v>371324</v>
      </c>
    </row>
    <row r="982" spans="4:6" x14ac:dyDescent="0.2">
      <c r="D982" s="121">
        <v>45342</v>
      </c>
      <c r="E982" s="122">
        <v>8.2200000000000006</v>
      </c>
      <c r="F982" s="131">
        <v>372373</v>
      </c>
    </row>
    <row r="983" spans="4:6" x14ac:dyDescent="0.2">
      <c r="D983" s="121">
        <v>45343</v>
      </c>
      <c r="E983" s="122">
        <v>8.09</v>
      </c>
      <c r="F983" s="131">
        <v>682826</v>
      </c>
    </row>
    <row r="984" spans="4:6" x14ac:dyDescent="0.2">
      <c r="D984" s="121">
        <v>45344</v>
      </c>
      <c r="E984" s="122">
        <v>8.1199999999999992</v>
      </c>
      <c r="F984" s="131">
        <v>472501</v>
      </c>
    </row>
    <row r="985" spans="4:6" x14ac:dyDescent="0.2">
      <c r="D985" s="121">
        <v>45345</v>
      </c>
      <c r="E985" s="122">
        <v>8.18</v>
      </c>
      <c r="F985" s="131">
        <v>340633</v>
      </c>
    </row>
    <row r="986" spans="4:6" x14ac:dyDescent="0.2">
      <c r="D986" s="121">
        <v>45348</v>
      </c>
      <c r="E986" s="122">
        <v>7.72</v>
      </c>
      <c r="F986" s="131">
        <v>1966622</v>
      </c>
    </row>
    <row r="987" spans="4:6" x14ac:dyDescent="0.2">
      <c r="D987" s="121">
        <v>45349</v>
      </c>
      <c r="E987" s="122">
        <v>7.56</v>
      </c>
      <c r="F987" s="131">
        <v>1279365</v>
      </c>
    </row>
    <row r="988" spans="4:6" x14ac:dyDescent="0.2">
      <c r="D988" s="121">
        <v>45350</v>
      </c>
      <c r="E988" s="122">
        <v>7.38</v>
      </c>
      <c r="F988" s="131">
        <v>2046852</v>
      </c>
    </row>
    <row r="989" spans="4:6" x14ac:dyDescent="0.2">
      <c r="D989" s="121">
        <v>45351</v>
      </c>
      <c r="E989" s="122">
        <v>7.32</v>
      </c>
      <c r="F989" s="131">
        <v>2101784</v>
      </c>
    </row>
    <row r="990" spans="4:6" x14ac:dyDescent="0.2">
      <c r="D990" s="121">
        <v>45352</v>
      </c>
      <c r="E990" s="122">
        <v>7.52</v>
      </c>
      <c r="F990" s="131">
        <v>1453234</v>
      </c>
    </row>
    <row r="991" spans="4:6" x14ac:dyDescent="0.2">
      <c r="D991" s="121">
        <v>45355</v>
      </c>
      <c r="E991" s="122">
        <v>7.59</v>
      </c>
      <c r="F991" s="131">
        <v>804214</v>
      </c>
    </row>
    <row r="992" spans="4:6" x14ac:dyDescent="0.2">
      <c r="D992" s="121">
        <v>45356</v>
      </c>
      <c r="E992" s="122">
        <v>7.85</v>
      </c>
      <c r="F992" s="131">
        <v>1143256</v>
      </c>
    </row>
    <row r="993" spans="4:6" x14ac:dyDescent="0.2">
      <c r="D993" s="121">
        <v>45357</v>
      </c>
      <c r="E993" s="122">
        <v>7.92</v>
      </c>
      <c r="F993" s="131">
        <v>775760</v>
      </c>
    </row>
    <row r="994" spans="4:6" x14ac:dyDescent="0.2">
      <c r="D994" s="121">
        <v>45358</v>
      </c>
      <c r="E994" s="122">
        <v>7.75</v>
      </c>
      <c r="F994" s="131">
        <v>2464163</v>
      </c>
    </row>
    <row r="995" spans="4:6" x14ac:dyDescent="0.2">
      <c r="D995" s="121">
        <v>45359</v>
      </c>
      <c r="E995" s="122">
        <v>7.99</v>
      </c>
      <c r="F995" s="131">
        <v>910660</v>
      </c>
    </row>
    <row r="996" spans="4:6" x14ac:dyDescent="0.2">
      <c r="D996" s="121">
        <v>45362</v>
      </c>
      <c r="E996" s="122">
        <v>7.95</v>
      </c>
      <c r="F996" s="131">
        <v>496411</v>
      </c>
    </row>
    <row r="997" spans="4:6" x14ac:dyDescent="0.2">
      <c r="D997" s="121">
        <v>45363</v>
      </c>
      <c r="E997" s="122">
        <v>7.91</v>
      </c>
      <c r="F997" s="131">
        <v>580087</v>
      </c>
    </row>
    <row r="998" spans="4:6" x14ac:dyDescent="0.2">
      <c r="D998" s="121">
        <v>45364</v>
      </c>
      <c r="E998" s="122">
        <v>7.88</v>
      </c>
      <c r="F998" s="131">
        <v>423954</v>
      </c>
    </row>
    <row r="999" spans="4:6" x14ac:dyDescent="0.2">
      <c r="D999" s="121">
        <v>45365</v>
      </c>
      <c r="E999" s="122">
        <v>7.83</v>
      </c>
      <c r="F999" s="131">
        <v>595274</v>
      </c>
    </row>
    <row r="1000" spans="4:6" x14ac:dyDescent="0.2">
      <c r="D1000" s="121">
        <v>45366</v>
      </c>
      <c r="E1000" s="122">
        <v>7.9</v>
      </c>
      <c r="F1000" s="131">
        <v>1771681</v>
      </c>
    </row>
    <row r="1001" spans="4:6" x14ac:dyDescent="0.2">
      <c r="D1001" s="121">
        <v>45369</v>
      </c>
      <c r="E1001" s="122">
        <v>7.83</v>
      </c>
      <c r="F1001" s="131">
        <v>487123</v>
      </c>
    </row>
    <row r="1002" spans="4:6" x14ac:dyDescent="0.2">
      <c r="D1002" s="121">
        <v>45370</v>
      </c>
      <c r="E1002" s="122">
        <v>7.74</v>
      </c>
      <c r="F1002" s="131">
        <v>457148</v>
      </c>
    </row>
    <row r="1003" spans="4:6" x14ac:dyDescent="0.2">
      <c r="D1003" s="121">
        <v>45371</v>
      </c>
      <c r="E1003" s="122">
        <v>7.61</v>
      </c>
      <c r="F1003" s="131">
        <v>693154</v>
      </c>
    </row>
    <row r="1004" spans="4:6" x14ac:dyDescent="0.2">
      <c r="D1004" s="121">
        <v>45372</v>
      </c>
      <c r="E1004" s="122">
        <v>7.6</v>
      </c>
      <c r="F1004" s="131">
        <v>1909911</v>
      </c>
    </row>
    <row r="1005" spans="4:6" x14ac:dyDescent="0.2">
      <c r="D1005" s="121">
        <v>45373</v>
      </c>
      <c r="E1005" s="122">
        <v>7.68</v>
      </c>
      <c r="F1005" s="131">
        <v>3960159</v>
      </c>
    </row>
    <row r="1006" spans="4:6" x14ac:dyDescent="0.2">
      <c r="D1006" s="121">
        <v>45376</v>
      </c>
      <c r="E1006" s="122">
        <v>7.65</v>
      </c>
      <c r="F1006" s="131">
        <v>741906</v>
      </c>
    </row>
    <row r="1007" spans="4:6" x14ac:dyDescent="0.2">
      <c r="D1007" s="121">
        <v>45377</v>
      </c>
      <c r="E1007" s="122">
        <v>7.65</v>
      </c>
      <c r="F1007" s="131">
        <v>706881</v>
      </c>
    </row>
    <row r="1008" spans="4:6" x14ac:dyDescent="0.2">
      <c r="D1008" s="121">
        <v>45378</v>
      </c>
      <c r="E1008" s="122">
        <v>7.78</v>
      </c>
      <c r="F1008" s="131">
        <v>708693</v>
      </c>
    </row>
    <row r="1009" spans="4:6" x14ac:dyDescent="0.2">
      <c r="D1009" s="121">
        <v>45379</v>
      </c>
      <c r="E1009" s="122">
        <v>7.86</v>
      </c>
      <c r="F1009" s="131">
        <v>1250004</v>
      </c>
    </row>
    <row r="1010" spans="4:6" x14ac:dyDescent="0.2">
      <c r="D1010" s="121">
        <v>45384</v>
      </c>
      <c r="E1010" s="122">
        <v>7.98</v>
      </c>
      <c r="F1010" s="131">
        <v>1056329</v>
      </c>
    </row>
    <row r="1011" spans="4:6" x14ac:dyDescent="0.2">
      <c r="D1011" s="121">
        <v>45385</v>
      </c>
      <c r="E1011" s="122">
        <v>7.72</v>
      </c>
      <c r="F1011" s="131">
        <v>784170</v>
      </c>
    </row>
    <row r="1012" spans="4:6" x14ac:dyDescent="0.2">
      <c r="D1012" s="121">
        <v>45386</v>
      </c>
      <c r="E1012" s="122">
        <v>7.76</v>
      </c>
      <c r="F1012" s="131">
        <v>595724</v>
      </c>
    </row>
    <row r="1013" spans="4:6" x14ac:dyDescent="0.2">
      <c r="D1013" s="121">
        <v>45387</v>
      </c>
      <c r="E1013" s="122">
        <v>7.69</v>
      </c>
      <c r="F1013" s="131">
        <v>701638</v>
      </c>
    </row>
    <row r="1014" spans="4:6" x14ac:dyDescent="0.2">
      <c r="D1014" s="121">
        <v>45390</v>
      </c>
      <c r="E1014" s="122">
        <v>7.81</v>
      </c>
      <c r="F1014" s="131">
        <v>617540</v>
      </c>
    </row>
    <row r="1015" spans="4:6" x14ac:dyDescent="0.2">
      <c r="D1015" s="121">
        <v>45391</v>
      </c>
      <c r="E1015" s="122">
        <v>7.82</v>
      </c>
      <c r="F1015" s="131">
        <v>780959</v>
      </c>
    </row>
    <row r="1016" spans="4:6" x14ac:dyDescent="0.2">
      <c r="D1016" s="121">
        <v>45392</v>
      </c>
      <c r="E1016" s="122">
        <v>7.79</v>
      </c>
      <c r="F1016" s="131">
        <v>709635</v>
      </c>
    </row>
    <row r="1017" spans="4:6" x14ac:dyDescent="0.2">
      <c r="D1017" s="121">
        <v>45393</v>
      </c>
      <c r="E1017" s="122">
        <v>7.7</v>
      </c>
      <c r="F1017" s="131">
        <v>547872</v>
      </c>
    </row>
    <row r="1018" spans="4:6" x14ac:dyDescent="0.2">
      <c r="D1018" s="121">
        <v>45394</v>
      </c>
      <c r="E1018" s="122">
        <v>7.76</v>
      </c>
      <c r="F1018" s="131">
        <v>543774</v>
      </c>
    </row>
    <row r="1019" spans="4:6" x14ac:dyDescent="0.2">
      <c r="D1019" s="121">
        <v>45397</v>
      </c>
      <c r="E1019" s="122">
        <v>7.75</v>
      </c>
      <c r="F1019" s="131">
        <v>475661</v>
      </c>
    </row>
    <row r="1020" spans="4:6" x14ac:dyDescent="0.2">
      <c r="D1020" s="121">
        <v>45398</v>
      </c>
      <c r="E1020" s="122">
        <v>7.52</v>
      </c>
      <c r="F1020" s="131">
        <v>656483</v>
      </c>
    </row>
    <row r="1021" spans="4:6" x14ac:dyDescent="0.2">
      <c r="D1021" s="121">
        <v>45399</v>
      </c>
      <c r="E1021" s="122">
        <v>7.61</v>
      </c>
      <c r="F1021" s="131">
        <v>631869</v>
      </c>
    </row>
    <row r="1022" spans="4:6" x14ac:dyDescent="0.2">
      <c r="D1022" s="121">
        <v>45400</v>
      </c>
      <c r="E1022" s="122">
        <v>7.56</v>
      </c>
      <c r="F1022" s="131">
        <v>518907</v>
      </c>
    </row>
    <row r="1023" spans="4:6" x14ac:dyDescent="0.2">
      <c r="D1023" s="121">
        <v>45401</v>
      </c>
      <c r="E1023" s="122">
        <v>7.39</v>
      </c>
      <c r="F1023" s="131">
        <v>847308</v>
      </c>
    </row>
    <row r="1024" spans="4:6" x14ac:dyDescent="0.2">
      <c r="D1024" s="121">
        <v>45404</v>
      </c>
      <c r="E1024" s="122">
        <v>7.55</v>
      </c>
      <c r="F1024" s="131">
        <v>386092</v>
      </c>
    </row>
    <row r="1025" spans="4:6" x14ac:dyDescent="0.2">
      <c r="D1025" s="121">
        <v>45405</v>
      </c>
      <c r="E1025" s="122">
        <v>7.59</v>
      </c>
      <c r="F1025" s="131">
        <v>422792</v>
      </c>
    </row>
    <row r="1026" spans="4:6" x14ac:dyDescent="0.2">
      <c r="D1026" s="121">
        <v>45406</v>
      </c>
      <c r="E1026" s="122">
        <v>7.56</v>
      </c>
      <c r="F1026" s="131">
        <v>2345832</v>
      </c>
    </row>
    <row r="1027" spans="4:6" x14ac:dyDescent="0.2">
      <c r="D1027" s="121">
        <v>45408</v>
      </c>
      <c r="E1027" s="122">
        <v>7.31</v>
      </c>
      <c r="F1027" s="131">
        <v>1803218</v>
      </c>
    </row>
    <row r="1028" spans="4:6" x14ac:dyDescent="0.2">
      <c r="D1028" s="121">
        <v>45411</v>
      </c>
      <c r="E1028" s="122">
        <v>7.5</v>
      </c>
      <c r="F1028" s="131">
        <v>1014772</v>
      </c>
    </row>
    <row r="1029" spans="4:6" x14ac:dyDescent="0.2">
      <c r="D1029" s="121">
        <v>45412</v>
      </c>
      <c r="E1029" s="122">
        <v>7.45</v>
      </c>
      <c r="F1029" s="131">
        <v>1011072</v>
      </c>
    </row>
    <row r="1030" spans="4:6" x14ac:dyDescent="0.2">
      <c r="D1030" s="121">
        <v>45413</v>
      </c>
      <c r="E1030" s="122">
        <v>7.22</v>
      </c>
      <c r="F1030" s="131">
        <v>674843</v>
      </c>
    </row>
    <row r="1031" spans="4:6" x14ac:dyDescent="0.2">
      <c r="D1031" s="121">
        <v>45414</v>
      </c>
      <c r="E1031" s="122">
        <v>7.23</v>
      </c>
      <c r="F1031" s="131">
        <v>1123688</v>
      </c>
    </row>
    <row r="1032" spans="4:6" x14ac:dyDescent="0.2">
      <c r="D1032" s="121">
        <v>45415</v>
      </c>
      <c r="E1032" s="122">
        <v>7.25</v>
      </c>
      <c r="F1032" s="131">
        <v>647299</v>
      </c>
    </row>
    <row r="1033" spans="4:6" x14ac:dyDescent="0.2">
      <c r="D1033" s="121">
        <v>45418</v>
      </c>
      <c r="E1033" s="122">
        <v>7.28</v>
      </c>
      <c r="F1033" s="131">
        <v>815409</v>
      </c>
    </row>
    <row r="1034" spans="4:6" x14ac:dyDescent="0.2">
      <c r="D1034" s="121">
        <v>45419</v>
      </c>
      <c r="E1034" s="122">
        <v>7.65</v>
      </c>
      <c r="F1034" s="131">
        <v>1464485</v>
      </c>
    </row>
    <row r="1035" spans="4:6" x14ac:dyDescent="0.2">
      <c r="D1035" s="121">
        <v>45420</v>
      </c>
      <c r="E1035" s="122">
        <v>7.56</v>
      </c>
      <c r="F1035" s="131">
        <v>685759</v>
      </c>
    </row>
    <row r="1036" spans="4:6" x14ac:dyDescent="0.2">
      <c r="D1036" s="121">
        <v>45421</v>
      </c>
      <c r="E1036" s="122">
        <v>7.46</v>
      </c>
      <c r="F1036" s="131">
        <v>501828.99999999994</v>
      </c>
    </row>
    <row r="1037" spans="4:6" x14ac:dyDescent="0.2">
      <c r="D1037" s="121">
        <v>45422</v>
      </c>
      <c r="E1037" s="122">
        <v>7.46</v>
      </c>
      <c r="F1037" s="131">
        <v>298916</v>
      </c>
    </row>
    <row r="1038" spans="4:6" x14ac:dyDescent="0.2">
      <c r="D1038" s="121">
        <v>45425</v>
      </c>
      <c r="E1038" s="122">
        <v>7.51</v>
      </c>
      <c r="F1038" s="131">
        <v>348100</v>
      </c>
    </row>
    <row r="1039" spans="4:6" x14ac:dyDescent="0.2">
      <c r="D1039" s="121">
        <v>45426</v>
      </c>
      <c r="E1039" s="122">
        <v>7.45</v>
      </c>
      <c r="F1039" s="131">
        <v>526783</v>
      </c>
    </row>
    <row r="1040" spans="4:6" x14ac:dyDescent="0.2">
      <c r="D1040" s="121">
        <v>45427</v>
      </c>
      <c r="E1040" s="122">
        <v>7.47</v>
      </c>
      <c r="F1040" s="131">
        <v>769728</v>
      </c>
    </row>
    <row r="1041" spans="4:6" x14ac:dyDescent="0.2">
      <c r="D1041" s="121">
        <v>45428</v>
      </c>
      <c r="E1041" s="122">
        <v>7.34</v>
      </c>
      <c r="F1041" s="131">
        <v>1385706</v>
      </c>
    </row>
    <row r="1042" spans="4:6" x14ac:dyDescent="0.2">
      <c r="D1042" s="121">
        <v>45429</v>
      </c>
      <c r="E1042" s="122">
        <v>7.14</v>
      </c>
      <c r="F1042" s="131">
        <v>780453</v>
      </c>
    </row>
    <row r="1043" spans="4:6" x14ac:dyDescent="0.2">
      <c r="D1043" s="121">
        <v>45432</v>
      </c>
      <c r="E1043" s="122">
        <v>7.12</v>
      </c>
      <c r="F1043" s="131">
        <v>721319</v>
      </c>
    </row>
    <row r="1044" spans="4:6" x14ac:dyDescent="0.2">
      <c r="D1044" s="121">
        <v>45433</v>
      </c>
      <c r="E1044" s="122">
        <v>7.08</v>
      </c>
      <c r="F1044" s="131">
        <v>656857</v>
      </c>
    </row>
    <row r="1045" spans="4:6" x14ac:dyDescent="0.2">
      <c r="D1045" s="121">
        <v>45434</v>
      </c>
      <c r="E1045" s="122">
        <v>7.05</v>
      </c>
      <c r="F1045" s="131">
        <v>900635</v>
      </c>
    </row>
    <row r="1046" spans="4:6" x14ac:dyDescent="0.2">
      <c r="D1046" s="121">
        <v>45435</v>
      </c>
      <c r="E1046" s="122">
        <v>7.14</v>
      </c>
      <c r="F1046" s="131">
        <v>883552</v>
      </c>
    </row>
    <row r="1047" spans="4:6" x14ac:dyDescent="0.2">
      <c r="D1047" s="121">
        <v>45436</v>
      </c>
      <c r="E1047" s="122">
        <v>7.06</v>
      </c>
      <c r="F1047" s="131">
        <v>739646</v>
      </c>
    </row>
    <row r="1048" spans="4:6" x14ac:dyDescent="0.2">
      <c r="D1048" s="121">
        <v>45439</v>
      </c>
      <c r="E1048" s="122">
        <v>7.15</v>
      </c>
      <c r="F1048" s="131">
        <v>796827</v>
      </c>
    </row>
    <row r="1049" spans="4:6" x14ac:dyDescent="0.2">
      <c r="D1049" s="121">
        <v>45440</v>
      </c>
      <c r="E1049" s="122">
        <v>7.18</v>
      </c>
      <c r="F1049" s="131">
        <v>2647009</v>
      </c>
    </row>
    <row r="1050" spans="4:6" x14ac:dyDescent="0.2">
      <c r="D1050" s="121">
        <v>45441</v>
      </c>
      <c r="E1050" s="122">
        <v>7.27</v>
      </c>
      <c r="F1050" s="131">
        <v>1437890</v>
      </c>
    </row>
    <row r="1051" spans="4:6" x14ac:dyDescent="0.2">
      <c r="D1051" s="121">
        <v>45442</v>
      </c>
      <c r="E1051" s="122">
        <v>7.36</v>
      </c>
      <c r="F1051" s="131">
        <v>930353</v>
      </c>
    </row>
    <row r="1052" spans="4:6" x14ac:dyDescent="0.2">
      <c r="D1052" s="121">
        <v>45443</v>
      </c>
      <c r="E1052" s="122">
        <v>7.44</v>
      </c>
      <c r="F1052" s="131">
        <v>1132779</v>
      </c>
    </row>
    <row r="1053" spans="4:6" x14ac:dyDescent="0.2">
      <c r="D1053" s="121">
        <v>45446</v>
      </c>
      <c r="E1053" s="122">
        <v>7.52</v>
      </c>
      <c r="F1053" s="131">
        <v>937268</v>
      </c>
    </row>
    <row r="1054" spans="4:6" x14ac:dyDescent="0.2">
      <c r="D1054" s="121">
        <v>45447</v>
      </c>
      <c r="E1054" s="122">
        <v>7.4</v>
      </c>
      <c r="F1054" s="131">
        <v>711675</v>
      </c>
    </row>
    <row r="1055" spans="4:6" x14ac:dyDescent="0.2">
      <c r="D1055" s="121">
        <v>45448</v>
      </c>
      <c r="E1055" s="122">
        <v>7.46</v>
      </c>
      <c r="F1055" s="131">
        <v>716143</v>
      </c>
    </row>
    <row r="1056" spans="4:6" x14ac:dyDescent="0.2">
      <c r="D1056" s="121">
        <v>45449</v>
      </c>
      <c r="E1056" s="122">
        <v>7.54</v>
      </c>
      <c r="F1056" s="131">
        <v>469921</v>
      </c>
    </row>
    <row r="1057" spans="4:6" x14ac:dyDescent="0.2">
      <c r="D1057" s="121">
        <v>45450</v>
      </c>
      <c r="E1057" s="122">
        <v>7.58</v>
      </c>
      <c r="F1057" s="131">
        <v>458912</v>
      </c>
    </row>
    <row r="1058" spans="4:6" x14ac:dyDescent="0.2">
      <c r="D1058" s="121">
        <v>45454</v>
      </c>
      <c r="E1058" s="122">
        <v>7.47</v>
      </c>
      <c r="F1058" s="131">
        <v>804975</v>
      </c>
    </row>
    <row r="1059" spans="4:6" x14ac:dyDescent="0.2">
      <c r="D1059" s="121">
        <v>45455</v>
      </c>
      <c r="E1059" s="122">
        <v>7.4</v>
      </c>
      <c r="F1059" s="131">
        <v>473110</v>
      </c>
    </row>
    <row r="1060" spans="4:6" x14ac:dyDescent="0.2">
      <c r="D1060" s="121">
        <v>45456</v>
      </c>
      <c r="E1060" s="122">
        <v>7.36</v>
      </c>
      <c r="F1060" s="131">
        <v>840200</v>
      </c>
    </row>
    <row r="1061" spans="4:6" x14ac:dyDescent="0.2">
      <c r="D1061" s="121">
        <v>45457</v>
      </c>
      <c r="E1061" s="122">
        <v>7.33</v>
      </c>
      <c r="F1061" s="131">
        <v>483330</v>
      </c>
    </row>
    <row r="1062" spans="4:6" x14ac:dyDescent="0.2">
      <c r="D1062" s="121">
        <v>45460</v>
      </c>
      <c r="E1062" s="122">
        <v>7.5</v>
      </c>
      <c r="F1062" s="131">
        <v>828803</v>
      </c>
    </row>
    <row r="1063" spans="4:6" x14ac:dyDescent="0.2">
      <c r="D1063" s="121">
        <v>45461</v>
      </c>
      <c r="E1063" s="122">
        <v>7.53</v>
      </c>
      <c r="F1063" s="131">
        <v>958378</v>
      </c>
    </row>
    <row r="1064" spans="4:6" x14ac:dyDescent="0.2">
      <c r="D1064" s="121">
        <v>45462</v>
      </c>
      <c r="E1064" s="122">
        <v>7.3</v>
      </c>
      <c r="F1064" s="131">
        <v>876271</v>
      </c>
    </row>
    <row r="1065" spans="4:6" x14ac:dyDescent="0.2">
      <c r="D1065" s="121">
        <v>45463</v>
      </c>
      <c r="E1065" s="122">
        <v>7.23</v>
      </c>
      <c r="F1065" s="131">
        <v>1204986</v>
      </c>
    </row>
    <row r="1066" spans="4:6" x14ac:dyDescent="0.2">
      <c r="D1066" s="121">
        <v>45464</v>
      </c>
      <c r="E1066" s="122">
        <v>7.33</v>
      </c>
      <c r="F1066" s="131">
        <v>1917040</v>
      </c>
    </row>
    <row r="1067" spans="4:6" x14ac:dyDescent="0.2">
      <c r="D1067" s="121">
        <v>45467</v>
      </c>
      <c r="E1067" s="122">
        <v>7.32</v>
      </c>
      <c r="F1067" s="131">
        <v>499962</v>
      </c>
    </row>
    <row r="1068" spans="4:6" x14ac:dyDescent="0.2">
      <c r="D1068" s="121">
        <v>45468</v>
      </c>
      <c r="E1068" s="122">
        <v>7.3</v>
      </c>
      <c r="F1068" s="131">
        <v>551262</v>
      </c>
    </row>
    <row r="1069" spans="4:6" x14ac:dyDescent="0.2">
      <c r="D1069" s="121">
        <v>45469</v>
      </c>
      <c r="E1069" s="122">
        <v>7.34</v>
      </c>
      <c r="F1069" s="131">
        <v>743086</v>
      </c>
    </row>
    <row r="1070" spans="4:6" x14ac:dyDescent="0.2">
      <c r="D1070" s="121">
        <v>45470</v>
      </c>
      <c r="E1070" s="122">
        <v>7.35</v>
      </c>
      <c r="F1070" s="131">
        <v>758243</v>
      </c>
    </row>
    <row r="1071" spans="4:6" x14ac:dyDescent="0.2">
      <c r="D1071" s="121">
        <v>45471</v>
      </c>
      <c r="E1071" s="122">
        <v>7.35</v>
      </c>
      <c r="F1071" s="131">
        <v>594932</v>
      </c>
    </row>
    <row r="1072" spans="4:6" x14ac:dyDescent="0.2">
      <c r="D1072" s="121">
        <v>45474</v>
      </c>
      <c r="E1072" s="122">
        <v>7.25</v>
      </c>
      <c r="F1072" s="131">
        <v>373671</v>
      </c>
    </row>
    <row r="1073" spans="4:6" x14ac:dyDescent="0.2">
      <c r="D1073" s="121">
        <v>45475</v>
      </c>
      <c r="E1073" s="122">
        <v>7.17</v>
      </c>
      <c r="F1073" s="131">
        <v>612580</v>
      </c>
    </row>
    <row r="1074" spans="4:6" x14ac:dyDescent="0.2">
      <c r="D1074" s="121">
        <v>45476</v>
      </c>
      <c r="E1074" s="122">
        <v>7.11</v>
      </c>
      <c r="F1074" s="131">
        <v>475863</v>
      </c>
    </row>
    <row r="1075" spans="4:6" x14ac:dyDescent="0.2">
      <c r="D1075" s="121">
        <v>45477</v>
      </c>
      <c r="E1075" s="122">
        <v>7.12</v>
      </c>
      <c r="F1075" s="131">
        <v>621232</v>
      </c>
    </row>
    <row r="1076" spans="4:6" x14ac:dyDescent="0.2">
      <c r="D1076" s="121">
        <v>45478</v>
      </c>
      <c r="E1076" s="122">
        <v>6.98</v>
      </c>
      <c r="F1076" s="131">
        <v>816723</v>
      </c>
    </row>
    <row r="1077" spans="4:6" x14ac:dyDescent="0.2">
      <c r="D1077" s="121">
        <v>45481</v>
      </c>
      <c r="E1077" s="122">
        <v>6.9</v>
      </c>
      <c r="F1077" s="131">
        <v>729182</v>
      </c>
    </row>
    <row r="1078" spans="4:6" x14ac:dyDescent="0.2">
      <c r="D1078" s="121">
        <v>45482</v>
      </c>
      <c r="E1078" s="122">
        <v>6.88</v>
      </c>
      <c r="F1078" s="131">
        <v>792761</v>
      </c>
    </row>
    <row r="1079" spans="4:6" x14ac:dyDescent="0.2">
      <c r="D1079" s="121">
        <v>45483</v>
      </c>
      <c r="E1079" s="122">
        <v>6.9</v>
      </c>
      <c r="F1079" s="131">
        <v>1326304</v>
      </c>
    </row>
    <row r="1080" spans="4:6" x14ac:dyDescent="0.2">
      <c r="D1080" s="121">
        <v>45484</v>
      </c>
      <c r="E1080" s="122">
        <v>6.95</v>
      </c>
      <c r="F1080" s="131">
        <v>1717407</v>
      </c>
    </row>
    <row r="1081" spans="4:6" x14ac:dyDescent="0.2">
      <c r="D1081" s="121">
        <v>45485</v>
      </c>
      <c r="E1081" s="122">
        <v>6.94</v>
      </c>
      <c r="F1081" s="131">
        <v>799178</v>
      </c>
    </row>
    <row r="1082" spans="4:6" x14ac:dyDescent="0.2">
      <c r="D1082" s="121">
        <v>45488</v>
      </c>
      <c r="E1082" s="122">
        <v>6.99</v>
      </c>
      <c r="F1082" s="131">
        <v>1405868</v>
      </c>
    </row>
    <row r="1083" spans="4:6" x14ac:dyDescent="0.2">
      <c r="D1083" s="121">
        <v>45489</v>
      </c>
      <c r="E1083" s="122">
        <v>7.06</v>
      </c>
      <c r="F1083" s="131">
        <v>1326339</v>
      </c>
    </row>
    <row r="1084" spans="4:6" x14ac:dyDescent="0.2">
      <c r="D1084" s="121">
        <v>45490</v>
      </c>
      <c r="E1084" s="122">
        <v>7.11</v>
      </c>
      <c r="F1084" s="131">
        <v>707647</v>
      </c>
    </row>
    <row r="1085" spans="4:6" x14ac:dyDescent="0.2">
      <c r="D1085" s="121">
        <v>45491</v>
      </c>
      <c r="E1085" s="122">
        <v>7.15</v>
      </c>
      <c r="F1085" s="131">
        <v>1322596</v>
      </c>
    </row>
    <row r="1086" spans="4:6" x14ac:dyDescent="0.2">
      <c r="D1086" s="121">
        <v>45492</v>
      </c>
      <c r="E1086" s="122">
        <v>7.12</v>
      </c>
      <c r="F1086" s="131">
        <v>705279</v>
      </c>
    </row>
    <row r="1087" spans="4:6" x14ac:dyDescent="0.2">
      <c r="D1087" s="121">
        <v>45495</v>
      </c>
      <c r="E1087" s="122">
        <v>7.12</v>
      </c>
      <c r="F1087" s="131">
        <v>423638</v>
      </c>
    </row>
    <row r="1088" spans="4:6" x14ac:dyDescent="0.2">
      <c r="D1088" s="121">
        <v>45496</v>
      </c>
      <c r="E1088" s="122">
        <v>7.2</v>
      </c>
      <c r="F1088" s="131">
        <v>622441</v>
      </c>
    </row>
    <row r="1089" spans="4:6" x14ac:dyDescent="0.2">
      <c r="D1089" s="121">
        <v>45497</v>
      </c>
      <c r="E1089" s="122">
        <v>7.24</v>
      </c>
      <c r="F1089" s="131">
        <v>731976</v>
      </c>
    </row>
    <row r="1090" spans="4:6" x14ac:dyDescent="0.2">
      <c r="D1090" s="121">
        <v>45498</v>
      </c>
      <c r="E1090" s="122">
        <v>7.19</v>
      </c>
      <c r="F1090" s="131">
        <v>1095796</v>
      </c>
    </row>
    <row r="1091" spans="4:6" x14ac:dyDescent="0.2">
      <c r="D1091" s="121">
        <v>45499</v>
      </c>
      <c r="E1091" s="122">
        <v>7.23</v>
      </c>
      <c r="F1091" s="131">
        <v>849918</v>
      </c>
    </row>
    <row r="1092" spans="4:6" x14ac:dyDescent="0.2">
      <c r="D1092" s="121">
        <v>45502</v>
      </c>
      <c r="E1092" s="122">
        <v>7.19</v>
      </c>
      <c r="F1092" s="131">
        <v>2495892</v>
      </c>
    </row>
    <row r="1093" spans="4:6" x14ac:dyDescent="0.2">
      <c r="D1093" s="121">
        <v>45503</v>
      </c>
      <c r="E1093" s="122">
        <v>7.27</v>
      </c>
      <c r="F1093" s="131">
        <v>1339378</v>
      </c>
    </row>
    <row r="1094" spans="4:6" x14ac:dyDescent="0.2">
      <c r="D1094" s="121">
        <v>45504</v>
      </c>
      <c r="E1094" s="122">
        <v>7.53</v>
      </c>
      <c r="F1094" s="131">
        <v>1766257</v>
      </c>
    </row>
    <row r="1095" spans="4:6" x14ac:dyDescent="0.2">
      <c r="D1095" s="121">
        <v>45505</v>
      </c>
      <c r="E1095" s="122">
        <v>7.52</v>
      </c>
      <c r="F1095" s="131">
        <v>971196</v>
      </c>
    </row>
    <row r="1096" spans="4:6" x14ac:dyDescent="0.2">
      <c r="D1096" s="121">
        <v>45506</v>
      </c>
      <c r="E1096" s="122">
        <v>7.45</v>
      </c>
      <c r="F1096" s="131">
        <v>939767</v>
      </c>
    </row>
    <row r="1097" spans="4:6" x14ac:dyDescent="0.2">
      <c r="D1097" s="121">
        <v>45509</v>
      </c>
      <c r="E1097" s="122">
        <v>7.02</v>
      </c>
      <c r="F1097" s="131">
        <v>1091685</v>
      </c>
    </row>
    <row r="1098" spans="4:6" x14ac:dyDescent="0.2">
      <c r="D1098" s="121">
        <v>45510</v>
      </c>
      <c r="E1098" s="122">
        <v>6.94</v>
      </c>
      <c r="F1098" s="131">
        <v>1440874</v>
      </c>
    </row>
    <row r="1099" spans="4:6" x14ac:dyDescent="0.2">
      <c r="D1099" s="121">
        <v>45511</v>
      </c>
      <c r="E1099" s="122">
        <v>7.06</v>
      </c>
      <c r="F1099" s="131">
        <v>1463767</v>
      </c>
    </row>
    <row r="1100" spans="4:6" x14ac:dyDescent="0.2">
      <c r="D1100" s="121">
        <v>45512</v>
      </c>
      <c r="E1100" s="122">
        <v>7.07</v>
      </c>
      <c r="F1100" s="131">
        <v>830809</v>
      </c>
    </row>
    <row r="1101" spans="4:6" x14ac:dyDescent="0.2">
      <c r="D1101" s="121">
        <v>45513</v>
      </c>
      <c r="E1101" s="122">
        <v>7.19</v>
      </c>
      <c r="F1101" s="131">
        <v>374367</v>
      </c>
    </row>
    <row r="1102" spans="4:6" x14ac:dyDescent="0.2">
      <c r="D1102" s="121">
        <v>45516</v>
      </c>
      <c r="E1102" s="122">
        <v>7.23</v>
      </c>
      <c r="F1102" s="131">
        <v>323266</v>
      </c>
    </row>
    <row r="1103" spans="4:6" x14ac:dyDescent="0.2">
      <c r="D1103" s="121">
        <v>45517</v>
      </c>
      <c r="E1103" s="122">
        <v>7.16</v>
      </c>
      <c r="F1103" s="131">
        <v>714855</v>
      </c>
    </row>
    <row r="1104" spans="4:6" x14ac:dyDescent="0.2">
      <c r="D1104" s="121">
        <v>45518</v>
      </c>
      <c r="E1104" s="122">
        <v>7.22</v>
      </c>
      <c r="F1104" s="131">
        <v>371796</v>
      </c>
    </row>
    <row r="1105" spans="4:6" x14ac:dyDescent="0.2">
      <c r="D1105" s="121">
        <v>45519</v>
      </c>
      <c r="E1105" s="122">
        <v>7.29</v>
      </c>
      <c r="F1105" s="131">
        <v>448023</v>
      </c>
    </row>
    <row r="1106" spans="4:6" x14ac:dyDescent="0.2">
      <c r="D1106" s="121">
        <v>45520</v>
      </c>
      <c r="E1106" s="122">
        <v>7.32</v>
      </c>
      <c r="F1106" s="131">
        <v>805502</v>
      </c>
    </row>
    <row r="1107" spans="4:6" x14ac:dyDescent="0.2">
      <c r="D1107" s="121">
        <v>45523</v>
      </c>
      <c r="E1107" s="122">
        <v>7.39</v>
      </c>
      <c r="F1107" s="131">
        <v>432449</v>
      </c>
    </row>
    <row r="1108" spans="4:6" x14ac:dyDescent="0.2">
      <c r="D1108" s="121">
        <v>45524</v>
      </c>
      <c r="E1108" s="122">
        <v>7.39</v>
      </c>
      <c r="F1108" s="131">
        <v>427313</v>
      </c>
    </row>
    <row r="1109" spans="4:6" x14ac:dyDescent="0.2">
      <c r="D1109" s="121">
        <v>45525</v>
      </c>
      <c r="E1109" s="122">
        <v>7.3</v>
      </c>
      <c r="F1109" s="131">
        <v>641065</v>
      </c>
    </row>
    <row r="1110" spans="4:6" x14ac:dyDescent="0.2">
      <c r="D1110" s="121">
        <v>45526</v>
      </c>
      <c r="E1110" s="122">
        <v>7.23</v>
      </c>
      <c r="F1110" s="131">
        <v>618622</v>
      </c>
    </row>
    <row r="1111" spans="4:6" x14ac:dyDescent="0.2">
      <c r="D1111" s="121">
        <v>45527</v>
      </c>
      <c r="E1111" s="122">
        <v>7.27</v>
      </c>
      <c r="F1111" s="131">
        <v>703464</v>
      </c>
    </row>
    <row r="1112" spans="4:6" x14ac:dyDescent="0.2">
      <c r="D1112" s="121">
        <v>45530</v>
      </c>
      <c r="E1112" s="122">
        <v>5.98</v>
      </c>
      <c r="F1112" s="131">
        <v>6985985</v>
      </c>
    </row>
    <row r="1113" spans="4:6" x14ac:dyDescent="0.2">
      <c r="D1113" s="121">
        <v>45531</v>
      </c>
      <c r="E1113" s="122">
        <v>6.25</v>
      </c>
      <c r="F1113" s="131">
        <v>5008391</v>
      </c>
    </row>
    <row r="1114" spans="4:6" x14ac:dyDescent="0.2">
      <c r="D1114" s="121">
        <v>45532</v>
      </c>
      <c r="E1114" s="122">
        <v>6.35</v>
      </c>
      <c r="F1114" s="131">
        <v>2347950</v>
      </c>
    </row>
    <row r="1115" spans="4:6" x14ac:dyDescent="0.2">
      <c r="D1115" s="121">
        <v>45533</v>
      </c>
      <c r="E1115" s="122">
        <v>6.3</v>
      </c>
      <c r="F1115" s="131">
        <v>1437692</v>
      </c>
    </row>
    <row r="1116" spans="4:6" x14ac:dyDescent="0.2">
      <c r="D1116" s="121">
        <v>45534</v>
      </c>
      <c r="E1116" s="122">
        <v>6.26</v>
      </c>
      <c r="F1116" s="131">
        <v>2097837</v>
      </c>
    </row>
    <row r="1117" spans="4:6" x14ac:dyDescent="0.2">
      <c r="D1117" s="121">
        <v>45537</v>
      </c>
      <c r="E1117" s="122">
        <v>6.42</v>
      </c>
      <c r="F1117" s="131">
        <v>1143178</v>
      </c>
    </row>
    <row r="1118" spans="4:6" x14ac:dyDescent="0.2">
      <c r="D1118" s="121">
        <v>45538</v>
      </c>
      <c r="E1118" s="122">
        <v>6.21</v>
      </c>
      <c r="F1118" s="131">
        <v>1783377</v>
      </c>
    </row>
    <row r="1119" spans="4:6" x14ac:dyDescent="0.2">
      <c r="D1119" s="121">
        <v>45539</v>
      </c>
      <c r="E1119" s="122">
        <v>6.25</v>
      </c>
      <c r="F1119" s="131">
        <v>1280784</v>
      </c>
    </row>
    <row r="1120" spans="4:6" x14ac:dyDescent="0.2">
      <c r="D1120" s="121">
        <v>45540</v>
      </c>
      <c r="E1120" s="122">
        <v>6.02</v>
      </c>
      <c r="F1120" s="131">
        <v>1145282</v>
      </c>
    </row>
    <row r="1121" spans="4:6" x14ac:dyDescent="0.2">
      <c r="D1121" s="121">
        <v>45541</v>
      </c>
      <c r="E1121" s="122">
        <v>6.01</v>
      </c>
      <c r="F1121" s="131">
        <v>1008675</v>
      </c>
    </row>
    <row r="1122" spans="4:6" x14ac:dyDescent="0.2">
      <c r="D1122" s="121">
        <v>45544</v>
      </c>
      <c r="E1122" s="122">
        <v>5.63</v>
      </c>
      <c r="F1122" s="131">
        <v>4593372</v>
      </c>
    </row>
    <row r="1123" spans="4:6" x14ac:dyDescent="0.2">
      <c r="D1123" s="121">
        <v>45545</v>
      </c>
      <c r="E1123" s="122">
        <v>5.77</v>
      </c>
      <c r="F1123" s="131">
        <v>1857119</v>
      </c>
    </row>
    <row r="1124" spans="4:6" x14ac:dyDescent="0.2">
      <c r="D1124" s="121">
        <v>45546</v>
      </c>
      <c r="E1124" s="122">
        <v>5.71</v>
      </c>
      <c r="F1124" s="131">
        <v>1298633</v>
      </c>
    </row>
    <row r="1125" spans="4:6" x14ac:dyDescent="0.2">
      <c r="D1125" s="121">
        <v>45547</v>
      </c>
      <c r="E1125" s="122">
        <v>5.88</v>
      </c>
      <c r="F1125" s="131">
        <v>1896449</v>
      </c>
    </row>
    <row r="1126" spans="4:6" x14ac:dyDescent="0.2">
      <c r="D1126" s="121">
        <v>45548</v>
      </c>
      <c r="E1126" s="122">
        <v>5.84</v>
      </c>
      <c r="F1126" s="131">
        <v>1582487</v>
      </c>
    </row>
    <row r="1127" spans="4:6" x14ac:dyDescent="0.2">
      <c r="D1127" s="121">
        <v>45551</v>
      </c>
      <c r="E1127" s="122">
        <v>5.74</v>
      </c>
      <c r="F1127" s="131">
        <v>2013359</v>
      </c>
    </row>
    <row r="1128" spans="4:6" x14ac:dyDescent="0.2">
      <c r="D1128" s="121">
        <v>45552</v>
      </c>
      <c r="E1128" s="122">
        <v>5.8</v>
      </c>
      <c r="F1128" s="131">
        <v>1775157</v>
      </c>
    </row>
    <row r="1129" spans="4:6" x14ac:dyDescent="0.2">
      <c r="D1129" s="121">
        <v>45553</v>
      </c>
      <c r="E1129" s="122">
        <v>5.73</v>
      </c>
      <c r="F1129" s="131">
        <v>2107790</v>
      </c>
    </row>
    <row r="1130" spans="4:6" x14ac:dyDescent="0.2">
      <c r="D1130" s="121">
        <v>45554</v>
      </c>
      <c r="E1130" s="122">
        <v>5.72</v>
      </c>
      <c r="F1130" s="131">
        <v>3179808</v>
      </c>
    </row>
    <row r="1131" spans="4:6" x14ac:dyDescent="0.2">
      <c r="D1131" s="121">
        <v>45555</v>
      </c>
      <c r="E1131" s="122">
        <v>5.82</v>
      </c>
      <c r="F1131" s="131">
        <v>11580790</v>
      </c>
    </row>
    <row r="1132" spans="4:6" x14ac:dyDescent="0.2">
      <c r="D1132" s="121">
        <v>45558</v>
      </c>
      <c r="E1132" s="122">
        <v>5.74</v>
      </c>
      <c r="F1132" s="131">
        <v>2430438</v>
      </c>
    </row>
    <row r="1133" spans="4:6" x14ac:dyDescent="0.2">
      <c r="D1133" s="121">
        <v>45559</v>
      </c>
      <c r="E1133" s="122">
        <v>5.74</v>
      </c>
      <c r="F1133" s="131">
        <v>2641571</v>
      </c>
    </row>
    <row r="1134" spans="4:6" x14ac:dyDescent="0.2">
      <c r="D1134" s="121">
        <v>45560</v>
      </c>
      <c r="E1134" s="122">
        <v>5.77</v>
      </c>
      <c r="F1134" s="131">
        <v>1955334</v>
      </c>
    </row>
    <row r="1135" spans="4:6" x14ac:dyDescent="0.2">
      <c r="D1135" s="121">
        <v>45561</v>
      </c>
      <c r="E1135" s="122">
        <v>5.91</v>
      </c>
      <c r="F1135" s="131">
        <v>1367813</v>
      </c>
    </row>
    <row r="1136" spans="4:6" x14ac:dyDescent="0.2">
      <c r="D1136" s="121">
        <v>45562</v>
      </c>
      <c r="E1136" s="122">
        <v>5.93</v>
      </c>
      <c r="F1136" s="131">
        <v>2307267</v>
      </c>
    </row>
    <row r="1137" spans="4:6" x14ac:dyDescent="0.2">
      <c r="D1137" s="121">
        <v>45565</v>
      </c>
      <c r="E1137" s="122">
        <v>5.94</v>
      </c>
      <c r="F1137" s="131">
        <v>3376805</v>
      </c>
    </row>
    <row r="1138" spans="4:6" x14ac:dyDescent="0.2">
      <c r="D1138" s="121">
        <v>45566</v>
      </c>
      <c r="E1138" s="122">
        <v>5.92</v>
      </c>
      <c r="F1138" s="131">
        <v>1038634</v>
      </c>
    </row>
    <row r="1139" spans="4:6" x14ac:dyDescent="0.2">
      <c r="D1139" s="121">
        <v>45567</v>
      </c>
      <c r="E1139" s="122">
        <v>5.95</v>
      </c>
      <c r="F1139" s="131">
        <v>1901491</v>
      </c>
    </row>
    <row r="1140" spans="4:6" x14ac:dyDescent="0.2">
      <c r="D1140" s="121">
        <v>45568</v>
      </c>
      <c r="E1140" s="122">
        <v>5.95</v>
      </c>
      <c r="F1140" s="131">
        <v>1876243</v>
      </c>
    </row>
    <row r="1141" spans="4:6" x14ac:dyDescent="0.2">
      <c r="D1141" s="121">
        <v>45569</v>
      </c>
      <c r="E1141" s="122">
        <v>5.97</v>
      </c>
      <c r="F1141" s="131">
        <v>1653837</v>
      </c>
    </row>
    <row r="1142" spans="4:6" x14ac:dyDescent="0.2">
      <c r="D1142" s="121">
        <v>45572</v>
      </c>
      <c r="E1142" s="122">
        <v>6.01</v>
      </c>
      <c r="F1142" s="131">
        <v>567024</v>
      </c>
    </row>
    <row r="1143" spans="4:6" x14ac:dyDescent="0.2">
      <c r="D1143" s="121">
        <v>45573</v>
      </c>
      <c r="E1143" s="122">
        <v>6</v>
      </c>
      <c r="F1143" s="131">
        <v>1129684</v>
      </c>
    </row>
    <row r="1144" spans="4:6" x14ac:dyDescent="0.2">
      <c r="D1144" s="121">
        <v>45574</v>
      </c>
      <c r="E1144" s="122">
        <v>6.08</v>
      </c>
      <c r="F1144" s="131">
        <v>950161</v>
      </c>
    </row>
    <row r="1145" spans="4:6" x14ac:dyDescent="0.2">
      <c r="D1145" s="121">
        <v>45575</v>
      </c>
      <c r="E1145" s="122">
        <v>6.07</v>
      </c>
      <c r="F1145" s="131">
        <v>970083</v>
      </c>
    </row>
    <row r="1146" spans="4:6" x14ac:dyDescent="0.2">
      <c r="D1146" s="121">
        <v>45576</v>
      </c>
      <c r="E1146" s="122">
        <v>6.08</v>
      </c>
      <c r="F1146" s="131">
        <v>629406</v>
      </c>
    </row>
    <row r="1147" spans="4:6" x14ac:dyDescent="0.2">
      <c r="D1147" s="121">
        <v>45579</v>
      </c>
      <c r="E1147" s="122">
        <v>6.04</v>
      </c>
      <c r="F1147" s="131">
        <v>959070</v>
      </c>
    </row>
    <row r="1148" spans="4:6" x14ac:dyDescent="0.2">
      <c r="D1148" s="121">
        <v>45580</v>
      </c>
      <c r="E1148" s="122">
        <v>6.16</v>
      </c>
      <c r="F1148" s="131">
        <v>943490</v>
      </c>
    </row>
    <row r="1149" spans="4:6" x14ac:dyDescent="0.2">
      <c r="D1149" s="121">
        <v>45581</v>
      </c>
      <c r="E1149" s="122">
        <v>6.06</v>
      </c>
      <c r="F1149" s="131">
        <v>1091444</v>
      </c>
    </row>
    <row r="1150" spans="4:6" x14ac:dyDescent="0.2">
      <c r="D1150" s="121">
        <v>45582</v>
      </c>
      <c r="E1150" s="122">
        <v>6.09</v>
      </c>
      <c r="F1150" s="131">
        <v>1255947</v>
      </c>
    </row>
    <row r="1151" spans="4:6" x14ac:dyDescent="0.2">
      <c r="D1151" s="121">
        <v>45583</v>
      </c>
      <c r="E1151" s="122">
        <v>6.03</v>
      </c>
      <c r="F1151" s="131">
        <v>1428190</v>
      </c>
    </row>
    <row r="1152" spans="4:6" x14ac:dyDescent="0.2">
      <c r="D1152" s="121">
        <v>45586</v>
      </c>
      <c r="E1152" s="122">
        <v>6.03</v>
      </c>
      <c r="F1152" s="131">
        <v>1004507</v>
      </c>
    </row>
    <row r="1153" spans="4:6" x14ac:dyDescent="0.2">
      <c r="D1153" s="121">
        <v>45587</v>
      </c>
      <c r="E1153" s="122">
        <v>5.95</v>
      </c>
      <c r="F1153" s="131">
        <v>1174198</v>
      </c>
    </row>
    <row r="1154" spans="4:6" x14ac:dyDescent="0.2">
      <c r="D1154" s="121">
        <v>45588</v>
      </c>
      <c r="E1154" s="122">
        <v>5.95</v>
      </c>
      <c r="F1154" s="131">
        <v>913796</v>
      </c>
    </row>
    <row r="1155" spans="4:6" x14ac:dyDescent="0.2">
      <c r="D1155" s="121">
        <v>45589</v>
      </c>
      <c r="E1155" s="122">
        <v>5.94</v>
      </c>
      <c r="F1155" s="131">
        <v>1288464</v>
      </c>
    </row>
    <row r="1156" spans="4:6" x14ac:dyDescent="0.2">
      <c r="D1156" s="121">
        <v>45590</v>
      </c>
      <c r="E1156" s="122">
        <v>5.96</v>
      </c>
      <c r="F1156" s="131">
        <v>676858</v>
      </c>
    </row>
    <row r="1157" spans="4:6" x14ac:dyDescent="0.2">
      <c r="D1157" s="121">
        <v>45593</v>
      </c>
      <c r="E1157" s="122">
        <v>5.91</v>
      </c>
      <c r="F1157" s="131">
        <v>924201</v>
      </c>
    </row>
    <row r="1158" spans="4:6" x14ac:dyDescent="0.2">
      <c r="D1158" s="121">
        <v>45594</v>
      </c>
      <c r="E1158" s="122">
        <v>5.88</v>
      </c>
      <c r="F1158" s="131">
        <v>920034</v>
      </c>
    </row>
    <row r="1159" spans="4:6" x14ac:dyDescent="0.2">
      <c r="D1159" s="121">
        <v>45595</v>
      </c>
      <c r="E1159" s="122">
        <v>5.82</v>
      </c>
      <c r="F1159" s="131">
        <v>1009458</v>
      </c>
    </row>
    <row r="1160" spans="4:6" x14ac:dyDescent="0.2">
      <c r="D1160" s="121">
        <v>45596</v>
      </c>
      <c r="E1160" s="122">
        <v>5.78</v>
      </c>
      <c r="F1160" s="131">
        <v>1730091</v>
      </c>
    </row>
    <row r="1161" spans="4:6" x14ac:dyDescent="0.2">
      <c r="D1161" s="121">
        <v>45597</v>
      </c>
      <c r="E1161" s="122">
        <v>5.81</v>
      </c>
      <c r="F1161" s="131">
        <v>864072</v>
      </c>
    </row>
    <row r="1162" spans="4:6" x14ac:dyDescent="0.2">
      <c r="D1162" s="121">
        <v>45600</v>
      </c>
      <c r="E1162" s="122">
        <v>5.83</v>
      </c>
      <c r="F1162" s="131">
        <v>855508</v>
      </c>
    </row>
    <row r="1163" spans="4:6" x14ac:dyDescent="0.2">
      <c r="D1163" s="121">
        <v>45601</v>
      </c>
      <c r="E1163" s="122">
        <v>5.81</v>
      </c>
      <c r="F1163" s="131">
        <v>741190</v>
      </c>
    </row>
    <row r="1164" spans="4:6" x14ac:dyDescent="0.2">
      <c r="D1164" s="121">
        <v>45602</v>
      </c>
      <c r="E1164" s="122">
        <v>5.92</v>
      </c>
      <c r="F1164" s="131">
        <v>575617</v>
      </c>
    </row>
    <row r="1165" spans="4:6" x14ac:dyDescent="0.2">
      <c r="D1165" s="121">
        <v>45603</v>
      </c>
      <c r="E1165" s="122">
        <v>6.03</v>
      </c>
      <c r="F1165" s="131">
        <v>1221464</v>
      </c>
    </row>
    <row r="1166" spans="4:6" x14ac:dyDescent="0.2">
      <c r="D1166" s="121">
        <v>45604</v>
      </c>
      <c r="E1166" s="122">
        <v>6.08</v>
      </c>
      <c r="F1166" s="131">
        <v>606436</v>
      </c>
    </row>
    <row r="1167" spans="4:6" x14ac:dyDescent="0.2">
      <c r="D1167" s="121">
        <v>45607</v>
      </c>
      <c r="E1167" s="122">
        <v>6</v>
      </c>
      <c r="F1167" s="131">
        <v>658341</v>
      </c>
    </row>
    <row r="1168" spans="4:6" x14ac:dyDescent="0.2">
      <c r="D1168" s="121">
        <v>45608</v>
      </c>
      <c r="E1168" s="122">
        <v>5.96</v>
      </c>
      <c r="F1168" s="131">
        <v>2397746</v>
      </c>
    </row>
    <row r="1169" spans="4:6" x14ac:dyDescent="0.2">
      <c r="D1169" s="121">
        <v>45609</v>
      </c>
      <c r="E1169" s="122">
        <v>5.7</v>
      </c>
      <c r="F1169" s="131">
        <v>1639921</v>
      </c>
    </row>
    <row r="1170" spans="4:6" x14ac:dyDescent="0.2">
      <c r="D1170" s="121">
        <v>45610</v>
      </c>
      <c r="E1170" s="122">
        <v>5.71</v>
      </c>
      <c r="F1170" s="131">
        <v>1045229</v>
      </c>
    </row>
    <row r="1171" spans="4:6" x14ac:dyDescent="0.2">
      <c r="D1171" s="121">
        <v>45611</v>
      </c>
      <c r="E1171" s="122">
        <v>5.79</v>
      </c>
      <c r="F1171" s="131">
        <v>810713</v>
      </c>
    </row>
    <row r="1172" spans="4:6" x14ac:dyDescent="0.2">
      <c r="D1172" s="121">
        <v>45614</v>
      </c>
      <c r="E1172" s="122">
        <v>5.73</v>
      </c>
      <c r="F1172" s="131">
        <v>794690</v>
      </c>
    </row>
    <row r="1173" spans="4:6" x14ac:dyDescent="0.2">
      <c r="D1173" s="121">
        <v>45615</v>
      </c>
      <c r="E1173" s="122">
        <v>5.75</v>
      </c>
      <c r="F1173" s="131">
        <v>555437</v>
      </c>
    </row>
    <row r="1174" spans="4:6" x14ac:dyDescent="0.2">
      <c r="D1174" s="121">
        <v>45616</v>
      </c>
      <c r="E1174" s="122">
        <v>5.64</v>
      </c>
      <c r="F1174" s="131">
        <v>664185</v>
      </c>
    </row>
    <row r="1175" spans="4:6" x14ac:dyDescent="0.2">
      <c r="D1175" s="121">
        <v>45617</v>
      </c>
      <c r="E1175" s="122">
        <v>5.57</v>
      </c>
      <c r="F1175" s="131">
        <v>1040138</v>
      </c>
    </row>
    <row r="1176" spans="4:6" x14ac:dyDescent="0.2">
      <c r="D1176" s="121">
        <v>45618</v>
      </c>
      <c r="E1176" s="122">
        <v>5.6</v>
      </c>
      <c r="F1176" s="131">
        <v>912014</v>
      </c>
    </row>
    <row r="1177" spans="4:6" x14ac:dyDescent="0.2">
      <c r="D1177" s="121">
        <v>45621</v>
      </c>
      <c r="E1177" s="122">
        <v>5.63</v>
      </c>
      <c r="F1177" s="131">
        <v>1348655</v>
      </c>
    </row>
    <row r="1178" spans="4:6" x14ac:dyDescent="0.2">
      <c r="D1178" s="121">
        <v>45622</v>
      </c>
      <c r="E1178" s="122">
        <v>5.56</v>
      </c>
      <c r="F1178" s="131">
        <v>1149859</v>
      </c>
    </row>
    <row r="1179" spans="4:6" x14ac:dyDescent="0.2">
      <c r="D1179" s="121">
        <v>45623</v>
      </c>
      <c r="E1179" s="122">
        <v>5.56</v>
      </c>
      <c r="F1179" s="131">
        <v>1958942</v>
      </c>
    </row>
    <row r="1180" spans="4:6" x14ac:dyDescent="0.2">
      <c r="D1180" s="121">
        <v>45624</v>
      </c>
      <c r="E1180" s="122">
        <v>5.7</v>
      </c>
      <c r="F1180" s="131">
        <v>1716701</v>
      </c>
    </row>
    <row r="1181" spans="4:6" x14ac:dyDescent="0.2">
      <c r="D1181" s="121">
        <v>45625</v>
      </c>
      <c r="E1181" s="122">
        <v>5.68</v>
      </c>
      <c r="F1181" s="131">
        <v>881300</v>
      </c>
    </row>
    <row r="1182" spans="4:6" x14ac:dyDescent="0.2">
      <c r="D1182" s="121">
        <v>45628</v>
      </c>
      <c r="E1182" s="122">
        <v>5.6</v>
      </c>
      <c r="F1182" s="131">
        <v>3125798</v>
      </c>
    </row>
    <row r="1183" spans="4:6" x14ac:dyDescent="0.2">
      <c r="D1183" s="121">
        <v>45629</v>
      </c>
      <c r="E1183" s="122">
        <v>5.63</v>
      </c>
      <c r="F1183" s="131">
        <v>1362289</v>
      </c>
    </row>
    <row r="1184" spans="4:6" x14ac:dyDescent="0.2">
      <c r="D1184" s="121">
        <v>45630</v>
      </c>
      <c r="E1184" s="122">
        <v>5.47</v>
      </c>
      <c r="F1184" s="131">
        <v>2032808.0000000002</v>
      </c>
    </row>
    <row r="1185" spans="4:6" x14ac:dyDescent="0.2">
      <c r="D1185" s="121">
        <v>45631</v>
      </c>
      <c r="E1185" s="122">
        <v>5.51</v>
      </c>
      <c r="F1185" s="131">
        <v>3070864</v>
      </c>
    </row>
    <row r="1186" spans="4:6" x14ac:dyDescent="0.2">
      <c r="D1186" s="121">
        <v>45632</v>
      </c>
      <c r="E1186" s="122">
        <v>5.61</v>
      </c>
      <c r="F1186" s="131">
        <v>2994223</v>
      </c>
    </row>
    <row r="1187" spans="4:6" x14ac:dyDescent="0.2">
      <c r="D1187" s="121">
        <v>45635</v>
      </c>
      <c r="E1187" s="122">
        <v>5.61</v>
      </c>
      <c r="F1187" s="131">
        <v>1285432</v>
      </c>
    </row>
    <row r="1188" spans="4:6" x14ac:dyDescent="0.2">
      <c r="D1188" s="121">
        <v>45636</v>
      </c>
      <c r="E1188" s="122">
        <v>5.56</v>
      </c>
      <c r="F1188" s="131">
        <v>739100</v>
      </c>
    </row>
    <row r="1189" spans="4:6" x14ac:dyDescent="0.2">
      <c r="D1189" s="121">
        <v>45637</v>
      </c>
      <c r="E1189" s="122">
        <v>5.55</v>
      </c>
      <c r="F1189" s="131">
        <v>1280891</v>
      </c>
    </row>
    <row r="1190" spans="4:6" x14ac:dyDescent="0.2">
      <c r="D1190" s="121">
        <v>45638</v>
      </c>
      <c r="E1190" s="122">
        <v>5.58</v>
      </c>
      <c r="F1190" s="131">
        <v>991097</v>
      </c>
    </row>
    <row r="1191" spans="4:6" x14ac:dyDescent="0.2">
      <c r="D1191" s="121">
        <v>45639</v>
      </c>
      <c r="E1191" s="122">
        <v>5.6</v>
      </c>
      <c r="F1191" s="131">
        <v>736315</v>
      </c>
    </row>
    <row r="1192" spans="4:6" x14ac:dyDescent="0.2">
      <c r="D1192" s="121">
        <v>45642</v>
      </c>
      <c r="E1192" s="122">
        <v>5.53</v>
      </c>
      <c r="F1192" s="131">
        <v>1965623</v>
      </c>
    </row>
    <row r="1193" spans="4:6" x14ac:dyDescent="0.2">
      <c r="D1193" s="121">
        <v>45643</v>
      </c>
      <c r="E1193" s="122">
        <v>5.61</v>
      </c>
      <c r="F1193" s="131">
        <v>854511</v>
      </c>
    </row>
    <row r="1194" spans="4:6" x14ac:dyDescent="0.2">
      <c r="D1194" s="121">
        <v>45644</v>
      </c>
      <c r="E1194" s="122">
        <v>5.47</v>
      </c>
      <c r="F1194" s="131">
        <v>1133643</v>
      </c>
    </row>
    <row r="1195" spans="4:6" x14ac:dyDescent="0.2">
      <c r="D1195" s="121">
        <v>45645</v>
      </c>
      <c r="E1195" s="122">
        <v>5.49</v>
      </c>
      <c r="F1195" s="131">
        <v>1610514</v>
      </c>
    </row>
    <row r="1196" spans="4:6" x14ac:dyDescent="0.2">
      <c r="D1196" s="121">
        <v>45646</v>
      </c>
      <c r="E1196" s="122">
        <v>5.49</v>
      </c>
      <c r="F1196" s="131">
        <v>2494623</v>
      </c>
    </row>
    <row r="1197" spans="4:6" x14ac:dyDescent="0.2">
      <c r="D1197" s="121">
        <v>45649</v>
      </c>
      <c r="E1197" s="122">
        <v>5.55</v>
      </c>
      <c r="F1197" s="131">
        <v>478352</v>
      </c>
    </row>
    <row r="1198" spans="4:6" x14ac:dyDescent="0.2">
      <c r="D1198" s="121">
        <v>45650</v>
      </c>
      <c r="E1198" s="122">
        <v>5.56</v>
      </c>
      <c r="F1198" s="131">
        <v>307090</v>
      </c>
    </row>
    <row r="1199" spans="4:6" x14ac:dyDescent="0.2">
      <c r="D1199" s="121">
        <v>45653</v>
      </c>
      <c r="E1199" s="122">
        <v>5.59</v>
      </c>
      <c r="F1199" s="131">
        <v>589479</v>
      </c>
    </row>
    <row r="1200" spans="4:6" x14ac:dyDescent="0.2">
      <c r="D1200" s="121">
        <v>45656</v>
      </c>
      <c r="E1200" s="122">
        <v>5.54</v>
      </c>
      <c r="F1200" s="131">
        <v>1050718</v>
      </c>
    </row>
    <row r="1201" spans="4:6" x14ac:dyDescent="0.2">
      <c r="D1201" s="121">
        <v>45657</v>
      </c>
      <c r="E1201" s="122">
        <v>5.48</v>
      </c>
      <c r="F1201" s="131">
        <v>461029</v>
      </c>
    </row>
    <row r="1202" spans="4:6" x14ac:dyDescent="0.2">
      <c r="D1202" s="121">
        <v>45659</v>
      </c>
      <c r="E1202" s="122">
        <v>5.52</v>
      </c>
      <c r="F1202" s="131">
        <v>532191</v>
      </c>
    </row>
    <row r="1203" spans="4:6" x14ac:dyDescent="0.2">
      <c r="D1203" s="121">
        <v>45660</v>
      </c>
      <c r="E1203" s="122">
        <v>5.57</v>
      </c>
      <c r="F1203" s="131">
        <v>627258</v>
      </c>
    </row>
    <row r="1204" spans="4:6" x14ac:dyDescent="0.2">
      <c r="D1204" s="121">
        <v>45663</v>
      </c>
      <c r="E1204" s="122">
        <v>5.56</v>
      </c>
      <c r="F1204" s="131">
        <v>677555</v>
      </c>
    </row>
    <row r="1205" spans="4:6" x14ac:dyDescent="0.2">
      <c r="D1205" s="121">
        <v>45664</v>
      </c>
      <c r="E1205" s="122">
        <v>5.58</v>
      </c>
      <c r="F1205" s="131">
        <v>538893</v>
      </c>
    </row>
    <row r="1206" spans="4:6" x14ac:dyDescent="0.2">
      <c r="D1206" s="121">
        <v>45665</v>
      </c>
      <c r="E1206" s="122">
        <v>5.59</v>
      </c>
      <c r="F1206" s="131">
        <v>643277</v>
      </c>
    </row>
    <row r="1207" spans="4:6" x14ac:dyDescent="0.2">
      <c r="D1207" s="121">
        <v>45666</v>
      </c>
      <c r="E1207" s="122">
        <v>5.52</v>
      </c>
      <c r="F1207" s="131">
        <v>964600</v>
      </c>
    </row>
    <row r="1208" spans="4:6" x14ac:dyDescent="0.2">
      <c r="D1208" s="121">
        <v>45667</v>
      </c>
      <c r="E1208" s="122">
        <v>5.48</v>
      </c>
      <c r="F1208" s="131">
        <v>687990</v>
      </c>
    </row>
    <row r="1209" spans="4:6" x14ac:dyDescent="0.2">
      <c r="D1209" s="121">
        <v>45670</v>
      </c>
      <c r="E1209" s="122">
        <v>5.4</v>
      </c>
      <c r="F1209" s="131">
        <v>668762</v>
      </c>
    </row>
    <row r="1210" spans="4:6" x14ac:dyDescent="0.2">
      <c r="D1210" s="121">
        <v>45671</v>
      </c>
      <c r="E1210" s="122">
        <v>5.54</v>
      </c>
      <c r="F1210" s="131">
        <v>582804</v>
      </c>
    </row>
    <row r="1211" spans="4:6" x14ac:dyDescent="0.2">
      <c r="D1211" s="121">
        <v>45672</v>
      </c>
      <c r="E1211" s="122">
        <v>5.46</v>
      </c>
      <c r="F1211" s="131">
        <v>2690981</v>
      </c>
    </row>
    <row r="1212" spans="4:6" x14ac:dyDescent="0.2">
      <c r="D1212" s="121">
        <v>45673</v>
      </c>
      <c r="E1212" s="122">
        <v>5.48</v>
      </c>
      <c r="F1212" s="131">
        <v>860745</v>
      </c>
    </row>
    <row r="1213" spans="4:6" x14ac:dyDescent="0.2">
      <c r="D1213" s="121">
        <v>45674</v>
      </c>
      <c r="E1213" s="122">
        <v>5.52</v>
      </c>
      <c r="F1213" s="131">
        <v>608399</v>
      </c>
    </row>
    <row r="1214" spans="4:6" x14ac:dyDescent="0.2">
      <c r="D1214" s="121">
        <v>45677</v>
      </c>
      <c r="E1214" s="122">
        <v>5.53</v>
      </c>
      <c r="F1214" s="131">
        <v>628957</v>
      </c>
    </row>
    <row r="1215" spans="4:6" x14ac:dyDescent="0.2">
      <c r="D1215" s="121">
        <v>45678</v>
      </c>
      <c r="E1215" s="122">
        <v>5.51</v>
      </c>
      <c r="F1215" s="131">
        <v>478295</v>
      </c>
    </row>
    <row r="1216" spans="4:6" x14ac:dyDescent="0.2">
      <c r="D1216" s="121">
        <v>45679</v>
      </c>
      <c r="E1216" s="122">
        <v>5.51</v>
      </c>
      <c r="F1216" s="131">
        <v>680959</v>
      </c>
    </row>
    <row r="1217" spans="4:6" x14ac:dyDescent="0.2">
      <c r="D1217" s="121">
        <v>45680</v>
      </c>
      <c r="E1217" s="122">
        <v>5.51</v>
      </c>
      <c r="F1217" s="131">
        <v>1441035</v>
      </c>
    </row>
    <row r="1218" spans="4:6" x14ac:dyDescent="0.2">
      <c r="D1218" s="121">
        <v>45681</v>
      </c>
      <c r="E1218" s="122">
        <v>5.45</v>
      </c>
      <c r="F1218" s="131">
        <v>1265625</v>
      </c>
    </row>
    <row r="1219" spans="4:6" x14ac:dyDescent="0.2">
      <c r="D1219" s="121">
        <v>45685</v>
      </c>
      <c r="E1219" s="122">
        <v>5.5</v>
      </c>
      <c r="F1219" s="131">
        <v>870658</v>
      </c>
    </row>
    <row r="1220" spans="4:6" x14ac:dyDescent="0.2">
      <c r="D1220" s="121">
        <v>45686</v>
      </c>
      <c r="E1220" s="122">
        <v>5.61</v>
      </c>
      <c r="F1220" s="131">
        <v>931105</v>
      </c>
    </row>
    <row r="1221" spans="4:6" x14ac:dyDescent="0.2">
      <c r="D1221" s="121">
        <v>45687</v>
      </c>
      <c r="E1221" s="122">
        <v>5.73</v>
      </c>
      <c r="F1221" s="131">
        <v>788627</v>
      </c>
    </row>
    <row r="1222" spans="4:6" x14ac:dyDescent="0.2">
      <c r="D1222" s="121">
        <v>45688</v>
      </c>
      <c r="E1222" s="122">
        <v>5.78</v>
      </c>
      <c r="F1222" s="131">
        <v>1074114</v>
      </c>
    </row>
    <row r="1223" spans="4:6" x14ac:dyDescent="0.2">
      <c r="D1223" s="121">
        <v>45691</v>
      </c>
      <c r="E1223" s="122">
        <v>5.66</v>
      </c>
      <c r="F1223" s="131">
        <v>622085</v>
      </c>
    </row>
    <row r="1224" spans="4:6" x14ac:dyDescent="0.2">
      <c r="D1224" s="121">
        <v>45692</v>
      </c>
      <c r="E1224" s="122">
        <v>5.62</v>
      </c>
      <c r="F1224" s="131">
        <v>694714</v>
      </c>
    </row>
    <row r="1225" spans="4:6" x14ac:dyDescent="0.2">
      <c r="D1225" s="121">
        <v>45693</v>
      </c>
      <c r="E1225" s="122">
        <v>5.72</v>
      </c>
      <c r="F1225" s="131">
        <v>783555</v>
      </c>
    </row>
    <row r="1226" spans="4:6" x14ac:dyDescent="0.2">
      <c r="D1226" s="121">
        <v>45694</v>
      </c>
      <c r="E1226" s="122">
        <v>5.83</v>
      </c>
      <c r="F1226" s="131">
        <v>958472</v>
      </c>
    </row>
    <row r="1227" spans="4:6" x14ac:dyDescent="0.2">
      <c r="D1227" s="121">
        <v>45695</v>
      </c>
      <c r="E1227" s="122">
        <v>5.92</v>
      </c>
      <c r="F1227" s="131">
        <v>1451019</v>
      </c>
    </row>
    <row r="1228" spans="4:6" x14ac:dyDescent="0.2">
      <c r="D1228" s="121">
        <v>45698</v>
      </c>
      <c r="E1228" s="122">
        <v>5.78</v>
      </c>
      <c r="F1228" s="131">
        <v>962311</v>
      </c>
    </row>
    <row r="1229" spans="4:6" x14ac:dyDescent="0.2">
      <c r="D1229" s="121">
        <v>45699</v>
      </c>
      <c r="E1229" s="122">
        <v>5.8</v>
      </c>
      <c r="F1229" s="131">
        <v>608954</v>
      </c>
    </row>
    <row r="1230" spans="4:6" x14ac:dyDescent="0.2">
      <c r="D1230" s="121">
        <v>45700</v>
      </c>
      <c r="E1230" s="122">
        <v>5.87</v>
      </c>
      <c r="F1230" s="131">
        <v>1175589</v>
      </c>
    </row>
    <row r="1231" spans="4:6" x14ac:dyDescent="0.2">
      <c r="D1231" s="121">
        <v>45701</v>
      </c>
      <c r="E1231" s="122">
        <v>5.89</v>
      </c>
      <c r="F1231" s="131">
        <v>986678</v>
      </c>
    </row>
    <row r="1232" spans="4:6" x14ac:dyDescent="0.2">
      <c r="D1232" s="121">
        <v>45702</v>
      </c>
      <c r="E1232" s="122">
        <v>6</v>
      </c>
      <c r="F1232" s="131">
        <v>993377</v>
      </c>
    </row>
    <row r="1233" spans="4:6" x14ac:dyDescent="0.2">
      <c r="D1233" s="121">
        <v>45705</v>
      </c>
      <c r="E1233" s="122">
        <v>5.94</v>
      </c>
      <c r="F1233" s="131">
        <v>1029701.9999999999</v>
      </c>
    </row>
    <row r="1234" spans="4:6" x14ac:dyDescent="0.2">
      <c r="D1234" s="121">
        <v>45706</v>
      </c>
      <c r="E1234" s="122">
        <v>5.94</v>
      </c>
      <c r="F1234" s="131">
        <v>955524</v>
      </c>
    </row>
    <row r="1235" spans="4:6" x14ac:dyDescent="0.2">
      <c r="D1235" s="121">
        <v>45707</v>
      </c>
      <c r="E1235" s="122">
        <v>5.88</v>
      </c>
      <c r="F1235" s="131">
        <v>1789271</v>
      </c>
    </row>
    <row r="1236" spans="4:6" x14ac:dyDescent="0.2">
      <c r="D1236" s="121">
        <v>45708</v>
      </c>
      <c r="E1236" s="122">
        <v>5.88</v>
      </c>
      <c r="F1236" s="131">
        <v>1055509</v>
      </c>
    </row>
    <row r="1237" spans="4:6" x14ac:dyDescent="0.2">
      <c r="D1237" s="121">
        <v>45709</v>
      </c>
      <c r="E1237" s="122">
        <v>5.94</v>
      </c>
      <c r="F1237" s="131">
        <v>1110585</v>
      </c>
    </row>
    <row r="1238" spans="4:6" x14ac:dyDescent="0.2">
      <c r="D1238" s="121">
        <v>45712</v>
      </c>
      <c r="E1238" s="122">
        <v>6.68</v>
      </c>
      <c r="F1238" s="131">
        <v>4493249</v>
      </c>
    </row>
    <row r="1239" spans="4:6" x14ac:dyDescent="0.2">
      <c r="D1239" s="121">
        <v>45713</v>
      </c>
      <c r="E1239" s="122">
        <v>6.52</v>
      </c>
      <c r="F1239" s="131">
        <v>1656495</v>
      </c>
    </row>
    <row r="1240" spans="4:6" x14ac:dyDescent="0.2">
      <c r="D1240" s="121">
        <v>45714</v>
      </c>
      <c r="E1240" s="122">
        <v>6.35</v>
      </c>
      <c r="F1240" s="131">
        <v>832843</v>
      </c>
    </row>
    <row r="1241" spans="4:6" x14ac:dyDescent="0.2">
      <c r="D1241" s="121">
        <v>45715</v>
      </c>
      <c r="E1241" s="122">
        <v>6.75</v>
      </c>
      <c r="F1241" s="131">
        <v>3543985</v>
      </c>
    </row>
    <row r="1242" spans="4:6" x14ac:dyDescent="0.2">
      <c r="D1242" s="121">
        <v>45716</v>
      </c>
      <c r="E1242" s="122">
        <v>6.68</v>
      </c>
      <c r="F1242" s="131">
        <v>2078247.9999999998</v>
      </c>
    </row>
    <row r="1243" spans="4:6" x14ac:dyDescent="0.2">
      <c r="D1243" s="121">
        <v>45719</v>
      </c>
      <c r="E1243" s="122">
        <v>6.75</v>
      </c>
      <c r="F1243" s="131">
        <v>1627447</v>
      </c>
    </row>
    <row r="1244" spans="4:6" x14ac:dyDescent="0.2">
      <c r="D1244" s="121">
        <v>45720</v>
      </c>
      <c r="E1244" s="122">
        <v>6.73</v>
      </c>
      <c r="F1244" s="131">
        <v>1207946</v>
      </c>
    </row>
    <row r="1245" spans="4:6" x14ac:dyDescent="0.2">
      <c r="D1245" s="121">
        <v>45721</v>
      </c>
      <c r="E1245" s="122">
        <v>6.75</v>
      </c>
      <c r="F1245" s="131">
        <v>1825445</v>
      </c>
    </row>
    <row r="1246" spans="4:6" x14ac:dyDescent="0.2">
      <c r="D1246" s="121">
        <v>45722</v>
      </c>
      <c r="E1246" s="122">
        <v>6.59</v>
      </c>
      <c r="F1246" s="131">
        <v>1597229</v>
      </c>
    </row>
    <row r="1247" spans="4:6" x14ac:dyDescent="0.2">
      <c r="D1247" s="121">
        <v>45723</v>
      </c>
      <c r="E1247" s="122">
        <v>6.44</v>
      </c>
      <c r="F1247" s="131">
        <v>1153661</v>
      </c>
    </row>
    <row r="1248" spans="4:6" x14ac:dyDescent="0.2">
      <c r="D1248" s="121">
        <v>45726</v>
      </c>
      <c r="E1248" s="122">
        <v>6.49</v>
      </c>
      <c r="F1248" s="131">
        <v>1210999</v>
      </c>
    </row>
    <row r="1249" spans="4:6" x14ac:dyDescent="0.2">
      <c r="D1249" s="121">
        <v>45727</v>
      </c>
      <c r="E1249" s="122">
        <v>6.39</v>
      </c>
      <c r="F1249" s="131">
        <v>1240705</v>
      </c>
    </row>
    <row r="1250" spans="4:6" x14ac:dyDescent="0.2">
      <c r="D1250" s="121">
        <v>45728</v>
      </c>
      <c r="E1250" s="122">
        <v>6.26</v>
      </c>
      <c r="F1250" s="131">
        <v>1193915</v>
      </c>
    </row>
    <row r="1251" spans="4:6" x14ac:dyDescent="0.2">
      <c r="D1251" s="121">
        <v>45729</v>
      </c>
      <c r="E1251" s="122">
        <v>6.31</v>
      </c>
      <c r="F1251" s="131">
        <v>1038715</v>
      </c>
    </row>
    <row r="1252" spans="4:6" x14ac:dyDescent="0.2">
      <c r="D1252" s="121">
        <v>45730</v>
      </c>
      <c r="E1252" s="122">
        <v>6.43</v>
      </c>
      <c r="F1252" s="131">
        <v>908350</v>
      </c>
    </row>
    <row r="1253" spans="4:6" x14ac:dyDescent="0.2">
      <c r="D1253" s="121">
        <v>45733</v>
      </c>
      <c r="E1253" s="122">
        <v>6.38</v>
      </c>
      <c r="F1253" s="131">
        <v>1162835</v>
      </c>
    </row>
    <row r="1254" spans="4:6" x14ac:dyDescent="0.2">
      <c r="D1254" s="121">
        <v>45734</v>
      </c>
      <c r="E1254" s="122">
        <v>6.45</v>
      </c>
      <c r="F1254" s="131">
        <v>1413285</v>
      </c>
    </row>
    <row r="1255" spans="4:6" x14ac:dyDescent="0.2">
      <c r="D1255" s="121">
        <v>45735</v>
      </c>
      <c r="E1255" s="122">
        <v>6.46</v>
      </c>
      <c r="F1255" s="131">
        <v>796660</v>
      </c>
    </row>
    <row r="1256" spans="4:6" x14ac:dyDescent="0.2">
      <c r="D1256" s="121">
        <v>45736</v>
      </c>
      <c r="E1256" s="122">
        <v>6.51</v>
      </c>
      <c r="F1256" s="131">
        <v>1464211</v>
      </c>
    </row>
    <row r="1257" spans="4:6" x14ac:dyDescent="0.2">
      <c r="D1257" s="121">
        <v>45737</v>
      </c>
      <c r="E1257" s="122">
        <v>6.66</v>
      </c>
      <c r="F1257" s="131">
        <v>8077667</v>
      </c>
    </row>
    <row r="1258" spans="4:6" x14ac:dyDescent="0.2">
      <c r="D1258" s="121">
        <v>45740</v>
      </c>
      <c r="E1258" s="122">
        <v>6.68</v>
      </c>
      <c r="F1258" s="131">
        <v>1041134</v>
      </c>
    </row>
    <row r="1259" spans="4:6" x14ac:dyDescent="0.2">
      <c r="D1259" s="121">
        <v>45741</v>
      </c>
      <c r="E1259" s="122">
        <v>6.66</v>
      </c>
      <c r="F1259" s="131">
        <v>1794616</v>
      </c>
    </row>
    <row r="1260" spans="4:6" x14ac:dyDescent="0.2">
      <c r="D1260" s="121">
        <v>45742</v>
      </c>
      <c r="E1260" s="122">
        <v>6.72</v>
      </c>
      <c r="F1260" s="131">
        <v>2013189.9999999998</v>
      </c>
    </row>
    <row r="1261" spans="4:6" x14ac:dyDescent="0.2">
      <c r="D1261" s="121">
        <v>45743</v>
      </c>
      <c r="E1261" s="122">
        <v>6.72</v>
      </c>
      <c r="F1261" s="131">
        <v>871753</v>
      </c>
    </row>
    <row r="1262" spans="4:6" x14ac:dyDescent="0.2">
      <c r="D1262" s="121">
        <v>45744</v>
      </c>
      <c r="E1262" s="122">
        <v>6.86</v>
      </c>
      <c r="F1262" s="131">
        <v>1833058</v>
      </c>
    </row>
    <row r="1263" spans="4:6" x14ac:dyDescent="0.2">
      <c r="D1263" s="121">
        <v>45747</v>
      </c>
      <c r="E1263" s="122">
        <v>6.85</v>
      </c>
      <c r="F1263" s="131">
        <v>1517085</v>
      </c>
    </row>
    <row r="1264" spans="4:6" x14ac:dyDescent="0.2">
      <c r="D1264" s="121">
        <v>45748</v>
      </c>
      <c r="E1264" s="122">
        <v>6.86</v>
      </c>
      <c r="F1264" s="131">
        <v>1107120</v>
      </c>
    </row>
    <row r="1265" spans="4:6" x14ac:dyDescent="0.2">
      <c r="D1265" s="121">
        <v>45749</v>
      </c>
      <c r="E1265" s="122">
        <v>6.88</v>
      </c>
      <c r="F1265" s="131">
        <v>2009179</v>
      </c>
    </row>
    <row r="1266" spans="4:6" x14ac:dyDescent="0.2">
      <c r="D1266" s="121">
        <v>45750</v>
      </c>
      <c r="E1266" s="122">
        <v>6.9</v>
      </c>
      <c r="F1266" s="131">
        <v>1127090</v>
      </c>
    </row>
    <row r="1267" spans="4:6" x14ac:dyDescent="0.2">
      <c r="D1267" s="121">
        <v>45751</v>
      </c>
      <c r="E1267" s="122">
        <v>6.9</v>
      </c>
      <c r="F1267" s="131">
        <v>2142366</v>
      </c>
    </row>
    <row r="1268" spans="4:6" x14ac:dyDescent="0.2">
      <c r="D1268" s="121">
        <v>45754</v>
      </c>
      <c r="E1268" s="122">
        <v>6.64</v>
      </c>
      <c r="F1268" s="131">
        <v>2423770</v>
      </c>
    </row>
    <row r="1269" spans="4:6" x14ac:dyDescent="0.2">
      <c r="D1269" s="121">
        <v>45755</v>
      </c>
      <c r="E1269" s="122">
        <v>6.66</v>
      </c>
      <c r="F1269" s="131">
        <v>2316204</v>
      </c>
    </row>
    <row r="1270" spans="4:6" x14ac:dyDescent="0.2">
      <c r="D1270" s="121">
        <v>45756</v>
      </c>
      <c r="E1270" s="122">
        <v>6.69</v>
      </c>
      <c r="F1270" s="131">
        <v>2059038.0000000002</v>
      </c>
    </row>
    <row r="1271" spans="4:6" x14ac:dyDescent="0.2">
      <c r="D1271" s="121">
        <v>45757</v>
      </c>
      <c r="E1271" s="122">
        <v>6.94</v>
      </c>
      <c r="F1271" s="131">
        <v>1110179</v>
      </c>
    </row>
    <row r="1272" spans="4:6" x14ac:dyDescent="0.2">
      <c r="D1272" s="121">
        <v>45758</v>
      </c>
      <c r="E1272" s="122">
        <v>6.75</v>
      </c>
      <c r="F1272" s="131">
        <v>969675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FSM</vt:lpstr>
      <vt:lpstr>Supporting Schedules</vt:lpstr>
      <vt:lpstr>Intrinsic Value &gt;&gt;&gt;</vt:lpstr>
      <vt:lpstr>DCF</vt:lpstr>
      <vt:lpstr>WACC</vt:lpstr>
      <vt:lpstr>TGR</vt:lpstr>
      <vt:lpstr>Comps. &gt;&gt;&gt;</vt:lpstr>
      <vt:lpstr>Relative Valuation</vt:lpstr>
      <vt:lpstr>Share 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Minh Vu</dc:creator>
  <cp:keywords/>
  <dc:description/>
  <cp:lastModifiedBy>Hang Vu</cp:lastModifiedBy>
  <cp:revision/>
  <dcterms:created xsi:type="dcterms:W3CDTF">2025-04-09T01:39:24Z</dcterms:created>
  <dcterms:modified xsi:type="dcterms:W3CDTF">2025-04-23T10:11:50Z</dcterms:modified>
  <cp:category/>
  <cp:contentStatus/>
</cp:coreProperties>
</file>